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vsd" ContentType="application/vnd.visi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623" codeName="{499AFE36-ED4D-9D94-70EF-1DFAAA4259C6}"/>
  <workbookPr codeName="ThisWorkbook"/>
  <mc:AlternateContent xmlns:mc="http://schemas.openxmlformats.org/markup-compatibility/2006">
    <mc:Choice Requires="x15">
      <x15ac:absPath xmlns:x15ac="http://schemas.microsoft.com/office/spreadsheetml/2010/11/ac" url="https://d.docs.live.net/90881104d375f688/デスクトップ/新生UMIUSI/新生UMIUSI_基板/control_unit/"/>
    </mc:Choice>
  </mc:AlternateContent>
  <xr:revisionPtr revIDLastSave="25" documentId="13_ncr:1_{59700F5B-EEF1-4C04-9D1B-DC5A201F6080}" xr6:coauthVersionLast="47" xr6:coauthVersionMax="47" xr10:uidLastSave="{E1D21D1F-92EC-40C5-A0D6-65D92EBCEDBB}"/>
  <workbookProtection workbookAlgorithmName="SHA-512" workbookHashValue="9wToXEgJDC0XYsEauXQliR369bzOVYpxzBlQCX5yU9+QK8pkljS/1uDCzHc4G1prbZWc2LOQ0LQw9UCbzbqOJQ==" workbookSaltValue="2e0uLmMBKWAAu0WADn+orQ==" workbookSpinCount="100000" lockStructure="1"/>
  <bookViews>
    <workbookView xWindow="-108" yWindow="-108" windowWidth="23256" windowHeight="14856" tabRatio="419" xr2:uid="{00000000-000D-0000-FFFF-FFFF00000000}"/>
  </bookViews>
  <sheets>
    <sheet name="Design Regulator" sheetId="1" r:id="rId1"/>
    <sheet name="Schematic &amp; BOM" sheetId="16" r:id="rId2"/>
    <sheet name="EVMs" sheetId="18" r:id="rId3"/>
    <sheet name="Variable Management" sheetId="2" state="hidden" r:id="rId4"/>
    <sheet name="Standard Value Calculator" sheetId="8" state="hidden" r:id="rId5"/>
    <sheet name="Bode Plots Calculations" sheetId="3" state="hidden" r:id="rId6"/>
    <sheet name="Schematic Management" sheetId="17" state="hidden" r:id="rId7"/>
    <sheet name="Power Calculations" sheetId="4" state="hidden" r:id="rId8"/>
    <sheet name="Snubber" sheetId="11" state="hidden" r:id="rId9"/>
    <sheet name="Parallel Output Caps" sheetId="6" state="hidden" r:id="rId10"/>
  </sheets>
  <definedNames>
    <definedName name="_Don1">'Variable Management'!$B$23</definedName>
    <definedName name="_Don2">'Variable Management'!$B$34</definedName>
    <definedName name="_Ren1">'Variable Management'!$B$94</definedName>
    <definedName name="_Rfb1">'Variable Management'!$B$126</definedName>
    <definedName name="_Rfb2">'Variable Management'!$B$127</definedName>
    <definedName name="_Rs1">'Variable Management'!$B$65</definedName>
    <definedName name="_Rs2">'Variable Management'!$B$64</definedName>
    <definedName name="_Rs3">'Variable Management'!$B$62</definedName>
    <definedName name="Cb">'Variable Management'!$B$119</definedName>
    <definedName name="Cby">'Variable Management'!$B$118</definedName>
    <definedName name="Cc1ea">'Variable Management'!$B$133</definedName>
    <definedName name="Cc1ea_u">'Variable Management'!$B$140</definedName>
    <definedName name="Cc2ea">'Variable Management'!$B$134</definedName>
    <definedName name="Cc2ea_u">'Variable Management'!$B$141</definedName>
    <definedName name="Cc3ea">'Variable Management'!$B$136</definedName>
    <definedName name="Cc3ea_u">'Variable Management'!$B$143</definedName>
    <definedName name="Cdd">'Variable Management'!$B$115</definedName>
    <definedName name="Cilim">'Variable Management'!$B$64</definedName>
    <definedName name="Cilim_ideal">'Variable Management'!$B$65</definedName>
    <definedName name="Cin">'Variable Management'!$B$81</definedName>
    <definedName name="Cin_Voltage_Rating">'Variable Management'!$S$66</definedName>
    <definedName name="CinEsrMax">'Variable Management'!$B$82</definedName>
    <definedName name="Core_Loss">'Design Regulator'!$E$21</definedName>
    <definedName name="CossBot">'Variable Management'!$B$202</definedName>
    <definedName name="CossTop">'Variable Management'!$B$190</definedName>
    <definedName name="Cout">'Variable Management'!$B$71</definedName>
    <definedName name="Cout_Voltage_Rating">'Variable Management'!$M$66</definedName>
    <definedName name="CoutEsr">'Variable Management'!$B$73</definedName>
    <definedName name="Coutmin">'Variable Management'!$B$70</definedName>
    <definedName name="Csb">'Variable Management'!$B$116</definedName>
    <definedName name="Csby">'Variable Management'!$B$117</definedName>
    <definedName name="Css">'Variable Management'!$B$90</definedName>
    <definedName name="Css_u">'Variable Management'!$B$91</definedName>
    <definedName name="DC_Current_Limit_Setpoint">'Variable Management'!$B$49</definedName>
    <definedName name="Deadtime">'Variable Management'!$B$181</definedName>
    <definedName name="Doff1">'Variable Management'!$B$24</definedName>
    <definedName name="Doff2">'Variable Management'!$B$35</definedName>
    <definedName name="Don_Vinmax">'Variable Management'!$B$27</definedName>
    <definedName name="Eadcg">'Variable Management'!$B$122</definedName>
    <definedName name="Ext_VCC">'Variable Management'!$V$21</definedName>
    <definedName name="Fcross">'Variable Management'!$B$124</definedName>
    <definedName name="Fesr">'Variable Management'!$B$148</definedName>
    <definedName name="Fo">'Variable Management'!$B$146</definedName>
    <definedName name="Fp1_u">'Variable Management'!$B$151</definedName>
    <definedName name="Fp2_u">'Variable Management'!$B$152</definedName>
    <definedName name="Fsw">'Variable Management'!$B$12</definedName>
    <definedName name="Fz1_u">'Variable Management'!$B$149</definedName>
    <definedName name="Fz2_u">'Variable Management'!$B$150</definedName>
    <definedName name="GBP">'Variable Management'!$B$123</definedName>
    <definedName name="GmTop">'Variable Management'!$B$192</definedName>
    <definedName name="Icinrms">'Variable Management'!$B$79</definedName>
    <definedName name="Icoutrms">'Variable Management'!$B$69</definedName>
    <definedName name="Ilim1">'Variable Management'!$B$53</definedName>
    <definedName name="Ilim2">'Variable Management'!$B$54</definedName>
    <definedName name="ILimit">'Variable Management'!$B$50</definedName>
    <definedName name="Ilsat">'Variable Management'!$B$51</definedName>
    <definedName name="Iout">'Variable Management'!$B$11</definedName>
    <definedName name="Ipp">'Power Calculations'!$B$69</definedName>
    <definedName name="Iq">'Variable Management'!$B$183</definedName>
    <definedName name="Ireverse">'Variable Management'!$B$211</definedName>
    <definedName name="Iripple1">'Variable Management'!$B$42</definedName>
    <definedName name="Iss">'Variable Management'!$B$89</definedName>
    <definedName name="Iuvlo_hys">'Variable Management'!$B$109</definedName>
    <definedName name="Iuvlo1">'Variable Management'!$B$107</definedName>
    <definedName name="Iuvlo2">'Variable Management'!$B$108</definedName>
    <definedName name="Kmidband">'Variable Management'!$B$125</definedName>
    <definedName name="Lout1">'Variable Management'!$B$30</definedName>
    <definedName name="Lout2">'Variable Management'!$B$31</definedName>
    <definedName name="Ltc">'Variable Management'!$B$169</definedName>
    <definedName name="Pi">'Variable Management'!$B$154</definedName>
    <definedName name="PICTURE10">INDIRECT('Schematic Management'!$A$2)</definedName>
    <definedName name="PICTURE2" localSheetId="6">INDIRECT('Schematic Management'!$A$2)</definedName>
    <definedName name="_xlnm.Print_Area" localSheetId="0">'Design Regulator'!$A$1:$Q$111</definedName>
    <definedName name="_xlnm.Print_Area" localSheetId="1">'Schematic &amp; BOM'!$A$1:$J$68</definedName>
    <definedName name="Q">'Variable Management'!$B$147</definedName>
    <definedName name="QgBot">'Variable Management'!$B$200</definedName>
    <definedName name="QgdTop">'Variable Management'!$B$188</definedName>
    <definedName name="QgsTop">'Variable Management'!$B$189</definedName>
    <definedName name="QgTop">'Variable Management'!$B$187</definedName>
    <definedName name="QossBot">'Variable Management'!$B$201</definedName>
    <definedName name="QrrBot">'Variable Management'!$B$205</definedName>
    <definedName name="QrrSky">'Variable Management'!$B$210</definedName>
    <definedName name="Rcea1">'Variable Management'!$B$132</definedName>
    <definedName name="Rcea1_u">'Variable Management'!$B$139</definedName>
    <definedName name="Rcea2">'Variable Management'!$B$135</definedName>
    <definedName name="Rcea2_u">'Variable Management'!$B$142</definedName>
    <definedName name="RCinEsr">'Variable Management'!$B$83</definedName>
    <definedName name="RCoutEsr">'Variable Management'!$B$73</definedName>
    <definedName name="Rdcr">'Variable Management'!$B$32</definedName>
    <definedName name="RDSON_sense">'Variable Management'!$M$56</definedName>
    <definedName name="RdsonBot">'Variable Management'!$B$198</definedName>
    <definedName name="RdsonBotTc">'Variable Management'!$B$199</definedName>
    <definedName name="RdsonDRB">'Variable Management'!$B$178</definedName>
    <definedName name="RdsonDRB2">'Variable Management'!$B$179</definedName>
    <definedName name="RdsonDRT">'Variable Management'!$B$175</definedName>
    <definedName name="RdsonDRT2">'Variable Management'!$B$176</definedName>
    <definedName name="RdsonTop">'Variable Management'!$B$185</definedName>
    <definedName name="RdsonTopTc">'Variable Management'!$B$186</definedName>
    <definedName name="Resrmax">'Variable Management'!$B$72</definedName>
    <definedName name="Rfadj">'Variable Management'!$B$15</definedName>
    <definedName name="Rfb2_u">'Variable Management'!$B$128</definedName>
    <definedName name="Rfets">'Variable Management'!$B$156</definedName>
    <definedName name="RGateBot">'Variable Management'!$B$203</definedName>
    <definedName name="RGateTop">'Variable Management'!$B$191</definedName>
    <definedName name="Rh">'Variable Management'!$B$113</definedName>
    <definedName name="Rilim_Rdson">'Variable Management'!$B$56</definedName>
    <definedName name="Rilim_Rdson_ideal">'Variable Management'!$B$55</definedName>
    <definedName name="Rilim_shunt">'Variable Management'!$B$60</definedName>
    <definedName name="Rilim_shunt_ideal">'Variable Management'!$B$59</definedName>
    <definedName name="Ro">'Variable Management'!$B$153</definedName>
    <definedName name="Rpg">'Variable Management'!$B$111</definedName>
    <definedName name="Rsb">'Variable Management'!$B$112</definedName>
    <definedName name="Rshunt">'Variable Management'!$B$58</definedName>
    <definedName name="Ruvlo1">'Variable Management'!$B$97</definedName>
    <definedName name="Ruvlo2">'Variable Management'!$B$98</definedName>
    <definedName name="SCH_RDSON">'Schematic Management'!$B$5</definedName>
    <definedName name="SCH_SHUNT">'Schematic Management'!$B$8</definedName>
    <definedName name="Ta">'Variable Management'!$B$167</definedName>
    <definedName name="Tf">'Variable Management'!$B$217</definedName>
    <definedName name="ThetaCa">'Variable Management'!$B$170</definedName>
    <definedName name="ThetaJaBot">'Variable Management'!$B$207</definedName>
    <definedName name="ThetaJaCtrl">'Variable Management'!$B$213</definedName>
    <definedName name="ThetaJaTop">'Variable Management'!$B$196</definedName>
    <definedName name="TL">'Variable Management'!$B$44</definedName>
    <definedName name="Tr">'Variable Management'!$B$216</definedName>
    <definedName name="TrrBot">'Variable Management'!$B$206</definedName>
    <definedName name="Tss">'Variable Management'!$B$88</definedName>
    <definedName name="VARIANT">'Variable Management'!$V$12</definedName>
    <definedName name="Vdd">'Variable Management'!$B$173</definedName>
    <definedName name="VfdSky">'Variable Management'!$B$209</definedName>
    <definedName name="Vin">'Variable Management'!$B$7</definedName>
    <definedName name="VIN_MAX_RATING">'Variable Management'!$U$13</definedName>
    <definedName name="VIN_MIN_RATING">'Variable Management'!$U$14</definedName>
    <definedName name="Vinmax">'Variable Management'!$B$9</definedName>
    <definedName name="Vinmin">'Variable Management'!$B$8</definedName>
    <definedName name="Vinripple1">'Variable Management'!$B$78</definedName>
    <definedName name="Vinripple2">'Variable Management'!$B$84</definedName>
    <definedName name="VINuvlo_off">'Variable Management'!$B$96</definedName>
    <definedName name="VINuvlo_on">'Variable Management'!$B$95</definedName>
    <definedName name="Vout">'Variable Management'!$B$10</definedName>
    <definedName name="VOUT_MAX_RATING">'Variable Management'!$U$15</definedName>
    <definedName name="Vramp">'Variable Management'!$B$131</definedName>
    <definedName name="Vref">'Variable Management'!$B$14</definedName>
    <definedName name="Vripple1">'Variable Management'!$B$41</definedName>
    <definedName name="Vripple2">'Variable Management'!$B$74</definedName>
    <definedName name="VsdBot">'Variable Management'!$B$204</definedName>
    <definedName name="VsdTop">'Variable Management'!$B$195</definedName>
    <definedName name="VspTop">'Variable Management'!$B$194</definedName>
    <definedName name="VthTop">'Variable Management'!$B$193</definedName>
    <definedName name="Vuvlo_hys">'Variable Management'!$B$106</definedName>
    <definedName name="Vuvlo_off">'Variable Management'!$B$105</definedName>
    <definedName name="Vuvlo_on">'Variable Management'!$B$104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4" i="1" l="1"/>
  <c r="AK3" i="4"/>
  <c r="A270" i="2" l="1"/>
  <c r="D63" i="16" l="1"/>
  <c r="U15" i="2" l="1"/>
  <c r="C63" i="16" l="1"/>
  <c r="I63" i="16"/>
  <c r="U14" i="2"/>
  <c r="U13" i="2"/>
  <c r="U12" i="2"/>
  <c r="P10" i="4" l="1"/>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P97" i="4"/>
  <c r="P98" i="4"/>
  <c r="P99" i="4"/>
  <c r="P100" i="4"/>
  <c r="P101" i="4"/>
  <c r="P102" i="4"/>
  <c r="P103" i="4"/>
  <c r="P104" i="4"/>
  <c r="P105" i="4"/>
  <c r="P106" i="4"/>
  <c r="P107" i="4"/>
  <c r="P108" i="4"/>
  <c r="P109" i="4"/>
  <c r="P110" i="4"/>
  <c r="P111" i="4"/>
  <c r="P112" i="4"/>
  <c r="P113" i="4"/>
  <c r="P114" i="4"/>
  <c r="P115" i="4"/>
  <c r="P116" i="4"/>
  <c r="P117" i="4"/>
  <c r="P118" i="4"/>
  <c r="P119" i="4"/>
  <c r="P120" i="4"/>
  <c r="P121" i="4"/>
  <c r="P122" i="4"/>
  <c r="P123" i="4"/>
  <c r="P124" i="4"/>
  <c r="P125" i="4"/>
  <c r="P126" i="4"/>
  <c r="P127" i="4"/>
  <c r="P128" i="4"/>
  <c r="P129" i="4"/>
  <c r="P130" i="4"/>
  <c r="P131" i="4"/>
  <c r="P132" i="4"/>
  <c r="P133" i="4"/>
  <c r="P134" i="4"/>
  <c r="P135" i="4"/>
  <c r="P136" i="4"/>
  <c r="P137" i="4"/>
  <c r="P138" i="4"/>
  <c r="P139" i="4"/>
  <c r="P140" i="4"/>
  <c r="P141" i="4"/>
  <c r="P142" i="4"/>
  <c r="P143" i="4"/>
  <c r="P144" i="4"/>
  <c r="P145" i="4"/>
  <c r="P146" i="4"/>
  <c r="P147" i="4"/>
  <c r="P148" i="4"/>
  <c r="P149" i="4"/>
  <c r="P150" i="4"/>
  <c r="P151" i="4"/>
  <c r="P152" i="4"/>
  <c r="P153" i="4"/>
  <c r="P154" i="4"/>
  <c r="P155" i="4"/>
  <c r="P156" i="4"/>
  <c r="P157" i="4"/>
  <c r="P158" i="4"/>
  <c r="P159" i="4"/>
  <c r="P160" i="4"/>
  <c r="P161" i="4"/>
  <c r="P162" i="4"/>
  <c r="P163" i="4"/>
  <c r="P164" i="4"/>
  <c r="P165" i="4"/>
  <c r="P166" i="4"/>
  <c r="P167" i="4"/>
  <c r="P168" i="4"/>
  <c r="P169" i="4"/>
  <c r="P170" i="4"/>
  <c r="P171" i="4"/>
  <c r="P172" i="4"/>
  <c r="P173" i="4"/>
  <c r="P174" i="4"/>
  <c r="P175" i="4"/>
  <c r="P176" i="4"/>
  <c r="P177" i="4"/>
  <c r="P178" i="4"/>
  <c r="P179" i="4"/>
  <c r="P180" i="4"/>
  <c r="P181" i="4"/>
  <c r="P182" i="4"/>
  <c r="P183" i="4"/>
  <c r="P184" i="4"/>
  <c r="P185" i="4"/>
  <c r="P186" i="4"/>
  <c r="P187" i="4"/>
  <c r="P188" i="4"/>
  <c r="P189" i="4"/>
  <c r="P190" i="4"/>
  <c r="P191" i="4"/>
  <c r="P192" i="4"/>
  <c r="P193" i="4"/>
  <c r="P194" i="4"/>
  <c r="P195" i="4"/>
  <c r="P196" i="4"/>
  <c r="P197" i="4"/>
  <c r="P198" i="4"/>
  <c r="P199" i="4"/>
  <c r="P200" i="4"/>
  <c r="P201" i="4"/>
  <c r="P202" i="4"/>
  <c r="P203" i="4"/>
  <c r="P204" i="4"/>
  <c r="P205" i="4"/>
  <c r="P206" i="4"/>
  <c r="P207" i="4"/>
  <c r="P208" i="4"/>
  <c r="P209" i="4"/>
  <c r="P9" i="4"/>
  <c r="B249" i="2" l="1"/>
  <c r="F70" i="1" l="1"/>
  <c r="F69" i="1"/>
  <c r="F68" i="1"/>
  <c r="F67" i="1"/>
  <c r="A68" i="1" l="1"/>
  <c r="B190" i="2" l="1"/>
  <c r="B202" i="2"/>
  <c r="B201" i="2"/>
  <c r="L42" i="16" l="1"/>
  <c r="L59" i="16"/>
  <c r="A50" i="16" l="1"/>
  <c r="A49" i="16"/>
  <c r="L50" i="16"/>
  <c r="L49" i="16"/>
  <c r="A43" i="16" l="1"/>
  <c r="L43" i="16" s="1"/>
  <c r="C43" i="16"/>
  <c r="B13" i="2" l="1"/>
  <c r="B15" i="2" s="1"/>
  <c r="A269" i="2" l="1"/>
  <c r="B12" i="2" l="1"/>
  <c r="E70" i="1" s="1"/>
  <c r="K50" i="16"/>
  <c r="K49" i="16"/>
  <c r="K44" i="16"/>
  <c r="K43" i="16"/>
  <c r="L48" i="16"/>
  <c r="K48" i="16"/>
  <c r="L62" i="16"/>
  <c r="L61" i="16"/>
  <c r="L60" i="16"/>
  <c r="L58" i="16"/>
  <c r="L57" i="16"/>
  <c r="L56" i="16"/>
  <c r="L55" i="16"/>
  <c r="L54" i="16"/>
  <c r="L53" i="16"/>
  <c r="L52" i="16"/>
  <c r="K62" i="16"/>
  <c r="K61" i="16"/>
  <c r="K60" i="16"/>
  <c r="K58" i="16"/>
  <c r="K56" i="16"/>
  <c r="K57" i="16"/>
  <c r="K55" i="16"/>
  <c r="K54" i="16"/>
  <c r="K53" i="16"/>
  <c r="K52" i="16"/>
  <c r="L47" i="16"/>
  <c r="L46" i="16"/>
  <c r="L45" i="16"/>
  <c r="K47" i="16"/>
  <c r="K46" i="16"/>
  <c r="K45" i="16"/>
  <c r="L41" i="16"/>
  <c r="L40" i="16"/>
  <c r="K42" i="16"/>
  <c r="K41" i="16"/>
  <c r="K40" i="16"/>
  <c r="L39" i="16"/>
  <c r="K39" i="16"/>
  <c r="L38" i="16"/>
  <c r="K38" i="16"/>
  <c r="L56" i="2"/>
  <c r="L52" i="2"/>
  <c r="L86" i="2"/>
  <c r="N86" i="2"/>
  <c r="N74" i="2"/>
  <c r="L74" i="2"/>
  <c r="C59" i="16" l="1"/>
  <c r="C56" i="16"/>
  <c r="B49" i="2"/>
  <c r="B58" i="2"/>
  <c r="B8" i="2"/>
  <c r="B9" i="2"/>
  <c r="A2" i="17"/>
  <c r="B269" i="2" l="1"/>
  <c r="B281" i="2"/>
  <c r="S66" i="2"/>
  <c r="D43" i="16" s="1"/>
  <c r="D49" i="16"/>
  <c r="R66" i="2" l="1"/>
  <c r="I50" i="16"/>
  <c r="I49" i="16"/>
  <c r="B239" i="2" l="1"/>
  <c r="A239" i="2"/>
  <c r="D50" i="16"/>
  <c r="D56" i="16"/>
  <c r="D58" i="16"/>
  <c r="D62" i="16"/>
  <c r="C48" i="16"/>
  <c r="D47" i="16"/>
  <c r="D46" i="16"/>
  <c r="D38" i="16"/>
  <c r="B258" i="2"/>
  <c r="B95" i="2"/>
  <c r="B106" i="2"/>
  <c r="B109" i="2"/>
  <c r="B96" i="2"/>
  <c r="B97" i="2" l="1"/>
  <c r="R16" i="8" l="1"/>
  <c r="S16" i="8" s="1"/>
  <c r="D97" i="2" s="1"/>
  <c r="G97" i="2" s="1"/>
  <c r="D73" i="1"/>
  <c r="F97" i="2" l="1"/>
  <c r="B98" i="2"/>
  <c r="R17" i="8" s="1"/>
  <c r="S17" i="8" s="1"/>
  <c r="D98" i="2" s="1"/>
  <c r="B101" i="2" s="1"/>
  <c r="B689" i="3"/>
  <c r="N688" i="3"/>
  <c r="F98" i="2" l="1"/>
  <c r="E54" i="1" s="1"/>
  <c r="C61" i="16" s="1"/>
  <c r="D61" i="16" s="1"/>
  <c r="E53" i="1"/>
  <c r="C60" i="16" s="1"/>
  <c r="D60" i="16" s="1"/>
  <c r="G98" i="2"/>
  <c r="B100" i="2"/>
  <c r="B114" i="2"/>
  <c r="B73" i="2" l="1"/>
  <c r="E145" i="2" s="1"/>
  <c r="B124" i="2"/>
  <c r="B10" i="2"/>
  <c r="B11" i="2"/>
  <c r="B71" i="2"/>
  <c r="B31" i="2"/>
  <c r="B10" i="3"/>
  <c r="B11" i="3"/>
  <c r="B12" i="3"/>
  <c r="B13" i="3"/>
  <c r="B14" i="3"/>
  <c r="B15" i="3"/>
  <c r="B16" i="3"/>
  <c r="B17" i="3"/>
  <c r="B18" i="3"/>
  <c r="B9" i="3"/>
  <c r="B78" i="2"/>
  <c r="B210" i="2"/>
  <c r="B59" i="4" s="1"/>
  <c r="B191" i="2"/>
  <c r="J200" i="2" s="1"/>
  <c r="B238" i="2"/>
  <c r="B243" i="2"/>
  <c r="B32" i="2"/>
  <c r="B7" i="2"/>
  <c r="B81" i="2"/>
  <c r="B185" i="2"/>
  <c r="B37" i="4" s="1"/>
  <c r="B198" i="2"/>
  <c r="B49" i="4" s="1"/>
  <c r="B126" i="2"/>
  <c r="AJ350" i="3" s="1"/>
  <c r="B207" i="2"/>
  <c r="B56" i="4" s="1"/>
  <c r="B209" i="2"/>
  <c r="B58" i="4" s="1"/>
  <c r="B204" i="2"/>
  <c r="AG3" i="4" s="1"/>
  <c r="B88" i="2"/>
  <c r="B187" i="2"/>
  <c r="B200" i="2"/>
  <c r="B51" i="4" s="1"/>
  <c r="B205" i="2"/>
  <c r="B195" i="2"/>
  <c r="B46" i="4" s="1"/>
  <c r="B60" i="4"/>
  <c r="B188" i="2"/>
  <c r="B40" i="4" s="1"/>
  <c r="B189" i="2"/>
  <c r="B41" i="4" s="1"/>
  <c r="B193" i="2"/>
  <c r="B44" i="4" s="1"/>
  <c r="B192" i="2"/>
  <c r="B43" i="4" s="1"/>
  <c r="B279" i="2"/>
  <c r="B196" i="2"/>
  <c r="B47" i="4" s="1"/>
  <c r="B169" i="2"/>
  <c r="B20" i="4" s="1"/>
  <c r="B83" i="2"/>
  <c r="B23" i="4" s="1"/>
  <c r="B186" i="2"/>
  <c r="B199" i="2"/>
  <c r="D6" i="6"/>
  <c r="D7" i="6"/>
  <c r="D9" i="6"/>
  <c r="D10" i="6"/>
  <c r="D2" i="11"/>
  <c r="D3" i="11"/>
  <c r="B5" i="11"/>
  <c r="D5" i="11" s="1"/>
  <c r="B15" i="4"/>
  <c r="B21" i="4"/>
  <c r="B52" i="4"/>
  <c r="B55" i="4"/>
  <c r="AR9" i="3"/>
  <c r="A34" i="8"/>
  <c r="A46" i="8" s="1"/>
  <c r="A58" i="8" s="1"/>
  <c r="A70" i="8" s="1"/>
  <c r="A82" i="8" s="1"/>
  <c r="A94" i="8" s="1"/>
  <c r="A106" i="8" s="1"/>
  <c r="A118" i="8" s="1"/>
  <c r="A130" i="8" s="1"/>
  <c r="A142" i="8" s="1"/>
  <c r="A154" i="8" s="1"/>
  <c r="A35" i="8"/>
  <c r="A47" i="8" s="1"/>
  <c r="A59" i="8" s="1"/>
  <c r="A71" i="8" s="1"/>
  <c r="A83" i="8" s="1"/>
  <c r="A95" i="8" s="1"/>
  <c r="A107" i="8" s="1"/>
  <c r="A119" i="8" s="1"/>
  <c r="A131" i="8" s="1"/>
  <c r="A143" i="8" s="1"/>
  <c r="A155" i="8" s="1"/>
  <c r="A36" i="8"/>
  <c r="A48" i="8" s="1"/>
  <c r="A60" i="8" s="1"/>
  <c r="A72" i="8" s="1"/>
  <c r="A84" i="8" s="1"/>
  <c r="A96" i="8" s="1"/>
  <c r="A108" i="8" s="1"/>
  <c r="A120" i="8" s="1"/>
  <c r="A132" i="8" s="1"/>
  <c r="A144" i="8" s="1"/>
  <c r="A156" i="8" s="1"/>
  <c r="A37" i="8"/>
  <c r="A49" i="8" s="1"/>
  <c r="A61" i="8" s="1"/>
  <c r="A73" i="8" s="1"/>
  <c r="A85" i="8" s="1"/>
  <c r="A97" i="8" s="1"/>
  <c r="A109" i="8" s="1"/>
  <c r="A121" i="8" s="1"/>
  <c r="A133" i="8" s="1"/>
  <c r="A145" i="8" s="1"/>
  <c r="A157" i="8" s="1"/>
  <c r="A38" i="8"/>
  <c r="A50" i="8" s="1"/>
  <c r="A62" i="8" s="1"/>
  <c r="A74" i="8" s="1"/>
  <c r="A86" i="8" s="1"/>
  <c r="A98" i="8" s="1"/>
  <c r="A110" i="8" s="1"/>
  <c r="A122" i="8" s="1"/>
  <c r="A134" i="8" s="1"/>
  <c r="A146" i="8" s="1"/>
  <c r="A158" i="8" s="1"/>
  <c r="A39" i="8"/>
  <c r="A40" i="8"/>
  <c r="A41" i="8"/>
  <c r="A42" i="8"/>
  <c r="A54" i="8" s="1"/>
  <c r="A66" i="8" s="1"/>
  <c r="A78" i="8" s="1"/>
  <c r="A90" i="8" s="1"/>
  <c r="A102" i="8" s="1"/>
  <c r="A114" i="8" s="1"/>
  <c r="A126" i="8" s="1"/>
  <c r="A138" i="8" s="1"/>
  <c r="A150" i="8" s="1"/>
  <c r="A43" i="8"/>
  <c r="A55" i="8" s="1"/>
  <c r="A67" i="8" s="1"/>
  <c r="A79" i="8" s="1"/>
  <c r="A91" i="8" s="1"/>
  <c r="A103" i="8" s="1"/>
  <c r="A115" i="8" s="1"/>
  <c r="A127" i="8" s="1"/>
  <c r="A139" i="8" s="1"/>
  <c r="A151" i="8" s="1"/>
  <c r="A44" i="8"/>
  <c r="A56" i="8" s="1"/>
  <c r="A68" i="8" s="1"/>
  <c r="A80" i="8" s="1"/>
  <c r="A92" i="8" s="1"/>
  <c r="A104" i="8" s="1"/>
  <c r="A116" i="8" s="1"/>
  <c r="A128" i="8" s="1"/>
  <c r="A140" i="8" s="1"/>
  <c r="A152" i="8" s="1"/>
  <c r="A45" i="8"/>
  <c r="A57" i="8" s="1"/>
  <c r="A69" i="8" s="1"/>
  <c r="A81" i="8" s="1"/>
  <c r="A93" i="8" s="1"/>
  <c r="A105" i="8" s="1"/>
  <c r="A117" i="8" s="1"/>
  <c r="A129" i="8" s="1"/>
  <c r="A141" i="8" s="1"/>
  <c r="A153" i="8" s="1"/>
  <c r="A51" i="8"/>
  <c r="A63" i="8" s="1"/>
  <c r="A75" i="8" s="1"/>
  <c r="A87" i="8" s="1"/>
  <c r="A99" i="8" s="1"/>
  <c r="A111" i="8" s="1"/>
  <c r="A123" i="8" s="1"/>
  <c r="A135" i="8" s="1"/>
  <c r="A147" i="8" s="1"/>
  <c r="A159" i="8" s="1"/>
  <c r="A52" i="8"/>
  <c r="A64" i="8" s="1"/>
  <c r="A76" i="8" s="1"/>
  <c r="A88" i="8" s="1"/>
  <c r="A100" i="8" s="1"/>
  <c r="A112" i="8" s="1"/>
  <c r="A124" i="8" s="1"/>
  <c r="A136" i="8" s="1"/>
  <c r="A148" i="8" s="1"/>
  <c r="A53" i="8"/>
  <c r="A65" i="8" s="1"/>
  <c r="A77" i="8" s="1"/>
  <c r="A89" i="8" s="1"/>
  <c r="A101" i="8" s="1"/>
  <c r="A113" i="8" s="1"/>
  <c r="A125" i="8" s="1"/>
  <c r="A137" i="8" s="1"/>
  <c r="A149" i="8" s="1"/>
  <c r="AQ9" i="3"/>
  <c r="AR10" i="3"/>
  <c r="AQ10" i="3"/>
  <c r="AR11" i="3"/>
  <c r="AQ11" i="3"/>
  <c r="AR12" i="3"/>
  <c r="AQ12" i="3"/>
  <c r="AR13" i="3"/>
  <c r="AQ13" i="3"/>
  <c r="AR14" i="3"/>
  <c r="AQ14" i="3"/>
  <c r="AR15" i="3"/>
  <c r="AQ15" i="3"/>
  <c r="AR16" i="3"/>
  <c r="AQ16" i="3"/>
  <c r="AR17" i="3"/>
  <c r="AQ17" i="3"/>
  <c r="AR18" i="3"/>
  <c r="AQ18" i="3"/>
  <c r="A19" i="3"/>
  <c r="B19" i="3" s="1"/>
  <c r="A20" i="3"/>
  <c r="B20" i="3" s="1"/>
  <c r="AR20" i="3"/>
  <c r="A21" i="3"/>
  <c r="B21" i="3" s="1"/>
  <c r="AR21" i="3"/>
  <c r="A22" i="3"/>
  <c r="A31" i="3" s="1"/>
  <c r="A23" i="3"/>
  <c r="AQ23" i="3" s="1"/>
  <c r="A24" i="3"/>
  <c r="B24" i="3" s="1"/>
  <c r="A25" i="3"/>
  <c r="A34" i="3" s="1"/>
  <c r="A26" i="3"/>
  <c r="AQ26" i="3" s="1"/>
  <c r="A27" i="3"/>
  <c r="A36" i="3" s="1"/>
  <c r="AQ36" i="3" s="1"/>
  <c r="A30" i="3"/>
  <c r="AQ30" i="3" s="1"/>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AA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BD677" i="3"/>
  <c r="BD678" i="3"/>
  <c r="BK679" i="3"/>
  <c r="N682" i="3"/>
  <c r="N683" i="3"/>
  <c r="N684" i="3"/>
  <c r="N685" i="3"/>
  <c r="N686" i="3"/>
  <c r="N687" i="3"/>
  <c r="I3" i="8"/>
  <c r="J3" i="8"/>
  <c r="K3" i="8"/>
  <c r="L3" i="8"/>
  <c r="M3" i="8"/>
  <c r="N3" i="8"/>
  <c r="N4" i="8" s="1"/>
  <c r="B41" i="2"/>
  <c r="A238" i="2"/>
  <c r="A241" i="2"/>
  <c r="B241" i="2"/>
  <c r="A243" i="2"/>
  <c r="A258" i="2"/>
  <c r="AQ27" i="3"/>
  <c r="AQ21" i="3"/>
  <c r="AQ19" i="3"/>
  <c r="B278" i="2"/>
  <c r="B31" i="3"/>
  <c r="B25" i="3"/>
  <c r="AR22" i="3"/>
  <c r="B22" i="3"/>
  <c r="A37" i="3"/>
  <c r="AR37" i="3" s="1"/>
  <c r="AR27" i="3"/>
  <c r="AQ22" i="3"/>
  <c r="B23" i="3"/>
  <c r="AR23" i="3"/>
  <c r="B30" i="3" l="1"/>
  <c r="A32" i="3"/>
  <c r="AR19" i="3"/>
  <c r="AQ20" i="3"/>
  <c r="AL10" i="4"/>
  <c r="AL18" i="4"/>
  <c r="AL26" i="4"/>
  <c r="AL34" i="4"/>
  <c r="AL42" i="4"/>
  <c r="AL50" i="4"/>
  <c r="AL58" i="4"/>
  <c r="AL66" i="4"/>
  <c r="AL74" i="4"/>
  <c r="AL82" i="4"/>
  <c r="AL90" i="4"/>
  <c r="AL98" i="4"/>
  <c r="AL106" i="4"/>
  <c r="AL114" i="4"/>
  <c r="AL122" i="4"/>
  <c r="AL130" i="4"/>
  <c r="AL138" i="4"/>
  <c r="AL146" i="4"/>
  <c r="AL154" i="4"/>
  <c r="AL162" i="4"/>
  <c r="AL170" i="4"/>
  <c r="AL178" i="4"/>
  <c r="AL186" i="4"/>
  <c r="AL194" i="4"/>
  <c r="AL202" i="4"/>
  <c r="AL9" i="4"/>
  <c r="AL155" i="4"/>
  <c r="AL179" i="4"/>
  <c r="AL195" i="4"/>
  <c r="AL57" i="4"/>
  <c r="AL105" i="4"/>
  <c r="AL153" i="4"/>
  <c r="AL201" i="4"/>
  <c r="AL11" i="4"/>
  <c r="AL19" i="4"/>
  <c r="AL27" i="4"/>
  <c r="AL35" i="4"/>
  <c r="AL43" i="4"/>
  <c r="AL51" i="4"/>
  <c r="AL59" i="4"/>
  <c r="AL67" i="4"/>
  <c r="AL75" i="4"/>
  <c r="AL83" i="4"/>
  <c r="AL91" i="4"/>
  <c r="AL99" i="4"/>
  <c r="AL107" i="4"/>
  <c r="AL115" i="4"/>
  <c r="AL123" i="4"/>
  <c r="AL131" i="4"/>
  <c r="AL139" i="4"/>
  <c r="AL147" i="4"/>
  <c r="AL163" i="4"/>
  <c r="AL171" i="4"/>
  <c r="AL187" i="4"/>
  <c r="AL203" i="4"/>
  <c r="AL73" i="4"/>
  <c r="AL161" i="4"/>
  <c r="AL12" i="4"/>
  <c r="AL20" i="4"/>
  <c r="AL28" i="4"/>
  <c r="AL36" i="4"/>
  <c r="AL44" i="4"/>
  <c r="AL52" i="4"/>
  <c r="AL60" i="4"/>
  <c r="AL68" i="4"/>
  <c r="AL76" i="4"/>
  <c r="AL84" i="4"/>
  <c r="AL92" i="4"/>
  <c r="AL100" i="4"/>
  <c r="AL108" i="4"/>
  <c r="AL116" i="4"/>
  <c r="AL124" i="4"/>
  <c r="AL132" i="4"/>
  <c r="AL140" i="4"/>
  <c r="AL148" i="4"/>
  <c r="AL156" i="4"/>
  <c r="AL164" i="4"/>
  <c r="AL172" i="4"/>
  <c r="AL180" i="4"/>
  <c r="AL188" i="4"/>
  <c r="AL196" i="4"/>
  <c r="AL204" i="4"/>
  <c r="AL182" i="4"/>
  <c r="AL183" i="4"/>
  <c r="AL207" i="4"/>
  <c r="AL33" i="4"/>
  <c r="AL97" i="4"/>
  <c r="AL145" i="4"/>
  <c r="AL209" i="4"/>
  <c r="AL13" i="4"/>
  <c r="AL21" i="4"/>
  <c r="AL29" i="4"/>
  <c r="AL37" i="4"/>
  <c r="AL45" i="4"/>
  <c r="AL53" i="4"/>
  <c r="AL61" i="4"/>
  <c r="AL69" i="4"/>
  <c r="AL77" i="4"/>
  <c r="AL85" i="4"/>
  <c r="AL93" i="4"/>
  <c r="AL101" i="4"/>
  <c r="AL109" i="4"/>
  <c r="AL117" i="4"/>
  <c r="AL125" i="4"/>
  <c r="AL133" i="4"/>
  <c r="AL141" i="4"/>
  <c r="AL149" i="4"/>
  <c r="AL157" i="4"/>
  <c r="AL165" i="4"/>
  <c r="AL173" i="4"/>
  <c r="AL181" i="4"/>
  <c r="AL189" i="4"/>
  <c r="AL197" i="4"/>
  <c r="AL205" i="4"/>
  <c r="AL190" i="4"/>
  <c r="AL206" i="4"/>
  <c r="AL191" i="4"/>
  <c r="AL41" i="4"/>
  <c r="AL113" i="4"/>
  <c r="AL169" i="4"/>
  <c r="AL14" i="4"/>
  <c r="AL22" i="4"/>
  <c r="AL30" i="4"/>
  <c r="AL38" i="4"/>
  <c r="AL46" i="4"/>
  <c r="AL54" i="4"/>
  <c r="AL62" i="4"/>
  <c r="AL70" i="4"/>
  <c r="AL78" i="4"/>
  <c r="AL86" i="4"/>
  <c r="AL94" i="4"/>
  <c r="AL102" i="4"/>
  <c r="AL110" i="4"/>
  <c r="AL118" i="4"/>
  <c r="AL126" i="4"/>
  <c r="AL134" i="4"/>
  <c r="AL142" i="4"/>
  <c r="AL150" i="4"/>
  <c r="AL158" i="4"/>
  <c r="AL166" i="4"/>
  <c r="AL174" i="4"/>
  <c r="AL198" i="4"/>
  <c r="AL199" i="4"/>
  <c r="AL49" i="4"/>
  <c r="AL121" i="4"/>
  <c r="AL185" i="4"/>
  <c r="AL15" i="4"/>
  <c r="AL23" i="4"/>
  <c r="AL31" i="4"/>
  <c r="AL39" i="4"/>
  <c r="AL47" i="4"/>
  <c r="AL55" i="4"/>
  <c r="AL63" i="4"/>
  <c r="AL71" i="4"/>
  <c r="AL79" i="4"/>
  <c r="AL87" i="4"/>
  <c r="AL95" i="4"/>
  <c r="AL103" i="4"/>
  <c r="AL111" i="4"/>
  <c r="AL119" i="4"/>
  <c r="AL127" i="4"/>
  <c r="AL135" i="4"/>
  <c r="AL143" i="4"/>
  <c r="AL151" i="4"/>
  <c r="AL159" i="4"/>
  <c r="AL167" i="4"/>
  <c r="AL175" i="4"/>
  <c r="AL25" i="4"/>
  <c r="AL89" i="4"/>
  <c r="AL137" i="4"/>
  <c r="AL193" i="4"/>
  <c r="AL16" i="4"/>
  <c r="AL24" i="4"/>
  <c r="AL32" i="4"/>
  <c r="AL40" i="4"/>
  <c r="AL48" i="4"/>
  <c r="AL56" i="4"/>
  <c r="AL64" i="4"/>
  <c r="AL72" i="4"/>
  <c r="AL80" i="4"/>
  <c r="AL88" i="4"/>
  <c r="AL96" i="4"/>
  <c r="AL104" i="4"/>
  <c r="AL112" i="4"/>
  <c r="AL120" i="4"/>
  <c r="AL128" i="4"/>
  <c r="AL136" i="4"/>
  <c r="AL144" i="4"/>
  <c r="AL152" i="4"/>
  <c r="AL160" i="4"/>
  <c r="AL168" i="4"/>
  <c r="AL176" i="4"/>
  <c r="AL184" i="4"/>
  <c r="AL192" i="4"/>
  <c r="AL200" i="4"/>
  <c r="AL208" i="4"/>
  <c r="AL17" i="4"/>
  <c r="AL65" i="4"/>
  <c r="AL81" i="4"/>
  <c r="AL129" i="4"/>
  <c r="AL177" i="4"/>
  <c r="A35" i="3"/>
  <c r="AR24" i="3"/>
  <c r="AR25" i="3"/>
  <c r="A33" i="3"/>
  <c r="A28" i="3"/>
  <c r="B4" i="11"/>
  <c r="D4" i="11" s="1"/>
  <c r="B6" i="11" s="1"/>
  <c r="D6" i="11" s="1"/>
  <c r="AR26" i="3"/>
  <c r="A29" i="3"/>
  <c r="AQ29" i="3" s="1"/>
  <c r="AR30" i="3"/>
  <c r="AQ25" i="3"/>
  <c r="B26" i="3"/>
  <c r="N44" i="2"/>
  <c r="M44" i="2" s="1"/>
  <c r="C242" i="2" s="1"/>
  <c r="H10" i="4"/>
  <c r="H14" i="4"/>
  <c r="H18" i="4"/>
  <c r="H22" i="4"/>
  <c r="H26" i="4"/>
  <c r="H30" i="4"/>
  <c r="H34" i="4"/>
  <c r="H38" i="4"/>
  <c r="H42" i="4"/>
  <c r="H46" i="4"/>
  <c r="H50" i="4"/>
  <c r="H54" i="4"/>
  <c r="H58" i="4"/>
  <c r="H62" i="4"/>
  <c r="H66" i="4"/>
  <c r="H70" i="4"/>
  <c r="H74" i="4"/>
  <c r="H78" i="4"/>
  <c r="H82" i="4"/>
  <c r="H86" i="4"/>
  <c r="H90" i="4"/>
  <c r="H94" i="4"/>
  <c r="H98" i="4"/>
  <c r="H102" i="4"/>
  <c r="H106" i="4"/>
  <c r="H110" i="4"/>
  <c r="AI110" i="4" s="1"/>
  <c r="H114" i="4"/>
  <c r="AI114" i="4" s="1"/>
  <c r="H118" i="4"/>
  <c r="AI118" i="4" s="1"/>
  <c r="H122" i="4"/>
  <c r="AI122" i="4" s="1"/>
  <c r="H126" i="4"/>
  <c r="AI126" i="4" s="1"/>
  <c r="H130" i="4"/>
  <c r="AI130" i="4" s="1"/>
  <c r="H134" i="4"/>
  <c r="AI134" i="4" s="1"/>
  <c r="H138" i="4"/>
  <c r="AI138" i="4" s="1"/>
  <c r="H142" i="4"/>
  <c r="AI142" i="4" s="1"/>
  <c r="H146" i="4"/>
  <c r="AI146" i="4" s="1"/>
  <c r="H150" i="4"/>
  <c r="AI150" i="4" s="1"/>
  <c r="H154" i="4"/>
  <c r="AI154" i="4" s="1"/>
  <c r="H158" i="4"/>
  <c r="AI158" i="4" s="1"/>
  <c r="H162" i="4"/>
  <c r="AI162" i="4" s="1"/>
  <c r="H166" i="4"/>
  <c r="AI166" i="4" s="1"/>
  <c r="H170" i="4"/>
  <c r="AI170" i="4" s="1"/>
  <c r="H174" i="4"/>
  <c r="AI174" i="4" s="1"/>
  <c r="H178" i="4"/>
  <c r="AI178" i="4" s="1"/>
  <c r="H182" i="4"/>
  <c r="AI182" i="4" s="1"/>
  <c r="H186" i="4"/>
  <c r="AI186" i="4" s="1"/>
  <c r="H190" i="4"/>
  <c r="AI190" i="4" s="1"/>
  <c r="H194" i="4"/>
  <c r="AI194" i="4" s="1"/>
  <c r="H198" i="4"/>
  <c r="AI198" i="4" s="1"/>
  <c r="H202" i="4"/>
  <c r="AI202" i="4" s="1"/>
  <c r="H206" i="4"/>
  <c r="AI206" i="4" s="1"/>
  <c r="H9" i="4"/>
  <c r="H11" i="4"/>
  <c r="H23" i="4"/>
  <c r="H31" i="4"/>
  <c r="H35" i="4"/>
  <c r="H43" i="4"/>
  <c r="H51" i="4"/>
  <c r="H59" i="4"/>
  <c r="H63" i="4"/>
  <c r="H71" i="4"/>
  <c r="H79" i="4"/>
  <c r="H87" i="4"/>
  <c r="H99" i="4"/>
  <c r="H107" i="4"/>
  <c r="H115" i="4"/>
  <c r="AI115" i="4" s="1"/>
  <c r="H123" i="4"/>
  <c r="AI123" i="4" s="1"/>
  <c r="H131" i="4"/>
  <c r="AI131" i="4" s="1"/>
  <c r="H139" i="4"/>
  <c r="AI139" i="4" s="1"/>
  <c r="H147" i="4"/>
  <c r="AI147" i="4" s="1"/>
  <c r="H155" i="4"/>
  <c r="AI155" i="4" s="1"/>
  <c r="H163" i="4"/>
  <c r="AI163" i="4" s="1"/>
  <c r="H171" i="4"/>
  <c r="AI171" i="4" s="1"/>
  <c r="H183" i="4"/>
  <c r="AI183" i="4" s="1"/>
  <c r="H191" i="4"/>
  <c r="AI191" i="4" s="1"/>
  <c r="H199" i="4"/>
  <c r="AI199" i="4" s="1"/>
  <c r="H207" i="4"/>
  <c r="AI207" i="4" s="1"/>
  <c r="H13" i="4"/>
  <c r="H17" i="4"/>
  <c r="H21" i="4"/>
  <c r="H25" i="4"/>
  <c r="H29" i="4"/>
  <c r="H33" i="4"/>
  <c r="H37" i="4"/>
  <c r="H41" i="4"/>
  <c r="H45" i="4"/>
  <c r="H49" i="4"/>
  <c r="H53" i="4"/>
  <c r="H57" i="4"/>
  <c r="H61" i="4"/>
  <c r="H65" i="4"/>
  <c r="H69" i="4"/>
  <c r="H73" i="4"/>
  <c r="H77" i="4"/>
  <c r="H81" i="4"/>
  <c r="H85" i="4"/>
  <c r="AI85" i="4" s="1"/>
  <c r="H89" i="4"/>
  <c r="H93" i="4"/>
  <c r="H97" i="4"/>
  <c r="H101" i="4"/>
  <c r="H105" i="4"/>
  <c r="H109" i="4"/>
  <c r="H113" i="4"/>
  <c r="AI113" i="4" s="1"/>
  <c r="H117" i="4"/>
  <c r="AI117" i="4" s="1"/>
  <c r="H121" i="4"/>
  <c r="AI121" i="4" s="1"/>
  <c r="H125" i="4"/>
  <c r="AI125" i="4" s="1"/>
  <c r="H129" i="4"/>
  <c r="AI129" i="4" s="1"/>
  <c r="H133" i="4"/>
  <c r="AI133" i="4" s="1"/>
  <c r="H137" i="4"/>
  <c r="AI137" i="4" s="1"/>
  <c r="H141" i="4"/>
  <c r="AI141" i="4" s="1"/>
  <c r="H145" i="4"/>
  <c r="AI145" i="4" s="1"/>
  <c r="H149" i="4"/>
  <c r="AI149" i="4" s="1"/>
  <c r="H153" i="4"/>
  <c r="AI153" i="4" s="1"/>
  <c r="H157" i="4"/>
  <c r="AI157" i="4" s="1"/>
  <c r="H161" i="4"/>
  <c r="AI161" i="4" s="1"/>
  <c r="H165" i="4"/>
  <c r="AI165" i="4" s="1"/>
  <c r="H169" i="4"/>
  <c r="AI169" i="4" s="1"/>
  <c r="H173" i="4"/>
  <c r="AI173" i="4" s="1"/>
  <c r="H177" i="4"/>
  <c r="AI177" i="4" s="1"/>
  <c r="H181" i="4"/>
  <c r="AI181" i="4" s="1"/>
  <c r="H185" i="4"/>
  <c r="AI185" i="4" s="1"/>
  <c r="H189" i="4"/>
  <c r="AI189" i="4" s="1"/>
  <c r="H193" i="4"/>
  <c r="AI193" i="4" s="1"/>
  <c r="H197" i="4"/>
  <c r="AI197" i="4" s="1"/>
  <c r="H201" i="4"/>
  <c r="AI201" i="4" s="1"/>
  <c r="H205" i="4"/>
  <c r="AI205" i="4" s="1"/>
  <c r="H209" i="4"/>
  <c r="AI209" i="4" s="1"/>
  <c r="H15" i="4"/>
  <c r="H19" i="4"/>
  <c r="H27" i="4"/>
  <c r="H39" i="4"/>
  <c r="H47" i="4"/>
  <c r="H55" i="4"/>
  <c r="H67" i="4"/>
  <c r="H75" i="4"/>
  <c r="H83" i="4"/>
  <c r="H91" i="4"/>
  <c r="H95" i="4"/>
  <c r="H103" i="4"/>
  <c r="H111" i="4"/>
  <c r="AI111" i="4" s="1"/>
  <c r="H119" i="4"/>
  <c r="AI119" i="4" s="1"/>
  <c r="H127" i="4"/>
  <c r="AI127" i="4" s="1"/>
  <c r="H135" i="4"/>
  <c r="AI135" i="4" s="1"/>
  <c r="H143" i="4"/>
  <c r="AI143" i="4" s="1"/>
  <c r="H151" i="4"/>
  <c r="AI151" i="4" s="1"/>
  <c r="H159" i="4"/>
  <c r="AI159" i="4" s="1"/>
  <c r="H167" i="4"/>
  <c r="AI167" i="4" s="1"/>
  <c r="H175" i="4"/>
  <c r="AI175" i="4" s="1"/>
  <c r="H179" i="4"/>
  <c r="AI179" i="4" s="1"/>
  <c r="H187" i="4"/>
  <c r="AI187" i="4" s="1"/>
  <c r="H195" i="4"/>
  <c r="AI195" i="4" s="1"/>
  <c r="H203" i="4"/>
  <c r="AI203" i="4" s="1"/>
  <c r="H12" i="4"/>
  <c r="H16" i="4"/>
  <c r="H32" i="4"/>
  <c r="H48" i="4"/>
  <c r="H64" i="4"/>
  <c r="H80" i="4"/>
  <c r="H96" i="4"/>
  <c r="H112" i="4"/>
  <c r="AI112" i="4" s="1"/>
  <c r="H128" i="4"/>
  <c r="AI128" i="4" s="1"/>
  <c r="H144" i="4"/>
  <c r="AI144" i="4" s="1"/>
  <c r="H160" i="4"/>
  <c r="AI160" i="4" s="1"/>
  <c r="H176" i="4"/>
  <c r="AI176" i="4" s="1"/>
  <c r="H192" i="4"/>
  <c r="AI192" i="4" s="1"/>
  <c r="H208" i="4"/>
  <c r="AI208" i="4" s="1"/>
  <c r="H20" i="4"/>
  <c r="H36" i="4"/>
  <c r="H52" i="4"/>
  <c r="H68" i="4"/>
  <c r="H84" i="4"/>
  <c r="H100" i="4"/>
  <c r="H116" i="4"/>
  <c r="AI116" i="4" s="1"/>
  <c r="H132" i="4"/>
  <c r="AI132" i="4" s="1"/>
  <c r="H148" i="4"/>
  <c r="AI148" i="4" s="1"/>
  <c r="H164" i="4"/>
  <c r="AI164" i="4" s="1"/>
  <c r="H180" i="4"/>
  <c r="AI180" i="4" s="1"/>
  <c r="H196" i="4"/>
  <c r="AI196" i="4" s="1"/>
  <c r="H24" i="4"/>
  <c r="H40" i="4"/>
  <c r="H56" i="4"/>
  <c r="H72" i="4"/>
  <c r="H88" i="4"/>
  <c r="H104" i="4"/>
  <c r="H120" i="4"/>
  <c r="AI120" i="4" s="1"/>
  <c r="H136" i="4"/>
  <c r="AI136" i="4" s="1"/>
  <c r="H152" i="4"/>
  <c r="AI152" i="4" s="1"/>
  <c r="H168" i="4"/>
  <c r="AI168" i="4" s="1"/>
  <c r="H184" i="4"/>
  <c r="AI184" i="4" s="1"/>
  <c r="H200" i="4"/>
  <c r="AI200" i="4" s="1"/>
  <c r="H28" i="4"/>
  <c r="H44" i="4"/>
  <c r="H60" i="4"/>
  <c r="H76" i="4"/>
  <c r="H92" i="4"/>
  <c r="H108" i="4"/>
  <c r="H124" i="4"/>
  <c r="AI124" i="4" s="1"/>
  <c r="H140" i="4"/>
  <c r="AI140" i="4" s="1"/>
  <c r="H156" i="4"/>
  <c r="AI156" i="4" s="1"/>
  <c r="H172" i="4"/>
  <c r="AI172" i="4" s="1"/>
  <c r="H188" i="4"/>
  <c r="AI188" i="4" s="1"/>
  <c r="H204" i="4"/>
  <c r="AI204" i="4" s="1"/>
  <c r="M66" i="2"/>
  <c r="AM110" i="4"/>
  <c r="AK111" i="4"/>
  <c r="AK112" i="4"/>
  <c r="AM113" i="4"/>
  <c r="AM114" i="4"/>
  <c r="AK115" i="4"/>
  <c r="AK124" i="4"/>
  <c r="AK127" i="4"/>
  <c r="AK128" i="4"/>
  <c r="AM129" i="4"/>
  <c r="AM130" i="4"/>
  <c r="AK131" i="4"/>
  <c r="AK110" i="4"/>
  <c r="AM111" i="4"/>
  <c r="AM112" i="4"/>
  <c r="AK113" i="4"/>
  <c r="AK114" i="4"/>
  <c r="AM115" i="4"/>
  <c r="AK119" i="4"/>
  <c r="AK123" i="4"/>
  <c r="AM124" i="4"/>
  <c r="AK126" i="4"/>
  <c r="AM131" i="4"/>
  <c r="AM132" i="4"/>
  <c r="AM133" i="4"/>
  <c r="AM135" i="4"/>
  <c r="AM136" i="4"/>
  <c r="AM138" i="4"/>
  <c r="AM139" i="4"/>
  <c r="AM140" i="4"/>
  <c r="AM142" i="4"/>
  <c r="AM144" i="4"/>
  <c r="AK145" i="4"/>
  <c r="AM146" i="4"/>
  <c r="AK118" i="4"/>
  <c r="AM119" i="4"/>
  <c r="AK122" i="4"/>
  <c r="AM123" i="4"/>
  <c r="AK125" i="4"/>
  <c r="AM126" i="4"/>
  <c r="AM127" i="4"/>
  <c r="AK137" i="4"/>
  <c r="AK141" i="4"/>
  <c r="AM143" i="4"/>
  <c r="AM116" i="4"/>
  <c r="AM117" i="4"/>
  <c r="AM120" i="4"/>
  <c r="AM121" i="4"/>
  <c r="AM128" i="4"/>
  <c r="AK129" i="4"/>
  <c r="AK133" i="4"/>
  <c r="AM134" i="4"/>
  <c r="AM137" i="4"/>
  <c r="AM141" i="4"/>
  <c r="AK143" i="4"/>
  <c r="AK150" i="4"/>
  <c r="AK151" i="4"/>
  <c r="AK152" i="4"/>
  <c r="AK153" i="4"/>
  <c r="AM154" i="4"/>
  <c r="AM155" i="4"/>
  <c r="AK159" i="4"/>
  <c r="AK160" i="4"/>
  <c r="AM162" i="4"/>
  <c r="AM163" i="4"/>
  <c r="AM164" i="4"/>
  <c r="AM165" i="4"/>
  <c r="AM168" i="4"/>
  <c r="AM170" i="4"/>
  <c r="AM171" i="4"/>
  <c r="AM172" i="4"/>
  <c r="AM173" i="4"/>
  <c r="AM176" i="4"/>
  <c r="AK178" i="4"/>
  <c r="AK181" i="4"/>
  <c r="AM185" i="4"/>
  <c r="AM186" i="4"/>
  <c r="AM187" i="4"/>
  <c r="AK116" i="4"/>
  <c r="AM125" i="4"/>
  <c r="AK132" i="4"/>
  <c r="AK134" i="4"/>
  <c r="AK140" i="4"/>
  <c r="AK146" i="4"/>
  <c r="AM148" i="4"/>
  <c r="AK149" i="4"/>
  <c r="AM151" i="4"/>
  <c r="AK154" i="4"/>
  <c r="AM156" i="4"/>
  <c r="AK161" i="4"/>
  <c r="AK162" i="4"/>
  <c r="AK167" i="4"/>
  <c r="AK169" i="4"/>
  <c r="AK170" i="4"/>
  <c r="AK175" i="4"/>
  <c r="AM183" i="4"/>
  <c r="AK188" i="4"/>
  <c r="AK198" i="4"/>
  <c r="AM202" i="4"/>
  <c r="AK157" i="4"/>
  <c r="AM158" i="4"/>
  <c r="AM159" i="4"/>
  <c r="AK164" i="4"/>
  <c r="AM166" i="4"/>
  <c r="AK172" i="4"/>
  <c r="AM174" i="4"/>
  <c r="AK176" i="4"/>
  <c r="AK177" i="4"/>
  <c r="AM188" i="4"/>
  <c r="AM193" i="4"/>
  <c r="AM197" i="4"/>
  <c r="AM118" i="4"/>
  <c r="AK121" i="4"/>
  <c r="AK138" i="4"/>
  <c r="AK142" i="4"/>
  <c r="AM145" i="4"/>
  <c r="AM149" i="4"/>
  <c r="AM150" i="4"/>
  <c r="AM153" i="4"/>
  <c r="AK158" i="4"/>
  <c r="AM160" i="4"/>
  <c r="AK165" i="4"/>
  <c r="AK166" i="4"/>
  <c r="AM167" i="4"/>
  <c r="AK173" i="4"/>
  <c r="AK174" i="4"/>
  <c r="AM175" i="4"/>
  <c r="AK179" i="4"/>
  <c r="AM180" i="4"/>
  <c r="AK182" i="4"/>
  <c r="AK187" i="4"/>
  <c r="AK189" i="4"/>
  <c r="AK190" i="4"/>
  <c r="AK191" i="4"/>
  <c r="AM192" i="4"/>
  <c r="AK194" i="4"/>
  <c r="AK195" i="4"/>
  <c r="AM196" i="4"/>
  <c r="AK199" i="4"/>
  <c r="AK201" i="4"/>
  <c r="AK203" i="4"/>
  <c r="AM204" i="4"/>
  <c r="AK205" i="4"/>
  <c r="AK206" i="4"/>
  <c r="AK207" i="4"/>
  <c r="AM208" i="4"/>
  <c r="AK209" i="4"/>
  <c r="AK120" i="4"/>
  <c r="AK130" i="4"/>
  <c r="AK135" i="4"/>
  <c r="AK144" i="4"/>
  <c r="AK147" i="4"/>
  <c r="AM161" i="4"/>
  <c r="AM200" i="4"/>
  <c r="AK202" i="4"/>
  <c r="AK117" i="4"/>
  <c r="AM122" i="4"/>
  <c r="AK136" i="4"/>
  <c r="AK139" i="4"/>
  <c r="AM147" i="4"/>
  <c r="AK155" i="4"/>
  <c r="AK156" i="4"/>
  <c r="AM157" i="4"/>
  <c r="AK163" i="4"/>
  <c r="AK171" i="4"/>
  <c r="AM177" i="4"/>
  <c r="AM178" i="4"/>
  <c r="AM179" i="4"/>
  <c r="AK180" i="4"/>
  <c r="AM182" i="4"/>
  <c r="AK183" i="4"/>
  <c r="AM184" i="4"/>
  <c r="AK185" i="4"/>
  <c r="AM189" i="4"/>
  <c r="AM190" i="4"/>
  <c r="AM191" i="4"/>
  <c r="AK192" i="4"/>
  <c r="AM194" i="4"/>
  <c r="AM195" i="4"/>
  <c r="AK196" i="4"/>
  <c r="AM199" i="4"/>
  <c r="AM201" i="4"/>
  <c r="AM203" i="4"/>
  <c r="AK204" i="4"/>
  <c r="AM205" i="4"/>
  <c r="AM206" i="4"/>
  <c r="AM207" i="4"/>
  <c r="AK208" i="4"/>
  <c r="AM209" i="4"/>
  <c r="AK193" i="4"/>
  <c r="AK197" i="4"/>
  <c r="AK200" i="4"/>
  <c r="AK148" i="4"/>
  <c r="AM152" i="4"/>
  <c r="AK168" i="4"/>
  <c r="AM169" i="4"/>
  <c r="AM181" i="4"/>
  <c r="AK184" i="4"/>
  <c r="AK186" i="4"/>
  <c r="AM198" i="4"/>
  <c r="B250" i="2"/>
  <c r="E250" i="2" s="1"/>
  <c r="B38" i="2"/>
  <c r="B25" i="2"/>
  <c r="B26" i="2" s="1"/>
  <c r="B27" i="2"/>
  <c r="B28" i="2" s="1"/>
  <c r="B36" i="2"/>
  <c r="B34" i="2"/>
  <c r="A35" i="16"/>
  <c r="G3" i="8"/>
  <c r="G159" i="8" s="1"/>
  <c r="G158" i="8" s="1"/>
  <c r="G157" i="8" s="1"/>
  <c r="G156" i="8" s="1"/>
  <c r="G155" i="8" s="1"/>
  <c r="G154" i="8" s="1"/>
  <c r="G153" i="8" s="1"/>
  <c r="G152" i="8" s="1"/>
  <c r="G151" i="8" s="1"/>
  <c r="G150" i="8" s="1"/>
  <c r="G149" i="8" s="1"/>
  <c r="G148" i="8" s="1"/>
  <c r="G147" i="8" s="1"/>
  <c r="G146" i="8" s="1"/>
  <c r="G145" i="8" s="1"/>
  <c r="G144" i="8" s="1"/>
  <c r="G143" i="8" s="1"/>
  <c r="G142" i="8" s="1"/>
  <c r="G141" i="8" s="1"/>
  <c r="G140" i="8" s="1"/>
  <c r="G139" i="8" s="1"/>
  <c r="G138" i="8" s="1"/>
  <c r="G137" i="8" s="1"/>
  <c r="G136" i="8" s="1"/>
  <c r="G135" i="8" s="1"/>
  <c r="G134" i="8" s="1"/>
  <c r="G133" i="8" s="1"/>
  <c r="G132" i="8" s="1"/>
  <c r="G131" i="8" s="1"/>
  <c r="G130" i="8" s="1"/>
  <c r="G129" i="8" s="1"/>
  <c r="G128" i="8" s="1"/>
  <c r="G127" i="8" s="1"/>
  <c r="G126" i="8" s="1"/>
  <c r="G125" i="8" s="1"/>
  <c r="G124" i="8" s="1"/>
  <c r="G123" i="8" s="1"/>
  <c r="G122" i="8" s="1"/>
  <c r="G121" i="8" s="1"/>
  <c r="G120" i="8" s="1"/>
  <c r="G119" i="8" s="1"/>
  <c r="G118" i="8" s="1"/>
  <c r="G117" i="8" s="1"/>
  <c r="G116" i="8" s="1"/>
  <c r="G115" i="8" s="1"/>
  <c r="G114" i="8" s="1"/>
  <c r="G113" i="8" s="1"/>
  <c r="G112" i="8" s="1"/>
  <c r="G111" i="8" s="1"/>
  <c r="G110" i="8" s="1"/>
  <c r="G109" i="8" s="1"/>
  <c r="G108" i="8" s="1"/>
  <c r="G107" i="8" s="1"/>
  <c r="G106" i="8" s="1"/>
  <c r="G105" i="8" s="1"/>
  <c r="G104" i="8" s="1"/>
  <c r="G103" i="8" s="1"/>
  <c r="G102" i="8" s="1"/>
  <c r="G101" i="8" s="1"/>
  <c r="G100" i="8" s="1"/>
  <c r="G99" i="8" s="1"/>
  <c r="G98" i="8" s="1"/>
  <c r="G97" i="8" s="1"/>
  <c r="G96" i="8" s="1"/>
  <c r="G95" i="8" s="1"/>
  <c r="G94" i="8" s="1"/>
  <c r="G93" i="8" s="1"/>
  <c r="G92" i="8" s="1"/>
  <c r="G91" i="8" s="1"/>
  <c r="G90" i="8" s="1"/>
  <c r="G89" i="8" s="1"/>
  <c r="G88" i="8" s="1"/>
  <c r="G87" i="8" s="1"/>
  <c r="G86" i="8" s="1"/>
  <c r="G85" i="8" s="1"/>
  <c r="G84" i="8" s="1"/>
  <c r="G83" i="8" s="1"/>
  <c r="G82" i="8" s="1"/>
  <c r="G81" i="8" s="1"/>
  <c r="G80" i="8" s="1"/>
  <c r="G79" i="8" s="1"/>
  <c r="G78" i="8" s="1"/>
  <c r="G77" i="8" s="1"/>
  <c r="G76" i="8" s="1"/>
  <c r="G75" i="8" s="1"/>
  <c r="G74" i="8" s="1"/>
  <c r="G73" i="8" s="1"/>
  <c r="G72" i="8" s="1"/>
  <c r="G71" i="8" s="1"/>
  <c r="G70" i="8" s="1"/>
  <c r="G69" i="8" s="1"/>
  <c r="G68" i="8" s="1"/>
  <c r="G67" i="8" s="1"/>
  <c r="G66" i="8" s="1"/>
  <c r="G65" i="8" s="1"/>
  <c r="G64" i="8" s="1"/>
  <c r="G63" i="8" s="1"/>
  <c r="G62" i="8" s="1"/>
  <c r="G61" i="8" s="1"/>
  <c r="G60" i="8" s="1"/>
  <c r="G59" i="8" s="1"/>
  <c r="G58" i="8" s="1"/>
  <c r="G57" i="8" s="1"/>
  <c r="G56" i="8" s="1"/>
  <c r="G55" i="8" s="1"/>
  <c r="G54" i="8" s="1"/>
  <c r="G53" i="8" s="1"/>
  <c r="G52" i="8" s="1"/>
  <c r="G51" i="8" s="1"/>
  <c r="G50" i="8" s="1"/>
  <c r="G49" i="8" s="1"/>
  <c r="G48" i="8" s="1"/>
  <c r="G47" i="8" s="1"/>
  <c r="G46" i="8" s="1"/>
  <c r="G45" i="8" s="1"/>
  <c r="G44" i="8" s="1"/>
  <c r="G43" i="8" s="1"/>
  <c r="G42" i="8" s="1"/>
  <c r="G41" i="8" s="1"/>
  <c r="G40" i="8" s="1"/>
  <c r="G39" i="8" s="1"/>
  <c r="G38" i="8" s="1"/>
  <c r="G37" i="8" s="1"/>
  <c r="G36" i="8" s="1"/>
  <c r="G35" i="8" s="1"/>
  <c r="G34" i="8" s="1"/>
  <c r="G33" i="8" s="1"/>
  <c r="G32" i="8" s="1"/>
  <c r="G31" i="8" s="1"/>
  <c r="G30" i="8" s="1"/>
  <c r="G29" i="8" s="1"/>
  <c r="G28" i="8" s="1"/>
  <c r="G27" i="8" s="1"/>
  <c r="G26" i="8" s="1"/>
  <c r="G25" i="8" s="1"/>
  <c r="G24" i="8" s="1"/>
  <c r="G23" i="8" s="1"/>
  <c r="G22" i="8" s="1"/>
  <c r="G21" i="8" s="1"/>
  <c r="G20" i="8" s="1"/>
  <c r="G19" i="8" s="1"/>
  <c r="G18" i="8" s="1"/>
  <c r="G17" i="8" s="1"/>
  <c r="G16" i="8" s="1"/>
  <c r="G15" i="8" s="1"/>
  <c r="G14" i="8" s="1"/>
  <c r="G13" i="8" s="1"/>
  <c r="G12" i="8" s="1"/>
  <c r="G11" i="8" s="1"/>
  <c r="G10" i="8" s="1"/>
  <c r="G9" i="8" s="1"/>
  <c r="G8" i="8" s="1"/>
  <c r="G7" i="8" s="1"/>
  <c r="G6" i="8" s="1"/>
  <c r="G4" i="8" s="1"/>
  <c r="B90" i="2"/>
  <c r="B3" i="8" s="1"/>
  <c r="B159" i="8" s="1"/>
  <c r="B158" i="8" s="1"/>
  <c r="B157" i="8" s="1"/>
  <c r="B156" i="8" s="1"/>
  <c r="B155" i="8" s="1"/>
  <c r="B154" i="8" s="1"/>
  <c r="B153" i="8" s="1"/>
  <c r="B152" i="8" s="1"/>
  <c r="B151" i="8" s="1"/>
  <c r="B150" i="8" s="1"/>
  <c r="B149" i="8" s="1"/>
  <c r="B148" i="8" s="1"/>
  <c r="B147" i="8" s="1"/>
  <c r="B146" i="8" s="1"/>
  <c r="B145" i="8" s="1"/>
  <c r="B144" i="8" s="1"/>
  <c r="B143" i="8" s="1"/>
  <c r="B142" i="8" s="1"/>
  <c r="B141" i="8" s="1"/>
  <c r="B140" i="8" s="1"/>
  <c r="B139" i="8" s="1"/>
  <c r="B138" i="8" s="1"/>
  <c r="B137" i="8" s="1"/>
  <c r="B136" i="8" s="1"/>
  <c r="B135" i="8" s="1"/>
  <c r="B134" i="8" s="1"/>
  <c r="B133" i="8" s="1"/>
  <c r="B132" i="8" s="1"/>
  <c r="B131" i="8" s="1"/>
  <c r="B130" i="8" s="1"/>
  <c r="B129" i="8" s="1"/>
  <c r="B128" i="8" s="1"/>
  <c r="B127" i="8" s="1"/>
  <c r="B126" i="8" s="1"/>
  <c r="B125" i="8" s="1"/>
  <c r="B124" i="8" s="1"/>
  <c r="B123" i="8" s="1"/>
  <c r="B122" i="8" s="1"/>
  <c r="B121" i="8" s="1"/>
  <c r="B120" i="8" s="1"/>
  <c r="B119" i="8" s="1"/>
  <c r="B118" i="8" s="1"/>
  <c r="B117" i="8" s="1"/>
  <c r="B116" i="8" s="1"/>
  <c r="B115" i="8" s="1"/>
  <c r="B114" i="8" s="1"/>
  <c r="B113" i="8" s="1"/>
  <c r="B112" i="8" s="1"/>
  <c r="B111" i="8" s="1"/>
  <c r="B110" i="8" s="1"/>
  <c r="B109" i="8" s="1"/>
  <c r="B108" i="8" s="1"/>
  <c r="B107" i="8" s="1"/>
  <c r="B106" i="8" s="1"/>
  <c r="B105" i="8" s="1"/>
  <c r="B104" i="8" s="1"/>
  <c r="B103" i="8" s="1"/>
  <c r="B102" i="8" s="1"/>
  <c r="B101" i="8" s="1"/>
  <c r="B100" i="8" s="1"/>
  <c r="B99" i="8" s="1"/>
  <c r="B98" i="8" s="1"/>
  <c r="B97" i="8" s="1"/>
  <c r="B96" i="8" s="1"/>
  <c r="B95" i="8" s="1"/>
  <c r="B94" i="8" s="1"/>
  <c r="B93" i="8" s="1"/>
  <c r="B92" i="8" s="1"/>
  <c r="B91" i="8" s="1"/>
  <c r="B90" i="8" s="1"/>
  <c r="B89" i="8" s="1"/>
  <c r="B88" i="8" s="1"/>
  <c r="B87" i="8" s="1"/>
  <c r="B86" i="8" s="1"/>
  <c r="B85" i="8" s="1"/>
  <c r="B84" i="8" s="1"/>
  <c r="B83" i="8" s="1"/>
  <c r="B82" i="8" s="1"/>
  <c r="B81" i="8" s="1"/>
  <c r="B80" i="8" s="1"/>
  <c r="B79" i="8" s="1"/>
  <c r="B78" i="8" s="1"/>
  <c r="B77" i="8" s="1"/>
  <c r="B76" i="8" s="1"/>
  <c r="B75" i="8" s="1"/>
  <c r="B74" i="8" s="1"/>
  <c r="B73" i="8" s="1"/>
  <c r="B72" i="8" s="1"/>
  <c r="B71" i="8" s="1"/>
  <c r="B70" i="8" s="1"/>
  <c r="B69" i="8" s="1"/>
  <c r="B68" i="8" s="1"/>
  <c r="B67" i="8" s="1"/>
  <c r="B66" i="8" s="1"/>
  <c r="B65" i="8" s="1"/>
  <c r="B64" i="8" s="1"/>
  <c r="B63" i="8" s="1"/>
  <c r="B62" i="8" s="1"/>
  <c r="B61" i="8" s="1"/>
  <c r="B60" i="8" s="1"/>
  <c r="B59" i="8" s="1"/>
  <c r="B58" i="8" s="1"/>
  <c r="B57" i="8" s="1"/>
  <c r="B56" i="8" s="1"/>
  <c r="B55" i="8" s="1"/>
  <c r="B54" i="8" s="1"/>
  <c r="B53" i="8" s="1"/>
  <c r="B52" i="8" s="1"/>
  <c r="B51" i="8" s="1"/>
  <c r="B50" i="8" s="1"/>
  <c r="B49" i="8" s="1"/>
  <c r="B48" i="8" s="1"/>
  <c r="B47" i="8" s="1"/>
  <c r="B46" i="8" s="1"/>
  <c r="B45" i="8" s="1"/>
  <c r="B44" i="8" s="1"/>
  <c r="B43" i="8" s="1"/>
  <c r="B42" i="8" s="1"/>
  <c r="B41" i="8" s="1"/>
  <c r="B40" i="8" s="1"/>
  <c r="B39" i="8" s="1"/>
  <c r="B38" i="8" s="1"/>
  <c r="B37" i="8" s="1"/>
  <c r="B36" i="8" s="1"/>
  <c r="B35" i="8" s="1"/>
  <c r="B34" i="8" s="1"/>
  <c r="B33" i="8" s="1"/>
  <c r="B32" i="8" s="1"/>
  <c r="B31" i="8" s="1"/>
  <c r="B30" i="8" s="1"/>
  <c r="B29" i="8" s="1"/>
  <c r="B28" i="8" s="1"/>
  <c r="B27" i="8" s="1"/>
  <c r="B26" i="8" s="1"/>
  <c r="B25" i="8" s="1"/>
  <c r="B24" i="8" s="1"/>
  <c r="B23" i="8" s="1"/>
  <c r="B22" i="8" s="1"/>
  <c r="B21" i="8" s="1"/>
  <c r="B20" i="8" s="1"/>
  <c r="B19" i="8" s="1"/>
  <c r="B18" i="8" s="1"/>
  <c r="B17" i="8" s="1"/>
  <c r="B16" i="8" s="1"/>
  <c r="B15" i="8" s="1"/>
  <c r="B14" i="8" s="1"/>
  <c r="B13" i="8" s="1"/>
  <c r="B12" i="8" s="1"/>
  <c r="B11" i="8" s="1"/>
  <c r="B10" i="8" s="1"/>
  <c r="B9" i="8" s="1"/>
  <c r="B8" i="8" s="1"/>
  <c r="B7" i="8" s="1"/>
  <c r="B6" i="8" s="1"/>
  <c r="B4" i="8" s="1"/>
  <c r="B131" i="2"/>
  <c r="J136" i="3" s="1"/>
  <c r="AK10" i="4"/>
  <c r="B19" i="4"/>
  <c r="B34" i="3"/>
  <c r="AR34" i="3"/>
  <c r="AQ34" i="3"/>
  <c r="AQ24" i="3"/>
  <c r="B248" i="2"/>
  <c r="B18" i="4"/>
  <c r="AK24" i="4"/>
  <c r="AJ173" i="3"/>
  <c r="AJ565" i="3"/>
  <c r="AK57" i="4"/>
  <c r="C273" i="2"/>
  <c r="AJ19" i="3"/>
  <c r="AJ175" i="3"/>
  <c r="AJ150" i="3"/>
  <c r="R4" i="8"/>
  <c r="S4" i="8" s="1"/>
  <c r="E13" i="1" s="1"/>
  <c r="B23" i="2"/>
  <c r="B85" i="2" s="1"/>
  <c r="AJ264" i="3"/>
  <c r="AJ522" i="3"/>
  <c r="AJ512" i="3"/>
  <c r="AJ71" i="3"/>
  <c r="AJ553" i="3"/>
  <c r="AJ136" i="3"/>
  <c r="AJ545" i="3"/>
  <c r="AJ195" i="3"/>
  <c r="AJ281" i="3"/>
  <c r="AJ634" i="3"/>
  <c r="AJ384" i="3"/>
  <c r="AJ475" i="3"/>
  <c r="AJ322" i="3"/>
  <c r="AJ434" i="3"/>
  <c r="AJ463" i="3"/>
  <c r="AJ328" i="3"/>
  <c r="AJ200" i="3"/>
  <c r="AJ72" i="3"/>
  <c r="AJ241" i="3"/>
  <c r="AJ639" i="3"/>
  <c r="AJ394" i="3"/>
  <c r="AJ511" i="3"/>
  <c r="AJ105" i="3"/>
  <c r="AJ437" i="3"/>
  <c r="AJ666" i="3"/>
  <c r="AJ576" i="3"/>
  <c r="AJ448" i="3"/>
  <c r="AJ303" i="3"/>
  <c r="AJ603" i="3"/>
  <c r="AJ347" i="3"/>
  <c r="AJ236" i="3"/>
  <c r="AJ66" i="3"/>
  <c r="AJ18" i="3"/>
  <c r="AJ606" i="3"/>
  <c r="AJ187" i="3"/>
  <c r="AJ253" i="3"/>
  <c r="AJ296" i="3"/>
  <c r="AJ232" i="3"/>
  <c r="AJ168" i="3"/>
  <c r="AJ104" i="3"/>
  <c r="AJ40" i="3"/>
  <c r="AJ85" i="3"/>
  <c r="AJ417" i="3"/>
  <c r="AJ671" i="3"/>
  <c r="AJ586" i="3"/>
  <c r="AJ458" i="3"/>
  <c r="AJ323" i="3"/>
  <c r="R10" i="8"/>
  <c r="S10" i="8" s="1"/>
  <c r="AJ383" i="3"/>
  <c r="AJ41" i="3"/>
  <c r="AJ153" i="3"/>
  <c r="AJ373" i="3"/>
  <c r="AJ501" i="3"/>
  <c r="AJ674" i="3"/>
  <c r="AJ650" i="3"/>
  <c r="AJ608" i="3"/>
  <c r="AJ544" i="3"/>
  <c r="AJ480" i="3"/>
  <c r="AJ416" i="3"/>
  <c r="AJ352" i="3"/>
  <c r="AJ239" i="3"/>
  <c r="AJ91" i="3"/>
  <c r="AJ539" i="3"/>
  <c r="AJ411" i="3"/>
  <c r="AJ229" i="3"/>
  <c r="AJ278" i="3"/>
  <c r="AJ194" i="3"/>
  <c r="AJ108" i="3"/>
  <c r="AJ28" i="3"/>
  <c r="AJ377" i="3"/>
  <c r="AJ659" i="3"/>
  <c r="AJ518" i="3"/>
  <c r="AJ141" i="3"/>
  <c r="AJ688" i="3"/>
  <c r="AK25" i="4"/>
  <c r="F64" i="1"/>
  <c r="N159" i="8"/>
  <c r="N158" i="8" s="1"/>
  <c r="N157" i="8" s="1"/>
  <c r="N156" i="8" s="1"/>
  <c r="N155" i="8" s="1"/>
  <c r="N154" i="8" s="1"/>
  <c r="N153" i="8" s="1"/>
  <c r="N152" i="8" s="1"/>
  <c r="N151" i="8" s="1"/>
  <c r="N150" i="8" s="1"/>
  <c r="N149" i="8" s="1"/>
  <c r="N148" i="8" s="1"/>
  <c r="N147" i="8" s="1"/>
  <c r="N146" i="8" s="1"/>
  <c r="N145" i="8" s="1"/>
  <c r="N144" i="8" s="1"/>
  <c r="N143" i="8" s="1"/>
  <c r="N142" i="8" s="1"/>
  <c r="N141" i="8" s="1"/>
  <c r="N140" i="8" s="1"/>
  <c r="N139" i="8" s="1"/>
  <c r="N138" i="8" s="1"/>
  <c r="N137" i="8" s="1"/>
  <c r="N136" i="8" s="1"/>
  <c r="N135" i="8" s="1"/>
  <c r="N134" i="8" s="1"/>
  <c r="N133" i="8" s="1"/>
  <c r="N132" i="8" s="1"/>
  <c r="N131" i="8" s="1"/>
  <c r="N130" i="8" s="1"/>
  <c r="N129" i="8" s="1"/>
  <c r="N128" i="8" s="1"/>
  <c r="N127" i="8" s="1"/>
  <c r="N126" i="8" s="1"/>
  <c r="N125" i="8" s="1"/>
  <c r="N124" i="8" s="1"/>
  <c r="N123" i="8" s="1"/>
  <c r="N122" i="8" s="1"/>
  <c r="N121" i="8" s="1"/>
  <c r="N120" i="8" s="1"/>
  <c r="N119" i="8" s="1"/>
  <c r="N118" i="8" s="1"/>
  <c r="N117" i="8" s="1"/>
  <c r="N116" i="8" s="1"/>
  <c r="N115" i="8" s="1"/>
  <c r="N114" i="8" s="1"/>
  <c r="N113" i="8" s="1"/>
  <c r="N112" i="8" s="1"/>
  <c r="N111" i="8" s="1"/>
  <c r="N110" i="8" s="1"/>
  <c r="N109" i="8" s="1"/>
  <c r="N108" i="8" s="1"/>
  <c r="N107" i="8" s="1"/>
  <c r="N106" i="8" s="1"/>
  <c r="N105" i="8" s="1"/>
  <c r="N104" i="8" s="1"/>
  <c r="N103" i="8" s="1"/>
  <c r="N102" i="8" s="1"/>
  <c r="N101" i="8" s="1"/>
  <c r="N100" i="8" s="1"/>
  <c r="N99" i="8" s="1"/>
  <c r="N98" i="8" s="1"/>
  <c r="N97" i="8" s="1"/>
  <c r="N96" i="8" s="1"/>
  <c r="N95" i="8" s="1"/>
  <c r="N94" i="8" s="1"/>
  <c r="N93" i="8" s="1"/>
  <c r="N92" i="8" s="1"/>
  <c r="N91" i="8" s="1"/>
  <c r="N90" i="8" s="1"/>
  <c r="N89" i="8" s="1"/>
  <c r="N88" i="8" s="1"/>
  <c r="N87" i="8" s="1"/>
  <c r="N86" i="8" s="1"/>
  <c r="N85" i="8" s="1"/>
  <c r="N84" i="8" s="1"/>
  <c r="N83" i="8" s="1"/>
  <c r="N82" i="8" s="1"/>
  <c r="N81" i="8" s="1"/>
  <c r="N80" i="8" s="1"/>
  <c r="N79" i="8" s="1"/>
  <c r="N78" i="8" s="1"/>
  <c r="N77" i="8" s="1"/>
  <c r="N76" i="8" s="1"/>
  <c r="N75" i="8" s="1"/>
  <c r="N74" i="8" s="1"/>
  <c r="N73" i="8" s="1"/>
  <c r="N72" i="8" s="1"/>
  <c r="N71" i="8" s="1"/>
  <c r="N70" i="8" s="1"/>
  <c r="N69" i="8" s="1"/>
  <c r="N68" i="8" s="1"/>
  <c r="N67" i="8" s="1"/>
  <c r="N66" i="8" s="1"/>
  <c r="N65" i="8" s="1"/>
  <c r="N64" i="8" s="1"/>
  <c r="N63" i="8" s="1"/>
  <c r="N62" i="8" s="1"/>
  <c r="N61" i="8" s="1"/>
  <c r="N60" i="8" s="1"/>
  <c r="N59" i="8" s="1"/>
  <c r="N58" i="8" s="1"/>
  <c r="N57" i="8" s="1"/>
  <c r="N56" i="8" s="1"/>
  <c r="N55" i="8" s="1"/>
  <c r="N54" i="8" s="1"/>
  <c r="N53" i="8" s="1"/>
  <c r="N52" i="8" s="1"/>
  <c r="N51" i="8" s="1"/>
  <c r="N50" i="8" s="1"/>
  <c r="N49" i="8" s="1"/>
  <c r="N48" i="8" s="1"/>
  <c r="N47" i="8" s="1"/>
  <c r="N46" i="8" s="1"/>
  <c r="N45" i="8" s="1"/>
  <c r="N44" i="8" s="1"/>
  <c r="N43" i="8" s="1"/>
  <c r="N42" i="8" s="1"/>
  <c r="N41" i="8" s="1"/>
  <c r="N40" i="8" s="1"/>
  <c r="N39" i="8" s="1"/>
  <c r="N38" i="8" s="1"/>
  <c r="N37" i="8" s="1"/>
  <c r="N36" i="8" s="1"/>
  <c r="N35" i="8" s="1"/>
  <c r="N34" i="8" s="1"/>
  <c r="N33" i="8" s="1"/>
  <c r="N32" i="8" s="1"/>
  <c r="N31" i="8" s="1"/>
  <c r="N30" i="8" s="1"/>
  <c r="N29" i="8" s="1"/>
  <c r="N28" i="8" s="1"/>
  <c r="N27" i="8" s="1"/>
  <c r="N26" i="8" s="1"/>
  <c r="N25" i="8" s="1"/>
  <c r="N24" i="8" s="1"/>
  <c r="N23" i="8" s="1"/>
  <c r="N22" i="8" s="1"/>
  <c r="N21" i="8" s="1"/>
  <c r="N20" i="8" s="1"/>
  <c r="N19" i="8" s="1"/>
  <c r="N18" i="8" s="1"/>
  <c r="N17" i="8" s="1"/>
  <c r="N16" i="8" s="1"/>
  <c r="N15" i="8" s="1"/>
  <c r="N14" i="8" s="1"/>
  <c r="N13" i="8" s="1"/>
  <c r="N12" i="8" s="1"/>
  <c r="N11" i="8" s="1"/>
  <c r="N10" i="8" s="1"/>
  <c r="N9" i="8" s="1"/>
  <c r="N8" i="8" s="1"/>
  <c r="N7" i="8" s="1"/>
  <c r="N6" i="8" s="1"/>
  <c r="B53" i="4"/>
  <c r="B22" i="4"/>
  <c r="B194" i="2"/>
  <c r="B45" i="4" s="1"/>
  <c r="B14" i="4"/>
  <c r="AJ375" i="3"/>
  <c r="AJ551" i="3"/>
  <c r="B127" i="2"/>
  <c r="B153" i="2" s="1"/>
  <c r="B146" i="2" s="1"/>
  <c r="AJ312" i="3"/>
  <c r="AJ280" i="3"/>
  <c r="AJ248" i="3"/>
  <c r="AJ216" i="3"/>
  <c r="AJ184" i="3"/>
  <c r="AJ152" i="3"/>
  <c r="AJ120" i="3"/>
  <c r="AJ88" i="3"/>
  <c r="AJ56" i="3"/>
  <c r="AJ29" i="3"/>
  <c r="AJ16" i="3"/>
  <c r="AJ95" i="3"/>
  <c r="AJ353" i="3"/>
  <c r="AJ481" i="3"/>
  <c r="AJ609" i="3"/>
  <c r="AJ655" i="3"/>
  <c r="AJ618" i="3"/>
  <c r="AJ554" i="3"/>
  <c r="AJ490" i="3"/>
  <c r="AJ426" i="3"/>
  <c r="AJ362" i="3"/>
  <c r="AJ259" i="3"/>
  <c r="AJ131" i="3"/>
  <c r="AJ575" i="3"/>
  <c r="AJ447" i="3"/>
  <c r="AJ301" i="3"/>
  <c r="AJ73" i="3"/>
  <c r="AJ47" i="3"/>
  <c r="AJ217" i="3"/>
  <c r="AJ341" i="3"/>
  <c r="AJ405" i="3"/>
  <c r="AJ469" i="3"/>
  <c r="AJ533" i="3"/>
  <c r="AJ597" i="3"/>
  <c r="AJ687" i="3"/>
  <c r="AJ658" i="3"/>
  <c r="AJ642" i="3"/>
  <c r="AJ624" i="3"/>
  <c r="AJ592" i="3"/>
  <c r="AJ560" i="3"/>
  <c r="AJ528" i="3"/>
  <c r="AJ496" i="3"/>
  <c r="AJ464" i="3"/>
  <c r="AJ432" i="3"/>
  <c r="AJ400" i="3"/>
  <c r="AJ368" i="3"/>
  <c r="AJ335" i="3"/>
  <c r="AJ271" i="3"/>
  <c r="AJ207" i="3"/>
  <c r="AJ143" i="3"/>
  <c r="AJ14" i="3"/>
  <c r="AJ571" i="3"/>
  <c r="AJ507" i="3"/>
  <c r="AJ443" i="3"/>
  <c r="AJ379" i="3"/>
  <c r="AJ293" i="3"/>
  <c r="AJ165" i="3"/>
  <c r="AJ300" i="3"/>
  <c r="AJ258" i="3"/>
  <c r="AJ214" i="3"/>
  <c r="AJ172" i="3"/>
  <c r="AJ130" i="3"/>
  <c r="AJ86" i="3"/>
  <c r="AJ44" i="3"/>
  <c r="AJ13" i="3"/>
  <c r="AJ61" i="3"/>
  <c r="AJ257" i="3"/>
  <c r="AJ465" i="3"/>
  <c r="AJ675" i="3"/>
  <c r="AJ637" i="3"/>
  <c r="AJ562" i="3"/>
  <c r="AJ478" i="3"/>
  <c r="AJ390" i="3"/>
  <c r="AJ275" i="3"/>
  <c r="AJ83" i="3"/>
  <c r="AK67" i="4"/>
  <c r="AK89" i="4"/>
  <c r="AK15" i="4"/>
  <c r="AJ583" i="3"/>
  <c r="B25" i="4"/>
  <c r="B171" i="2"/>
  <c r="AJ333" i="3"/>
  <c r="AJ423" i="3"/>
  <c r="AJ503" i="3"/>
  <c r="AJ591" i="3"/>
  <c r="AJ336" i="3"/>
  <c r="AJ320" i="3"/>
  <c r="AJ304" i="3"/>
  <c r="AJ288" i="3"/>
  <c r="AJ272" i="3"/>
  <c r="AJ256" i="3"/>
  <c r="AJ240" i="3"/>
  <c r="AJ224" i="3"/>
  <c r="AJ208" i="3"/>
  <c r="AJ192" i="3"/>
  <c r="AJ176" i="3"/>
  <c r="AJ160" i="3"/>
  <c r="AJ144" i="3"/>
  <c r="AJ128" i="3"/>
  <c r="AJ112" i="3"/>
  <c r="AJ96" i="3"/>
  <c r="AJ80" i="3"/>
  <c r="AJ64" i="3"/>
  <c r="AJ48" i="3"/>
  <c r="AJ35" i="3"/>
  <c r="AJ24" i="3"/>
  <c r="AJ11" i="3"/>
  <c r="AJ53" i="3"/>
  <c r="AJ117" i="3"/>
  <c r="AJ177" i="3"/>
  <c r="AJ305" i="3"/>
  <c r="AJ385" i="3"/>
  <c r="AJ449" i="3"/>
  <c r="AJ513" i="3"/>
  <c r="AJ577" i="3"/>
  <c r="AJ682" i="3"/>
  <c r="AJ663" i="3"/>
  <c r="AJ647" i="3"/>
  <c r="AJ631" i="3"/>
  <c r="AJ602" i="3"/>
  <c r="AJ570" i="3"/>
  <c r="AJ538" i="3"/>
  <c r="AJ506" i="3"/>
  <c r="AJ474" i="3"/>
  <c r="AJ442" i="3"/>
  <c r="AJ410" i="3"/>
  <c r="AJ378" i="3"/>
  <c r="AJ346" i="3"/>
  <c r="AJ291" i="3"/>
  <c r="AJ227" i="3"/>
  <c r="AJ163" i="3"/>
  <c r="AJ67" i="3"/>
  <c r="AJ607" i="3"/>
  <c r="AJ543" i="3"/>
  <c r="AJ479" i="3"/>
  <c r="AJ415" i="3"/>
  <c r="AJ351" i="3"/>
  <c r="AJ237" i="3"/>
  <c r="AJ87" i="3"/>
  <c r="AJ57" i="3"/>
  <c r="AJ89" i="3"/>
  <c r="AJ121" i="3"/>
  <c r="AJ111" i="3"/>
  <c r="AJ185" i="3"/>
  <c r="AJ249" i="3"/>
  <c r="AJ313" i="3"/>
  <c r="AJ357" i="3"/>
  <c r="AJ389" i="3"/>
  <c r="AJ421" i="3"/>
  <c r="AJ453" i="3"/>
  <c r="AJ485" i="3"/>
  <c r="AJ517" i="3"/>
  <c r="AJ549" i="3"/>
  <c r="AJ581" i="3"/>
  <c r="AJ613" i="3"/>
  <c r="AJ683" i="3"/>
  <c r="AJ670" i="3"/>
  <c r="AJ662" i="3"/>
  <c r="AJ654" i="3"/>
  <c r="AJ646" i="3"/>
  <c r="AJ638" i="3"/>
  <c r="AJ630" i="3"/>
  <c r="AJ616" i="3"/>
  <c r="AJ600" i="3"/>
  <c r="AJ584" i="3"/>
  <c r="AJ568" i="3"/>
  <c r="AJ552" i="3"/>
  <c r="AJ536" i="3"/>
  <c r="AJ520" i="3"/>
  <c r="AJ504" i="3"/>
  <c r="AJ488" i="3"/>
  <c r="AJ472" i="3"/>
  <c r="AJ456" i="3"/>
  <c r="AJ440" i="3"/>
  <c r="AJ424" i="3"/>
  <c r="AJ408" i="3"/>
  <c r="AJ392" i="3"/>
  <c r="AJ376" i="3"/>
  <c r="AJ360" i="3"/>
  <c r="AJ344" i="3"/>
  <c r="AJ319" i="3"/>
  <c r="AJ287" i="3"/>
  <c r="AJ255" i="3"/>
  <c r="AJ223" i="3"/>
  <c r="AJ191" i="3"/>
  <c r="AJ159" i="3"/>
  <c r="AJ123" i="3"/>
  <c r="AJ59" i="3"/>
  <c r="AJ619" i="3"/>
  <c r="AJ587" i="3"/>
  <c r="AJ555" i="3"/>
  <c r="AJ523" i="3"/>
  <c r="AJ491" i="3"/>
  <c r="AJ459" i="3"/>
  <c r="AJ427" i="3"/>
  <c r="AJ395" i="3"/>
  <c r="AJ363" i="3"/>
  <c r="AJ325" i="3"/>
  <c r="AJ261" i="3"/>
  <c r="AJ197" i="3"/>
  <c r="AJ133" i="3"/>
  <c r="AJ34" i="3"/>
  <c r="AK98" i="4"/>
  <c r="AJ332" i="3"/>
  <c r="AJ310" i="3"/>
  <c r="AJ290" i="3"/>
  <c r="AJ268" i="3"/>
  <c r="AJ246" i="3"/>
  <c r="AJ226" i="3"/>
  <c r="AJ204" i="3"/>
  <c r="AJ182" i="3"/>
  <c r="AJ162" i="3"/>
  <c r="AJ140" i="3"/>
  <c r="AJ118" i="3"/>
  <c r="AJ98" i="3"/>
  <c r="AJ76" i="3"/>
  <c r="AJ54" i="3"/>
  <c r="AJ36" i="3"/>
  <c r="AJ21" i="3"/>
  <c r="AJ101" i="3"/>
  <c r="AJ161" i="3"/>
  <c r="AJ337" i="3"/>
  <c r="AJ425" i="3"/>
  <c r="AJ505" i="3"/>
  <c r="AJ593" i="3"/>
  <c r="AJ669" i="3"/>
  <c r="AJ649" i="3"/>
  <c r="AJ626" i="3"/>
  <c r="AJ582" i="3"/>
  <c r="AJ542" i="3"/>
  <c r="AJ498" i="3"/>
  <c r="AJ454" i="3"/>
  <c r="AJ414" i="3"/>
  <c r="AJ370" i="3"/>
  <c r="AJ315" i="3"/>
  <c r="AJ235" i="3"/>
  <c r="AJ147" i="3"/>
  <c r="AK77" i="4"/>
  <c r="AK45" i="4"/>
  <c r="AK90" i="4"/>
  <c r="AK78" i="4"/>
  <c r="AK36" i="4"/>
  <c r="AJ359" i="3"/>
  <c r="AJ471" i="3"/>
  <c r="AK106" i="4"/>
  <c r="AK38" i="4"/>
  <c r="AK108" i="4"/>
  <c r="AK14" i="4"/>
  <c r="AK35" i="4"/>
  <c r="AK56" i="4"/>
  <c r="AK79" i="4"/>
  <c r="AK100" i="4"/>
  <c r="AK42" i="4"/>
  <c r="AK34" i="4"/>
  <c r="AK96" i="4"/>
  <c r="AK68" i="4"/>
  <c r="AK47" i="4"/>
  <c r="B54" i="4"/>
  <c r="B224" i="2"/>
  <c r="B39" i="4"/>
  <c r="B77" i="4"/>
  <c r="B223" i="2"/>
  <c r="AJ55" i="3"/>
  <c r="AJ205" i="3"/>
  <c r="AJ317" i="3"/>
  <c r="AJ391" i="3"/>
  <c r="AJ439" i="3"/>
  <c r="AJ495" i="3"/>
  <c r="AJ559" i="3"/>
  <c r="AJ615" i="3"/>
  <c r="AJ26" i="3"/>
  <c r="AJ115" i="3"/>
  <c r="AJ171" i="3"/>
  <c r="AJ211" i="3"/>
  <c r="AJ251" i="3"/>
  <c r="AJ299" i="3"/>
  <c r="AJ338" i="3"/>
  <c r="AJ358" i="3"/>
  <c r="AJ382" i="3"/>
  <c r="AJ402" i="3"/>
  <c r="AJ422" i="3"/>
  <c r="AJ446" i="3"/>
  <c r="AJ466" i="3"/>
  <c r="AJ486" i="3"/>
  <c r="AJ510" i="3"/>
  <c r="AJ530" i="3"/>
  <c r="AJ550" i="3"/>
  <c r="AJ574" i="3"/>
  <c r="AJ594" i="3"/>
  <c r="AJ614" i="3"/>
  <c r="AJ633" i="3"/>
  <c r="AJ643" i="3"/>
  <c r="AJ653" i="3"/>
  <c r="AJ665" i="3"/>
  <c r="AJ686" i="3"/>
  <c r="AJ617" i="3"/>
  <c r="AJ569" i="3"/>
  <c r="AJ529" i="3"/>
  <c r="AJ489" i="3"/>
  <c r="AJ441" i="3"/>
  <c r="AJ401" i="3"/>
  <c r="AJ361" i="3"/>
  <c r="AJ289" i="3"/>
  <c r="AJ209" i="3"/>
  <c r="AJ127" i="3"/>
  <c r="AJ125" i="3"/>
  <c r="AJ77" i="3"/>
  <c r="AJ30" i="3"/>
  <c r="AJ17" i="3"/>
  <c r="AJ25" i="3"/>
  <c r="AJ32" i="3"/>
  <c r="AJ38" i="3"/>
  <c r="AJ50" i="3"/>
  <c r="AJ60" i="3"/>
  <c r="AJ70" i="3"/>
  <c r="AJ82" i="3"/>
  <c r="AJ92" i="3"/>
  <c r="AJ102" i="3"/>
  <c r="AJ114" i="3"/>
  <c r="AJ124" i="3"/>
  <c r="AJ134" i="3"/>
  <c r="AJ146" i="3"/>
  <c r="AJ156" i="3"/>
  <c r="AJ166" i="3"/>
  <c r="AJ178" i="3"/>
  <c r="AJ188" i="3"/>
  <c r="AJ198" i="3"/>
  <c r="AJ210" i="3"/>
  <c r="AJ220" i="3"/>
  <c r="AJ230" i="3"/>
  <c r="AJ242" i="3"/>
  <c r="AJ252" i="3"/>
  <c r="AJ262" i="3"/>
  <c r="AJ274" i="3"/>
  <c r="AJ284" i="3"/>
  <c r="AJ294" i="3"/>
  <c r="AJ306" i="3"/>
  <c r="AJ316" i="3"/>
  <c r="AJ326" i="3"/>
  <c r="AJ39" i="3"/>
  <c r="AJ103" i="3"/>
  <c r="AJ149" i="3"/>
  <c r="AJ181" i="3"/>
  <c r="AJ213" i="3"/>
  <c r="AJ245" i="3"/>
  <c r="AJ277" i="3"/>
  <c r="AJ309" i="3"/>
  <c r="AJ339" i="3"/>
  <c r="AJ355" i="3"/>
  <c r="AJ371" i="3"/>
  <c r="AJ387" i="3"/>
  <c r="AJ403" i="3"/>
  <c r="AJ419" i="3"/>
  <c r="AJ435" i="3"/>
  <c r="AJ451" i="3"/>
  <c r="AJ467" i="3"/>
  <c r="AJ483" i="3"/>
  <c r="AJ499" i="3"/>
  <c r="AJ515" i="3"/>
  <c r="AJ531" i="3"/>
  <c r="AJ547" i="3"/>
  <c r="AJ563" i="3"/>
  <c r="AJ579" i="3"/>
  <c r="AJ595" i="3"/>
  <c r="AJ611" i="3"/>
  <c r="AJ627" i="3"/>
  <c r="AJ43" i="3"/>
  <c r="AJ75" i="3"/>
  <c r="AJ107" i="3"/>
  <c r="AJ135" i="3"/>
  <c r="AJ151" i="3"/>
  <c r="AJ167" i="3"/>
  <c r="AJ183" i="3"/>
  <c r="AJ199" i="3"/>
  <c r="AJ215" i="3"/>
  <c r="AJ231" i="3"/>
  <c r="AJ247" i="3"/>
  <c r="AJ263" i="3"/>
  <c r="AJ279" i="3"/>
  <c r="AJ295" i="3"/>
  <c r="AJ311" i="3"/>
  <c r="AJ327" i="3"/>
  <c r="AJ340" i="3"/>
  <c r="AJ348" i="3"/>
  <c r="AJ356" i="3"/>
  <c r="AJ364" i="3"/>
  <c r="AJ372" i="3"/>
  <c r="AJ380" i="3"/>
  <c r="AJ388" i="3"/>
  <c r="AJ396" i="3"/>
  <c r="AJ404" i="3"/>
  <c r="AJ412" i="3"/>
  <c r="AJ420" i="3"/>
  <c r="AJ428" i="3"/>
  <c r="AJ436" i="3"/>
  <c r="AJ444" i="3"/>
  <c r="AJ452" i="3"/>
  <c r="AJ460" i="3"/>
  <c r="AJ468" i="3"/>
  <c r="AJ476" i="3"/>
  <c r="AJ484" i="3"/>
  <c r="AJ492" i="3"/>
  <c r="AJ500" i="3"/>
  <c r="AJ508" i="3"/>
  <c r="AJ516" i="3"/>
  <c r="AJ524" i="3"/>
  <c r="AJ532" i="3"/>
  <c r="AJ540" i="3"/>
  <c r="AJ548" i="3"/>
  <c r="AJ556" i="3"/>
  <c r="AJ564" i="3"/>
  <c r="AJ572" i="3"/>
  <c r="AJ580" i="3"/>
  <c r="AJ588" i="3"/>
  <c r="AJ596" i="3"/>
  <c r="AJ604" i="3"/>
  <c r="AJ612" i="3"/>
  <c r="AJ620" i="3"/>
  <c r="AJ628" i="3"/>
  <c r="AJ632" i="3"/>
  <c r="AJ636" i="3"/>
  <c r="AJ640" i="3"/>
  <c r="AJ644" i="3"/>
  <c r="AJ648" i="3"/>
  <c r="AJ652" i="3"/>
  <c r="AJ656" i="3"/>
  <c r="AJ660" i="3"/>
  <c r="AJ664" i="3"/>
  <c r="AJ668" i="3"/>
  <c r="AJ672" i="3"/>
  <c r="AJ685" i="3"/>
  <c r="AJ676" i="3"/>
  <c r="AJ621" i="3"/>
  <c r="AJ605" i="3"/>
  <c r="AJ589" i="3"/>
  <c r="AJ573" i="3"/>
  <c r="AJ557" i="3"/>
  <c r="AJ541" i="3"/>
  <c r="AJ525" i="3"/>
  <c r="AJ509" i="3"/>
  <c r="AJ493" i="3"/>
  <c r="AJ477" i="3"/>
  <c r="AJ461" i="3"/>
  <c r="AJ445" i="3"/>
  <c r="AJ429" i="3"/>
  <c r="AJ413" i="3"/>
  <c r="AJ397" i="3"/>
  <c r="AJ381" i="3"/>
  <c r="AJ365" i="3"/>
  <c r="AJ349" i="3"/>
  <c r="AJ329" i="3"/>
  <c r="AJ297" i="3"/>
  <c r="AJ265" i="3"/>
  <c r="AJ233" i="3"/>
  <c r="AJ201" i="3"/>
  <c r="AJ169" i="3"/>
  <c r="AJ137" i="3"/>
  <c r="AJ79" i="3"/>
  <c r="AJ129" i="3"/>
  <c r="AJ113" i="3"/>
  <c r="AJ97" i="3"/>
  <c r="AJ81" i="3"/>
  <c r="AJ65" i="3"/>
  <c r="AJ49" i="3"/>
  <c r="AK74" i="4"/>
  <c r="AK20" i="4"/>
  <c r="AK31" i="4"/>
  <c r="AK41" i="4"/>
  <c r="AK52" i="4"/>
  <c r="AK63" i="4"/>
  <c r="AK73" i="4"/>
  <c r="AK84" i="4"/>
  <c r="AK101" i="4"/>
  <c r="AK58" i="4"/>
  <c r="AK18" i="4"/>
  <c r="AK22" i="4"/>
  <c r="AK82" i="4"/>
  <c r="AK107" i="4"/>
  <c r="AK95" i="4"/>
  <c r="AK83" i="4"/>
  <c r="AK72" i="4"/>
  <c r="AK61" i="4"/>
  <c r="AK51" i="4"/>
  <c r="AK40" i="4"/>
  <c r="AK29" i="4"/>
  <c r="AK19" i="4"/>
  <c r="AK103" i="4"/>
  <c r="AK104" i="4"/>
  <c r="AK87" i="4"/>
  <c r="AK66" i="4"/>
  <c r="D145" i="2"/>
  <c r="B24" i="4"/>
  <c r="B12" i="4"/>
  <c r="AJ527" i="3"/>
  <c r="AJ407" i="3"/>
  <c r="AJ269" i="3"/>
  <c r="M159" i="8"/>
  <c r="M158" i="8" s="1"/>
  <c r="M157" i="8" s="1"/>
  <c r="M156" i="8" s="1"/>
  <c r="M155" i="8" s="1"/>
  <c r="M154" i="8" s="1"/>
  <c r="M153" i="8" s="1"/>
  <c r="M152" i="8" s="1"/>
  <c r="M151" i="8" s="1"/>
  <c r="M150" i="8" s="1"/>
  <c r="M149" i="8" s="1"/>
  <c r="M148" i="8" s="1"/>
  <c r="M147" i="8" s="1"/>
  <c r="M146" i="8" s="1"/>
  <c r="M145" i="8" s="1"/>
  <c r="M144" i="8" s="1"/>
  <c r="M143" i="8" s="1"/>
  <c r="M142" i="8" s="1"/>
  <c r="M141" i="8" s="1"/>
  <c r="M140" i="8" s="1"/>
  <c r="M139" i="8" s="1"/>
  <c r="M138" i="8" s="1"/>
  <c r="M137" i="8" s="1"/>
  <c r="M136" i="8" s="1"/>
  <c r="M135" i="8" s="1"/>
  <c r="M134" i="8" s="1"/>
  <c r="M133" i="8" s="1"/>
  <c r="M132" i="8" s="1"/>
  <c r="M131" i="8" s="1"/>
  <c r="M130" i="8" s="1"/>
  <c r="M129" i="8" s="1"/>
  <c r="M128" i="8" s="1"/>
  <c r="M127" i="8" s="1"/>
  <c r="M126" i="8" s="1"/>
  <c r="M125" i="8" s="1"/>
  <c r="M124" i="8" s="1"/>
  <c r="M123" i="8" s="1"/>
  <c r="M122" i="8" s="1"/>
  <c r="M121" i="8" s="1"/>
  <c r="M120" i="8" s="1"/>
  <c r="M119" i="8" s="1"/>
  <c r="M118" i="8" s="1"/>
  <c r="M117" i="8" s="1"/>
  <c r="M116" i="8" s="1"/>
  <c r="M115" i="8" s="1"/>
  <c r="M114" i="8" s="1"/>
  <c r="M113" i="8" s="1"/>
  <c r="M112" i="8" s="1"/>
  <c r="M111" i="8" s="1"/>
  <c r="M110" i="8" s="1"/>
  <c r="M109" i="8" s="1"/>
  <c r="M108" i="8" s="1"/>
  <c r="M107" i="8" s="1"/>
  <c r="M106" i="8" s="1"/>
  <c r="M105" i="8" s="1"/>
  <c r="M104" i="8" s="1"/>
  <c r="M103" i="8" s="1"/>
  <c r="M102" i="8" s="1"/>
  <c r="M101" i="8" s="1"/>
  <c r="M100" i="8" s="1"/>
  <c r="M99" i="8" s="1"/>
  <c r="M98" i="8" s="1"/>
  <c r="M97" i="8" s="1"/>
  <c r="M96" i="8" s="1"/>
  <c r="M95" i="8" s="1"/>
  <c r="M94" i="8" s="1"/>
  <c r="M93" i="8" s="1"/>
  <c r="M92" i="8" s="1"/>
  <c r="M91" i="8" s="1"/>
  <c r="M90" i="8" s="1"/>
  <c r="M89" i="8" s="1"/>
  <c r="M88" i="8" s="1"/>
  <c r="M87" i="8" s="1"/>
  <c r="M86" i="8" s="1"/>
  <c r="M85" i="8" s="1"/>
  <c r="M84" i="8" s="1"/>
  <c r="M83" i="8" s="1"/>
  <c r="M82" i="8" s="1"/>
  <c r="M81" i="8" s="1"/>
  <c r="M80" i="8" s="1"/>
  <c r="M79" i="8" s="1"/>
  <c r="M78" i="8" s="1"/>
  <c r="M77" i="8" s="1"/>
  <c r="M76" i="8" s="1"/>
  <c r="M75" i="8" s="1"/>
  <c r="M74" i="8" s="1"/>
  <c r="M73" i="8" s="1"/>
  <c r="M72" i="8" s="1"/>
  <c r="M71" i="8" s="1"/>
  <c r="M70" i="8" s="1"/>
  <c r="M69" i="8" s="1"/>
  <c r="M68" i="8" s="1"/>
  <c r="M67" i="8" s="1"/>
  <c r="M66" i="8" s="1"/>
  <c r="M65" i="8" s="1"/>
  <c r="M64" i="8" s="1"/>
  <c r="M63" i="8" s="1"/>
  <c r="M62" i="8" s="1"/>
  <c r="M61" i="8" s="1"/>
  <c r="M60" i="8" s="1"/>
  <c r="M59" i="8" s="1"/>
  <c r="M58" i="8" s="1"/>
  <c r="M57" i="8" s="1"/>
  <c r="M56" i="8" s="1"/>
  <c r="M55" i="8" s="1"/>
  <c r="M54" i="8" s="1"/>
  <c r="M53" i="8" s="1"/>
  <c r="M52" i="8" s="1"/>
  <c r="M51" i="8" s="1"/>
  <c r="M50" i="8" s="1"/>
  <c r="M49" i="8" s="1"/>
  <c r="M48" i="8" s="1"/>
  <c r="M47" i="8" s="1"/>
  <c r="M46" i="8" s="1"/>
  <c r="M45" i="8" s="1"/>
  <c r="M44" i="8" s="1"/>
  <c r="M43" i="8" s="1"/>
  <c r="M42" i="8" s="1"/>
  <c r="M41" i="8" s="1"/>
  <c r="M40" i="8" s="1"/>
  <c r="M39" i="8" s="1"/>
  <c r="M38" i="8" s="1"/>
  <c r="M37" i="8" s="1"/>
  <c r="M36" i="8" s="1"/>
  <c r="M35" i="8" s="1"/>
  <c r="M34" i="8" s="1"/>
  <c r="M33" i="8" s="1"/>
  <c r="M32" i="8" s="1"/>
  <c r="M31" i="8" s="1"/>
  <c r="M30" i="8" s="1"/>
  <c r="M29" i="8" s="1"/>
  <c r="M28" i="8" s="1"/>
  <c r="M27" i="8" s="1"/>
  <c r="M26" i="8" s="1"/>
  <c r="M25" i="8" s="1"/>
  <c r="M24" i="8" s="1"/>
  <c r="M23" i="8" s="1"/>
  <c r="M22" i="8" s="1"/>
  <c r="M21" i="8" s="1"/>
  <c r="M20" i="8" s="1"/>
  <c r="M19" i="8" s="1"/>
  <c r="M18" i="8" s="1"/>
  <c r="M17" i="8" s="1"/>
  <c r="M16" i="8" s="1"/>
  <c r="M15" i="8" s="1"/>
  <c r="M14" i="8" s="1"/>
  <c r="M13" i="8" s="1"/>
  <c r="M12" i="8" s="1"/>
  <c r="M11" i="8" s="1"/>
  <c r="M10" i="8" s="1"/>
  <c r="M9" i="8" s="1"/>
  <c r="M8" i="8" s="1"/>
  <c r="M7" i="8" s="1"/>
  <c r="M6" i="8" s="1"/>
  <c r="M4" i="8" s="1"/>
  <c r="J159" i="8"/>
  <c r="J158" i="8" s="1"/>
  <c r="J157" i="8" s="1"/>
  <c r="J156" i="8" s="1"/>
  <c r="J155" i="8" s="1"/>
  <c r="J154" i="8" s="1"/>
  <c r="J153" i="8" s="1"/>
  <c r="J152" i="8" s="1"/>
  <c r="J151" i="8" s="1"/>
  <c r="J150" i="8" s="1"/>
  <c r="J149" i="8" s="1"/>
  <c r="J148" i="8" s="1"/>
  <c r="J147" i="8" s="1"/>
  <c r="J146" i="8" s="1"/>
  <c r="J145" i="8" s="1"/>
  <c r="J144" i="8" s="1"/>
  <c r="J143" i="8" s="1"/>
  <c r="J142" i="8" s="1"/>
  <c r="J141" i="8" s="1"/>
  <c r="J140" i="8" s="1"/>
  <c r="J139" i="8" s="1"/>
  <c r="J138" i="8" s="1"/>
  <c r="J137" i="8" s="1"/>
  <c r="J136" i="8" s="1"/>
  <c r="J135" i="8" s="1"/>
  <c r="J134" i="8" s="1"/>
  <c r="J133" i="8" s="1"/>
  <c r="J132" i="8" s="1"/>
  <c r="J131" i="8" s="1"/>
  <c r="J130" i="8" s="1"/>
  <c r="J129" i="8" s="1"/>
  <c r="J128" i="8" s="1"/>
  <c r="J127" i="8" s="1"/>
  <c r="J126" i="8" s="1"/>
  <c r="J125" i="8" s="1"/>
  <c r="J124" i="8" s="1"/>
  <c r="J123" i="8" s="1"/>
  <c r="J122" i="8" s="1"/>
  <c r="J121" i="8" s="1"/>
  <c r="J120" i="8" s="1"/>
  <c r="J119" i="8" s="1"/>
  <c r="J118" i="8" s="1"/>
  <c r="J117" i="8" s="1"/>
  <c r="J116" i="8" s="1"/>
  <c r="J115" i="8" s="1"/>
  <c r="J114" i="8" s="1"/>
  <c r="J113" i="8" s="1"/>
  <c r="J112" i="8" s="1"/>
  <c r="J111" i="8" s="1"/>
  <c r="J110" i="8" s="1"/>
  <c r="J109" i="8" s="1"/>
  <c r="J108" i="8" s="1"/>
  <c r="J107" i="8" s="1"/>
  <c r="J106" i="8" s="1"/>
  <c r="J105" i="8" s="1"/>
  <c r="J104" i="8" s="1"/>
  <c r="J103" i="8" s="1"/>
  <c r="J102" i="8" s="1"/>
  <c r="J101" i="8" s="1"/>
  <c r="J100" i="8" s="1"/>
  <c r="J99" i="8" s="1"/>
  <c r="J98" i="8" s="1"/>
  <c r="J97" i="8" s="1"/>
  <c r="J96" i="8" s="1"/>
  <c r="J95" i="8" s="1"/>
  <c r="J94" i="8" s="1"/>
  <c r="J93" i="8" s="1"/>
  <c r="J92" i="8" s="1"/>
  <c r="J91" i="8" s="1"/>
  <c r="J90" i="8" s="1"/>
  <c r="J89" i="8" s="1"/>
  <c r="J88" i="8" s="1"/>
  <c r="J87" i="8" s="1"/>
  <c r="J86" i="8" s="1"/>
  <c r="J85" i="8" s="1"/>
  <c r="J84" i="8" s="1"/>
  <c r="J83" i="8" s="1"/>
  <c r="J82" i="8" s="1"/>
  <c r="J81" i="8" s="1"/>
  <c r="J80" i="8" s="1"/>
  <c r="J79" i="8" s="1"/>
  <c r="J78" i="8" s="1"/>
  <c r="J77" i="8" s="1"/>
  <c r="J76" i="8" s="1"/>
  <c r="J75" i="8" s="1"/>
  <c r="J74" i="8" s="1"/>
  <c r="J73" i="8" s="1"/>
  <c r="J72" i="8" s="1"/>
  <c r="J71" i="8" s="1"/>
  <c r="J70" i="8" s="1"/>
  <c r="J69" i="8" s="1"/>
  <c r="J68" i="8" s="1"/>
  <c r="J67" i="8" s="1"/>
  <c r="J66" i="8" s="1"/>
  <c r="J65" i="8" s="1"/>
  <c r="J64" i="8" s="1"/>
  <c r="J63" i="8" s="1"/>
  <c r="J62" i="8" s="1"/>
  <c r="J61" i="8" s="1"/>
  <c r="J60" i="8" s="1"/>
  <c r="J59" i="8" s="1"/>
  <c r="J58" i="8" s="1"/>
  <c r="J57" i="8" s="1"/>
  <c r="J56" i="8" s="1"/>
  <c r="J55" i="8" s="1"/>
  <c r="J54" i="8" s="1"/>
  <c r="J53" i="8" s="1"/>
  <c r="J52" i="8" s="1"/>
  <c r="J51" i="8" s="1"/>
  <c r="J50" i="8" s="1"/>
  <c r="J49" i="8" s="1"/>
  <c r="J48" i="8" s="1"/>
  <c r="J47" i="8" s="1"/>
  <c r="J46" i="8" s="1"/>
  <c r="J45" i="8" s="1"/>
  <c r="J44" i="8" s="1"/>
  <c r="J43" i="8" s="1"/>
  <c r="J42" i="8" s="1"/>
  <c r="J41" i="8" s="1"/>
  <c r="J40" i="8" s="1"/>
  <c r="J39" i="8" s="1"/>
  <c r="J38" i="8" s="1"/>
  <c r="J37" i="8" s="1"/>
  <c r="J36" i="8" s="1"/>
  <c r="J35" i="8" s="1"/>
  <c r="J34" i="8" s="1"/>
  <c r="J33" i="8" s="1"/>
  <c r="J32" i="8" s="1"/>
  <c r="J31" i="8" s="1"/>
  <c r="J30" i="8" s="1"/>
  <c r="J29" i="8" s="1"/>
  <c r="J28" i="8" s="1"/>
  <c r="J27" i="8" s="1"/>
  <c r="J26" i="8" s="1"/>
  <c r="J25" i="8" s="1"/>
  <c r="J24" i="8" s="1"/>
  <c r="J23" i="8" s="1"/>
  <c r="J22" i="8" s="1"/>
  <c r="J21" i="8" s="1"/>
  <c r="J20" i="8" s="1"/>
  <c r="J19" i="8" s="1"/>
  <c r="J18" i="8" s="1"/>
  <c r="J17" i="8" s="1"/>
  <c r="J16" i="8" s="1"/>
  <c r="J15" i="8" s="1"/>
  <c r="J14" i="8" s="1"/>
  <c r="J13" i="8" s="1"/>
  <c r="J12" i="8" s="1"/>
  <c r="J11" i="8" s="1"/>
  <c r="J10" i="8" s="1"/>
  <c r="J9" i="8" s="1"/>
  <c r="J8" i="8" s="1"/>
  <c r="J7" i="8" s="1"/>
  <c r="J6" i="8" s="1"/>
  <c r="J4" i="8" s="1"/>
  <c r="L159" i="8"/>
  <c r="L158" i="8" s="1"/>
  <c r="L157" i="8" s="1"/>
  <c r="L156" i="8" s="1"/>
  <c r="L155" i="8" s="1"/>
  <c r="L154" i="8" s="1"/>
  <c r="L153" i="8" s="1"/>
  <c r="L152" i="8" s="1"/>
  <c r="L151" i="8" s="1"/>
  <c r="L150" i="8" s="1"/>
  <c r="L149" i="8" s="1"/>
  <c r="L148" i="8" s="1"/>
  <c r="L147" i="8" s="1"/>
  <c r="L146" i="8" s="1"/>
  <c r="L145" i="8" s="1"/>
  <c r="L144" i="8" s="1"/>
  <c r="L143" i="8" s="1"/>
  <c r="L142" i="8" s="1"/>
  <c r="L141" i="8" s="1"/>
  <c r="L140" i="8" s="1"/>
  <c r="L139" i="8" s="1"/>
  <c r="L138" i="8" s="1"/>
  <c r="L137" i="8" s="1"/>
  <c r="L136" i="8" s="1"/>
  <c r="L135" i="8" s="1"/>
  <c r="L134" i="8" s="1"/>
  <c r="L133" i="8" s="1"/>
  <c r="L132" i="8" s="1"/>
  <c r="L131" i="8" s="1"/>
  <c r="L130" i="8" s="1"/>
  <c r="L129" i="8" s="1"/>
  <c r="L128" i="8" s="1"/>
  <c r="L127" i="8" s="1"/>
  <c r="L126" i="8" s="1"/>
  <c r="L125" i="8" s="1"/>
  <c r="L124" i="8" s="1"/>
  <c r="L123" i="8" s="1"/>
  <c r="L122" i="8" s="1"/>
  <c r="L121" i="8" s="1"/>
  <c r="L120" i="8" s="1"/>
  <c r="L119" i="8" s="1"/>
  <c r="L118" i="8" s="1"/>
  <c r="L117" i="8" s="1"/>
  <c r="L116" i="8" s="1"/>
  <c r="L115" i="8" s="1"/>
  <c r="L114" i="8" s="1"/>
  <c r="L113" i="8" s="1"/>
  <c r="L112" i="8" s="1"/>
  <c r="L111" i="8" s="1"/>
  <c r="L110" i="8" s="1"/>
  <c r="L109" i="8" s="1"/>
  <c r="L108" i="8" s="1"/>
  <c r="L107" i="8" s="1"/>
  <c r="L106" i="8" s="1"/>
  <c r="L105" i="8" s="1"/>
  <c r="L104" i="8" s="1"/>
  <c r="L103" i="8" s="1"/>
  <c r="L102" i="8" s="1"/>
  <c r="L101" i="8" s="1"/>
  <c r="L100" i="8" s="1"/>
  <c r="L99" i="8" s="1"/>
  <c r="L98" i="8" s="1"/>
  <c r="L97" i="8" s="1"/>
  <c r="L96" i="8" s="1"/>
  <c r="L95" i="8" s="1"/>
  <c r="L94" i="8" s="1"/>
  <c r="L93" i="8" s="1"/>
  <c r="L92" i="8" s="1"/>
  <c r="L91" i="8" s="1"/>
  <c r="L90" i="8" s="1"/>
  <c r="L89" i="8" s="1"/>
  <c r="L88" i="8" s="1"/>
  <c r="L87" i="8" s="1"/>
  <c r="L86" i="8" s="1"/>
  <c r="L85" i="8" s="1"/>
  <c r="L84" i="8" s="1"/>
  <c r="L83" i="8" s="1"/>
  <c r="L82" i="8" s="1"/>
  <c r="L81" i="8" s="1"/>
  <c r="L80" i="8" s="1"/>
  <c r="L79" i="8" s="1"/>
  <c r="L78" i="8" s="1"/>
  <c r="L77" i="8" s="1"/>
  <c r="L76" i="8" s="1"/>
  <c r="L75" i="8" s="1"/>
  <c r="L74" i="8" s="1"/>
  <c r="L73" i="8" s="1"/>
  <c r="L72" i="8" s="1"/>
  <c r="L71" i="8" s="1"/>
  <c r="L70" i="8" s="1"/>
  <c r="L69" i="8" s="1"/>
  <c r="L68" i="8" s="1"/>
  <c r="L67" i="8" s="1"/>
  <c r="L66" i="8" s="1"/>
  <c r="L65" i="8" s="1"/>
  <c r="L64" i="8" s="1"/>
  <c r="L63" i="8" s="1"/>
  <c r="L62" i="8" s="1"/>
  <c r="L61" i="8" s="1"/>
  <c r="L60" i="8" s="1"/>
  <c r="L59" i="8" s="1"/>
  <c r="L58" i="8" s="1"/>
  <c r="L57" i="8" s="1"/>
  <c r="L56" i="8" s="1"/>
  <c r="L55" i="8" s="1"/>
  <c r="L54" i="8" s="1"/>
  <c r="L53" i="8" s="1"/>
  <c r="L52" i="8" s="1"/>
  <c r="L51" i="8" s="1"/>
  <c r="L50" i="8" s="1"/>
  <c r="L49" i="8" s="1"/>
  <c r="L48" i="8" s="1"/>
  <c r="L47" i="8" s="1"/>
  <c r="L46" i="8" s="1"/>
  <c r="L45" i="8" s="1"/>
  <c r="L44" i="8" s="1"/>
  <c r="L43" i="8" s="1"/>
  <c r="L42" i="8" s="1"/>
  <c r="L41" i="8" s="1"/>
  <c r="L40" i="8" s="1"/>
  <c r="L39" i="8" s="1"/>
  <c r="L38" i="8" s="1"/>
  <c r="L37" i="8" s="1"/>
  <c r="L36" i="8" s="1"/>
  <c r="L35" i="8" s="1"/>
  <c r="L34" i="8" s="1"/>
  <c r="L33" i="8" s="1"/>
  <c r="L32" i="8" s="1"/>
  <c r="L31" i="8" s="1"/>
  <c r="L30" i="8" s="1"/>
  <c r="L29" i="8" s="1"/>
  <c r="L28" i="8" s="1"/>
  <c r="L27" i="8" s="1"/>
  <c r="L26" i="8" s="1"/>
  <c r="L25" i="8" s="1"/>
  <c r="L24" i="8" s="1"/>
  <c r="L23" i="8" s="1"/>
  <c r="L22" i="8" s="1"/>
  <c r="L21" i="8" s="1"/>
  <c r="L20" i="8" s="1"/>
  <c r="L19" i="8" s="1"/>
  <c r="L18" i="8" s="1"/>
  <c r="L17" i="8" s="1"/>
  <c r="L16" i="8" s="1"/>
  <c r="L15" i="8" s="1"/>
  <c r="L14" i="8" s="1"/>
  <c r="L13" i="8" s="1"/>
  <c r="L12" i="8" s="1"/>
  <c r="L11" i="8" s="1"/>
  <c r="L10" i="8" s="1"/>
  <c r="L9" i="8" s="1"/>
  <c r="L8" i="8" s="1"/>
  <c r="L7" i="8" s="1"/>
  <c r="L6" i="8" s="1"/>
  <c r="L4" i="8" s="1"/>
  <c r="I159" i="8"/>
  <c r="I158" i="8" s="1"/>
  <c r="I157" i="8" s="1"/>
  <c r="I156" i="8" s="1"/>
  <c r="I155" i="8" s="1"/>
  <c r="I154" i="8" s="1"/>
  <c r="I153" i="8" s="1"/>
  <c r="I152" i="8" s="1"/>
  <c r="I151" i="8" s="1"/>
  <c r="I150" i="8" s="1"/>
  <c r="I149" i="8" s="1"/>
  <c r="I148" i="8" s="1"/>
  <c r="I147" i="8" s="1"/>
  <c r="I146" i="8" s="1"/>
  <c r="I145" i="8" s="1"/>
  <c r="I144" i="8" s="1"/>
  <c r="I143" i="8" s="1"/>
  <c r="I142" i="8" s="1"/>
  <c r="I141" i="8" s="1"/>
  <c r="I140" i="8" s="1"/>
  <c r="I139" i="8" s="1"/>
  <c r="I138" i="8" s="1"/>
  <c r="I137" i="8" s="1"/>
  <c r="I136" i="8" s="1"/>
  <c r="I135" i="8" s="1"/>
  <c r="I134" i="8" s="1"/>
  <c r="I133" i="8" s="1"/>
  <c r="I132" i="8" s="1"/>
  <c r="I131" i="8" s="1"/>
  <c r="I130" i="8" s="1"/>
  <c r="I129" i="8" s="1"/>
  <c r="I128" i="8" s="1"/>
  <c r="I127" i="8" s="1"/>
  <c r="I126" i="8" s="1"/>
  <c r="I125" i="8" s="1"/>
  <c r="I124" i="8" s="1"/>
  <c r="I123" i="8" s="1"/>
  <c r="I122" i="8" s="1"/>
  <c r="I121" i="8" s="1"/>
  <c r="I120" i="8" s="1"/>
  <c r="I119" i="8" s="1"/>
  <c r="I118" i="8" s="1"/>
  <c r="I117" i="8" s="1"/>
  <c r="I116" i="8" s="1"/>
  <c r="I115" i="8" s="1"/>
  <c r="I114" i="8" s="1"/>
  <c r="I113" i="8" s="1"/>
  <c r="I112" i="8" s="1"/>
  <c r="I111" i="8" s="1"/>
  <c r="I110" i="8" s="1"/>
  <c r="I109" i="8" s="1"/>
  <c r="I108" i="8" s="1"/>
  <c r="I107" i="8" s="1"/>
  <c r="I106" i="8" s="1"/>
  <c r="I105" i="8" s="1"/>
  <c r="I104" i="8" s="1"/>
  <c r="I103" i="8" s="1"/>
  <c r="I102" i="8" s="1"/>
  <c r="I101" i="8" s="1"/>
  <c r="I100" i="8" s="1"/>
  <c r="I99" i="8" s="1"/>
  <c r="I98" i="8" s="1"/>
  <c r="I97" i="8" s="1"/>
  <c r="I96" i="8" s="1"/>
  <c r="I95" i="8" s="1"/>
  <c r="I94" i="8" s="1"/>
  <c r="I93" i="8" s="1"/>
  <c r="I92" i="8" s="1"/>
  <c r="I91" i="8" s="1"/>
  <c r="I90" i="8" s="1"/>
  <c r="I89" i="8" s="1"/>
  <c r="I88" i="8" s="1"/>
  <c r="I87" i="8" s="1"/>
  <c r="I86" i="8" s="1"/>
  <c r="I85" i="8" s="1"/>
  <c r="I84" i="8" s="1"/>
  <c r="I83" i="8" s="1"/>
  <c r="I82" i="8" s="1"/>
  <c r="I81" i="8" s="1"/>
  <c r="I80" i="8" s="1"/>
  <c r="I79" i="8" s="1"/>
  <c r="I78" i="8" s="1"/>
  <c r="I77" i="8" s="1"/>
  <c r="I76" i="8" s="1"/>
  <c r="I75" i="8" s="1"/>
  <c r="I74" i="8" s="1"/>
  <c r="I73" i="8" s="1"/>
  <c r="I72" i="8" s="1"/>
  <c r="I71" i="8" s="1"/>
  <c r="I70" i="8" s="1"/>
  <c r="I69" i="8" s="1"/>
  <c r="I68" i="8" s="1"/>
  <c r="I67" i="8" s="1"/>
  <c r="I66" i="8" s="1"/>
  <c r="I65" i="8" s="1"/>
  <c r="I64" i="8" s="1"/>
  <c r="I63" i="8" s="1"/>
  <c r="I62" i="8" s="1"/>
  <c r="I61" i="8" s="1"/>
  <c r="I60" i="8" s="1"/>
  <c r="I59" i="8" s="1"/>
  <c r="I58" i="8" s="1"/>
  <c r="I57" i="8" s="1"/>
  <c r="I56" i="8" s="1"/>
  <c r="I55" i="8" s="1"/>
  <c r="I54" i="8" s="1"/>
  <c r="I53" i="8" s="1"/>
  <c r="I52" i="8" s="1"/>
  <c r="I51" i="8" s="1"/>
  <c r="I50" i="8" s="1"/>
  <c r="I49" i="8" s="1"/>
  <c r="I48" i="8" s="1"/>
  <c r="I47" i="8" s="1"/>
  <c r="I46" i="8" s="1"/>
  <c r="I45" i="8" s="1"/>
  <c r="I44" i="8" s="1"/>
  <c r="I43" i="8" s="1"/>
  <c r="I42" i="8" s="1"/>
  <c r="I41" i="8" s="1"/>
  <c r="I40" i="8" s="1"/>
  <c r="I39" i="8" s="1"/>
  <c r="I38" i="8" s="1"/>
  <c r="I37" i="8" s="1"/>
  <c r="I36" i="8" s="1"/>
  <c r="I35" i="8" s="1"/>
  <c r="I34" i="8" s="1"/>
  <c r="I33" i="8" s="1"/>
  <c r="I32" i="8" s="1"/>
  <c r="I31" i="8" s="1"/>
  <c r="I30" i="8" s="1"/>
  <c r="I29" i="8" s="1"/>
  <c r="I28" i="8" s="1"/>
  <c r="I27" i="8" s="1"/>
  <c r="I26" i="8" s="1"/>
  <c r="I25" i="8" s="1"/>
  <c r="I24" i="8" s="1"/>
  <c r="I23" i="8" s="1"/>
  <c r="I22" i="8" s="1"/>
  <c r="I21" i="8" s="1"/>
  <c r="I20" i="8" s="1"/>
  <c r="I19" i="8" s="1"/>
  <c r="I18" i="8" s="1"/>
  <c r="I17" i="8" s="1"/>
  <c r="I16" i="8" s="1"/>
  <c r="I15" i="8" s="1"/>
  <c r="I14" i="8" s="1"/>
  <c r="I13" i="8" s="1"/>
  <c r="I12" i="8" s="1"/>
  <c r="I11" i="8" s="1"/>
  <c r="I10" i="8" s="1"/>
  <c r="I9" i="8" s="1"/>
  <c r="I8" i="8" s="1"/>
  <c r="I7" i="8" s="1"/>
  <c r="I6" i="8" s="1"/>
  <c r="I4" i="8" s="1"/>
  <c r="K159" i="8"/>
  <c r="K158" i="8" s="1"/>
  <c r="K157" i="8" s="1"/>
  <c r="K156" i="8" s="1"/>
  <c r="K155" i="8" s="1"/>
  <c r="K154" i="8" s="1"/>
  <c r="K153" i="8" s="1"/>
  <c r="K152" i="8" s="1"/>
  <c r="K151" i="8" s="1"/>
  <c r="K150" i="8" s="1"/>
  <c r="K149" i="8" s="1"/>
  <c r="K148" i="8" s="1"/>
  <c r="K147" i="8" s="1"/>
  <c r="K146" i="8" s="1"/>
  <c r="K145" i="8" s="1"/>
  <c r="K144" i="8" s="1"/>
  <c r="K143" i="8" s="1"/>
  <c r="K142" i="8" s="1"/>
  <c r="K141" i="8" s="1"/>
  <c r="K140" i="8" s="1"/>
  <c r="K139" i="8" s="1"/>
  <c r="K138" i="8" s="1"/>
  <c r="K137" i="8" s="1"/>
  <c r="K136" i="8" s="1"/>
  <c r="K135" i="8" s="1"/>
  <c r="K134" i="8" s="1"/>
  <c r="K133" i="8" s="1"/>
  <c r="K132" i="8" s="1"/>
  <c r="K131" i="8" s="1"/>
  <c r="K130" i="8" s="1"/>
  <c r="K129" i="8" s="1"/>
  <c r="K128" i="8" s="1"/>
  <c r="K127" i="8" s="1"/>
  <c r="K126" i="8" s="1"/>
  <c r="K125" i="8" s="1"/>
  <c r="K124" i="8" s="1"/>
  <c r="K123" i="8" s="1"/>
  <c r="K122" i="8" s="1"/>
  <c r="K121" i="8" s="1"/>
  <c r="K120" i="8" s="1"/>
  <c r="K119" i="8" s="1"/>
  <c r="K118" i="8" s="1"/>
  <c r="K117" i="8" s="1"/>
  <c r="K116" i="8" s="1"/>
  <c r="K115" i="8" s="1"/>
  <c r="K114" i="8" s="1"/>
  <c r="K113" i="8" s="1"/>
  <c r="K112" i="8" s="1"/>
  <c r="K111" i="8" s="1"/>
  <c r="K110" i="8" s="1"/>
  <c r="K109" i="8" s="1"/>
  <c r="K108" i="8" s="1"/>
  <c r="K107" i="8" s="1"/>
  <c r="K106" i="8" s="1"/>
  <c r="K105" i="8" s="1"/>
  <c r="K104" i="8" s="1"/>
  <c r="K103" i="8" s="1"/>
  <c r="K102" i="8" s="1"/>
  <c r="K101" i="8" s="1"/>
  <c r="K100" i="8" s="1"/>
  <c r="K99" i="8" s="1"/>
  <c r="K98" i="8" s="1"/>
  <c r="K97" i="8" s="1"/>
  <c r="K96" i="8" s="1"/>
  <c r="K95" i="8" s="1"/>
  <c r="K94" i="8" s="1"/>
  <c r="K93" i="8" s="1"/>
  <c r="K92" i="8" s="1"/>
  <c r="K91" i="8" s="1"/>
  <c r="K90" i="8" s="1"/>
  <c r="K89" i="8" s="1"/>
  <c r="K88" i="8" s="1"/>
  <c r="K87" i="8" s="1"/>
  <c r="K86" i="8" s="1"/>
  <c r="K85" i="8" s="1"/>
  <c r="K84" i="8" s="1"/>
  <c r="K83" i="8" s="1"/>
  <c r="K82" i="8" s="1"/>
  <c r="K81" i="8" s="1"/>
  <c r="K80" i="8" s="1"/>
  <c r="K79" i="8" s="1"/>
  <c r="K78" i="8" s="1"/>
  <c r="K77" i="8" s="1"/>
  <c r="K76" i="8" s="1"/>
  <c r="K75" i="8" s="1"/>
  <c r="K74" i="8" s="1"/>
  <c r="K73" i="8" s="1"/>
  <c r="K72" i="8" s="1"/>
  <c r="K71" i="8" s="1"/>
  <c r="K70" i="8" s="1"/>
  <c r="K69" i="8" s="1"/>
  <c r="K68" i="8" s="1"/>
  <c r="K67" i="8" s="1"/>
  <c r="K66" i="8" s="1"/>
  <c r="K65" i="8" s="1"/>
  <c r="K64" i="8" s="1"/>
  <c r="K63" i="8" s="1"/>
  <c r="K62" i="8" s="1"/>
  <c r="K61" i="8" s="1"/>
  <c r="K60" i="8" s="1"/>
  <c r="K59" i="8" s="1"/>
  <c r="K58" i="8" s="1"/>
  <c r="K57" i="8" s="1"/>
  <c r="K56" i="8" s="1"/>
  <c r="K55" i="8" s="1"/>
  <c r="K54" i="8" s="1"/>
  <c r="K53" i="8" s="1"/>
  <c r="K52" i="8" s="1"/>
  <c r="K51" i="8" s="1"/>
  <c r="K50" i="8" s="1"/>
  <c r="K49" i="8" s="1"/>
  <c r="K48" i="8" s="1"/>
  <c r="K47" i="8" s="1"/>
  <c r="K46" i="8" s="1"/>
  <c r="K45" i="8" s="1"/>
  <c r="K44" i="8" s="1"/>
  <c r="K43" i="8" s="1"/>
  <c r="K42" i="8" s="1"/>
  <c r="K41" i="8" s="1"/>
  <c r="K40" i="8" s="1"/>
  <c r="K39" i="8" s="1"/>
  <c r="K38" i="8" s="1"/>
  <c r="K37" i="8" s="1"/>
  <c r="K36" i="8" s="1"/>
  <c r="K35" i="8" s="1"/>
  <c r="K34" i="8" s="1"/>
  <c r="K33" i="8" s="1"/>
  <c r="K32" i="8" s="1"/>
  <c r="K31" i="8" s="1"/>
  <c r="K30" i="8" s="1"/>
  <c r="K29" i="8" s="1"/>
  <c r="K28" i="8" s="1"/>
  <c r="K27" i="8" s="1"/>
  <c r="K26" i="8" s="1"/>
  <c r="K25" i="8" s="1"/>
  <c r="K24" i="8" s="1"/>
  <c r="K23" i="8" s="1"/>
  <c r="K22" i="8" s="1"/>
  <c r="K21" i="8" s="1"/>
  <c r="K20" i="8" s="1"/>
  <c r="K19" i="8" s="1"/>
  <c r="K18" i="8" s="1"/>
  <c r="K17" i="8" s="1"/>
  <c r="K16" i="8" s="1"/>
  <c r="K15" i="8" s="1"/>
  <c r="K14" i="8" s="1"/>
  <c r="K13" i="8" s="1"/>
  <c r="K12" i="8" s="1"/>
  <c r="K11" i="8" s="1"/>
  <c r="K10" i="8" s="1"/>
  <c r="K9" i="8" s="1"/>
  <c r="K8" i="8" s="1"/>
  <c r="K7" i="8" s="1"/>
  <c r="K6" i="8" s="1"/>
  <c r="K4" i="8" s="1"/>
  <c r="AJ157" i="3"/>
  <c r="AJ119" i="3"/>
  <c r="AJ189" i="3"/>
  <c r="AJ221" i="3"/>
  <c r="AJ285" i="3"/>
  <c r="AJ343" i="3"/>
  <c r="AJ367" i="3"/>
  <c r="AJ399" i="3"/>
  <c r="AJ431" i="3"/>
  <c r="AJ455" i="3"/>
  <c r="AJ487" i="3"/>
  <c r="AJ519" i="3"/>
  <c r="AJ535" i="3"/>
  <c r="AJ567" i="3"/>
  <c r="AJ599" i="3"/>
  <c r="AJ623" i="3"/>
  <c r="AJ12" i="3"/>
  <c r="AJ51" i="3"/>
  <c r="AJ99" i="3"/>
  <c r="AJ139" i="3"/>
  <c r="AJ155" i="3"/>
  <c r="AJ179" i="3"/>
  <c r="AJ203" i="3"/>
  <c r="AJ219" i="3"/>
  <c r="AJ243" i="3"/>
  <c r="AJ267" i="3"/>
  <c r="AJ283" i="3"/>
  <c r="AJ307" i="3"/>
  <c r="AJ331" i="3"/>
  <c r="AJ342" i="3"/>
  <c r="AJ354" i="3"/>
  <c r="AJ366" i="3"/>
  <c r="AJ374" i="3"/>
  <c r="AJ386" i="3"/>
  <c r="AJ398" i="3"/>
  <c r="AJ406" i="3"/>
  <c r="AJ418" i="3"/>
  <c r="AJ430" i="3"/>
  <c r="AJ438" i="3"/>
  <c r="AJ450" i="3"/>
  <c r="AJ462" i="3"/>
  <c r="AJ470" i="3"/>
  <c r="AJ482" i="3"/>
  <c r="AJ494" i="3"/>
  <c r="AJ502" i="3"/>
  <c r="AJ514" i="3"/>
  <c r="AJ526" i="3"/>
  <c r="AJ534" i="3"/>
  <c r="AJ546" i="3"/>
  <c r="AJ558" i="3"/>
  <c r="AJ566" i="3"/>
  <c r="AJ578" i="3"/>
  <c r="AJ590" i="3"/>
  <c r="AJ598" i="3"/>
  <c r="AJ610" i="3"/>
  <c r="AJ622" i="3"/>
  <c r="AJ629" i="3"/>
  <c r="AJ635" i="3"/>
  <c r="AJ641" i="3"/>
  <c r="AJ645" i="3"/>
  <c r="AJ651" i="3"/>
  <c r="AJ657" i="3"/>
  <c r="AJ661" i="3"/>
  <c r="AJ667" i="3"/>
  <c r="AJ673" i="3"/>
  <c r="AJ684" i="3"/>
  <c r="AJ625" i="3"/>
  <c r="AJ601" i="3"/>
  <c r="AJ585" i="3"/>
  <c r="AJ561" i="3"/>
  <c r="AJ537" i="3"/>
  <c r="AJ521" i="3"/>
  <c r="AJ497" i="3"/>
  <c r="AJ473" i="3"/>
  <c r="AJ457" i="3"/>
  <c r="AJ433" i="3"/>
  <c r="AJ409" i="3"/>
  <c r="AJ393" i="3"/>
  <c r="AJ369" i="3"/>
  <c r="AJ345" i="3"/>
  <c r="AJ321" i="3"/>
  <c r="AJ273" i="3"/>
  <c r="AJ225" i="3"/>
  <c r="AJ193" i="3"/>
  <c r="AJ145" i="3"/>
  <c r="AJ63" i="3"/>
  <c r="AJ109" i="3"/>
  <c r="AJ93" i="3"/>
  <c r="AJ69" i="3"/>
  <c r="AJ45" i="3"/>
  <c r="AJ22" i="3"/>
  <c r="AJ10" i="3"/>
  <c r="AJ15" i="3"/>
  <c r="AJ20" i="3"/>
  <c r="AJ23" i="3"/>
  <c r="AJ27" i="3"/>
  <c r="AJ31" i="3"/>
  <c r="AJ33" i="3"/>
  <c r="AJ37" i="3"/>
  <c r="AJ42" i="3"/>
  <c r="AJ46" i="3"/>
  <c r="AJ52" i="3"/>
  <c r="AJ58" i="3"/>
  <c r="AJ62" i="3"/>
  <c r="AJ68" i="3"/>
  <c r="AJ74" i="3"/>
  <c r="AJ78" i="3"/>
  <c r="AJ84" i="3"/>
  <c r="AJ90" i="3"/>
  <c r="AJ94" i="3"/>
  <c r="AJ100" i="3"/>
  <c r="AJ106" i="3"/>
  <c r="AJ110" i="3"/>
  <c r="AJ116" i="3"/>
  <c r="AJ122" i="3"/>
  <c r="AJ126" i="3"/>
  <c r="AJ132" i="3"/>
  <c r="AJ138" i="3"/>
  <c r="AJ142" i="3"/>
  <c r="AJ148" i="3"/>
  <c r="AJ154" i="3"/>
  <c r="AJ158" i="3"/>
  <c r="AJ164" i="3"/>
  <c r="AJ170" i="3"/>
  <c r="AJ174" i="3"/>
  <c r="AJ180" i="3"/>
  <c r="AJ186" i="3"/>
  <c r="AJ190" i="3"/>
  <c r="AJ196" i="3"/>
  <c r="AJ202" i="3"/>
  <c r="AJ206" i="3"/>
  <c r="AJ212" i="3"/>
  <c r="AJ218" i="3"/>
  <c r="AJ222" i="3"/>
  <c r="AJ228" i="3"/>
  <c r="AJ234" i="3"/>
  <c r="AJ238" i="3"/>
  <c r="AJ244" i="3"/>
  <c r="AJ250" i="3"/>
  <c r="AJ254" i="3"/>
  <c r="AJ260" i="3"/>
  <c r="AJ266" i="3"/>
  <c r="AJ270" i="3"/>
  <c r="AJ276" i="3"/>
  <c r="AJ282" i="3"/>
  <c r="AJ286" i="3"/>
  <c r="AJ292" i="3"/>
  <c r="AJ298" i="3"/>
  <c r="AJ302" i="3"/>
  <c r="AJ308" i="3"/>
  <c r="AJ314" i="3"/>
  <c r="AJ318" i="3"/>
  <c r="AJ324" i="3"/>
  <c r="AJ330" i="3"/>
  <c r="AJ334" i="3"/>
  <c r="AK93" i="4"/>
  <c r="B280" i="2"/>
  <c r="AK9" i="4"/>
  <c r="AK17" i="4"/>
  <c r="AK23" i="4"/>
  <c r="AK28" i="4"/>
  <c r="AK33" i="4"/>
  <c r="AK39" i="4"/>
  <c r="AK44" i="4"/>
  <c r="AK49" i="4"/>
  <c r="AK55" i="4"/>
  <c r="AK60" i="4"/>
  <c r="AK65" i="4"/>
  <c r="AK71" i="4"/>
  <c r="AK76" i="4"/>
  <c r="AK80" i="4"/>
  <c r="AK94" i="4"/>
  <c r="AK99" i="4"/>
  <c r="AK62" i="4"/>
  <c r="AK46" i="4"/>
  <c r="AK26" i="4"/>
  <c r="AK12" i="4"/>
  <c r="AK13" i="4"/>
  <c r="AK30" i="4"/>
  <c r="B11" i="4"/>
  <c r="AK102" i="4"/>
  <c r="AK97" i="4"/>
  <c r="AK85" i="4"/>
  <c r="AK81" i="4"/>
  <c r="AK75" i="4"/>
  <c r="AK69" i="4"/>
  <c r="AK64" i="4"/>
  <c r="AK59" i="4"/>
  <c r="AK53" i="4"/>
  <c r="AK48" i="4"/>
  <c r="AK43" i="4"/>
  <c r="AK37" i="4"/>
  <c r="AK32" i="4"/>
  <c r="AK27" i="4"/>
  <c r="AK21" i="4"/>
  <c r="AK16" i="4"/>
  <c r="AK109" i="4"/>
  <c r="AK92" i="4"/>
  <c r="AK54" i="4"/>
  <c r="AK105" i="4"/>
  <c r="AK88" i="4"/>
  <c r="AK86" i="4"/>
  <c r="AK70" i="4"/>
  <c r="AK50" i="4"/>
  <c r="AK11" i="4"/>
  <c r="B78" i="4"/>
  <c r="B4" i="6"/>
  <c r="B12" i="6" s="1"/>
  <c r="B13" i="6" s="1"/>
  <c r="B13" i="4"/>
  <c r="AJ9" i="3"/>
  <c r="AM10" i="4"/>
  <c r="B44" i="2"/>
  <c r="B42" i="4"/>
  <c r="B43" i="2"/>
  <c r="AK91" i="4"/>
  <c r="B148" i="2"/>
  <c r="E69" i="1" s="1"/>
  <c r="B89" i="2"/>
  <c r="F3" i="8"/>
  <c r="F159" i="8" s="1"/>
  <c r="F158" i="8" s="1"/>
  <c r="F157" i="8" s="1"/>
  <c r="F156" i="8" s="1"/>
  <c r="F155" i="8" s="1"/>
  <c r="F154" i="8" s="1"/>
  <c r="F153" i="8" s="1"/>
  <c r="F152" i="8" s="1"/>
  <c r="F151" i="8" s="1"/>
  <c r="F150" i="8" s="1"/>
  <c r="F149" i="8" s="1"/>
  <c r="F148" i="8" s="1"/>
  <c r="F147" i="8" s="1"/>
  <c r="F146" i="8" s="1"/>
  <c r="F145" i="8" s="1"/>
  <c r="F144" i="8" s="1"/>
  <c r="F143" i="8" s="1"/>
  <c r="F142" i="8" s="1"/>
  <c r="F141" i="8" s="1"/>
  <c r="F140" i="8" s="1"/>
  <c r="F139" i="8" s="1"/>
  <c r="F138" i="8" s="1"/>
  <c r="F137" i="8" s="1"/>
  <c r="F136" i="8" s="1"/>
  <c r="F135" i="8" s="1"/>
  <c r="F134" i="8" s="1"/>
  <c r="F133" i="8" s="1"/>
  <c r="F132" i="8" s="1"/>
  <c r="F131" i="8" s="1"/>
  <c r="F130" i="8" s="1"/>
  <c r="F129" i="8" s="1"/>
  <c r="F128" i="8" s="1"/>
  <c r="F127" i="8" s="1"/>
  <c r="F126" i="8" s="1"/>
  <c r="F125" i="8" s="1"/>
  <c r="F124" i="8" s="1"/>
  <c r="F123" i="8" s="1"/>
  <c r="F122" i="8" s="1"/>
  <c r="F121" i="8" s="1"/>
  <c r="F120" i="8" s="1"/>
  <c r="F119" i="8" s="1"/>
  <c r="F118" i="8" s="1"/>
  <c r="F117" i="8" s="1"/>
  <c r="F116" i="8" s="1"/>
  <c r="F115" i="8" s="1"/>
  <c r="F114" i="8" s="1"/>
  <c r="F113" i="8" s="1"/>
  <c r="F112" i="8" s="1"/>
  <c r="F111" i="8" s="1"/>
  <c r="F110" i="8" s="1"/>
  <c r="F109" i="8" s="1"/>
  <c r="F108" i="8" s="1"/>
  <c r="F107" i="8" s="1"/>
  <c r="F106" i="8" s="1"/>
  <c r="F105" i="8" s="1"/>
  <c r="F104" i="8" s="1"/>
  <c r="F103" i="8" s="1"/>
  <c r="F102" i="8" s="1"/>
  <c r="F101" i="8" s="1"/>
  <c r="F100" i="8" s="1"/>
  <c r="F99" i="8" s="1"/>
  <c r="F98" i="8" s="1"/>
  <c r="F97" i="8" s="1"/>
  <c r="F96" i="8" s="1"/>
  <c r="F95" i="8" s="1"/>
  <c r="F94" i="8" s="1"/>
  <c r="F93" i="8" s="1"/>
  <c r="F92" i="8" s="1"/>
  <c r="F91" i="8" s="1"/>
  <c r="F90" i="8" s="1"/>
  <c r="F89" i="8" s="1"/>
  <c r="F88" i="8" s="1"/>
  <c r="F87" i="8" s="1"/>
  <c r="F86" i="8" s="1"/>
  <c r="F85" i="8" s="1"/>
  <c r="F84" i="8" s="1"/>
  <c r="F83" i="8" s="1"/>
  <c r="F82" i="8" s="1"/>
  <c r="F81" i="8" s="1"/>
  <c r="F80" i="8" s="1"/>
  <c r="F79" i="8" s="1"/>
  <c r="F78" i="8" s="1"/>
  <c r="F77" i="8" s="1"/>
  <c r="F76" i="8" s="1"/>
  <c r="F75" i="8" s="1"/>
  <c r="F74" i="8" s="1"/>
  <c r="F73" i="8" s="1"/>
  <c r="F72" i="8" s="1"/>
  <c r="F71" i="8" s="1"/>
  <c r="F70" i="8" s="1"/>
  <c r="F69" i="8" s="1"/>
  <c r="F68" i="8" s="1"/>
  <c r="F67" i="8" s="1"/>
  <c r="F66" i="8" s="1"/>
  <c r="F65" i="8" s="1"/>
  <c r="F64" i="8" s="1"/>
  <c r="F63" i="8" s="1"/>
  <c r="F62" i="8" s="1"/>
  <c r="F61" i="8" s="1"/>
  <c r="F60" i="8" s="1"/>
  <c r="F59" i="8" s="1"/>
  <c r="F58" i="8" s="1"/>
  <c r="F57" i="8" s="1"/>
  <c r="F56" i="8" s="1"/>
  <c r="F55" i="8" s="1"/>
  <c r="F54" i="8" s="1"/>
  <c r="F53" i="8" s="1"/>
  <c r="F52" i="8" s="1"/>
  <c r="F51" i="8" s="1"/>
  <c r="F50" i="8" s="1"/>
  <c r="F49" i="8" s="1"/>
  <c r="F48" i="8" s="1"/>
  <c r="F47" i="8" s="1"/>
  <c r="F46" i="8" s="1"/>
  <c r="F45" i="8" s="1"/>
  <c r="F44" i="8" s="1"/>
  <c r="F43" i="8" s="1"/>
  <c r="F42" i="8" s="1"/>
  <c r="F41" i="8" s="1"/>
  <c r="F40" i="8" s="1"/>
  <c r="F39" i="8" s="1"/>
  <c r="F38" i="8" s="1"/>
  <c r="F37" i="8" s="1"/>
  <c r="F36" i="8" s="1"/>
  <c r="F35" i="8" s="1"/>
  <c r="F34" i="8" s="1"/>
  <c r="F33" i="8" s="1"/>
  <c r="F32" i="8" s="1"/>
  <c r="F31" i="8" s="1"/>
  <c r="F30" i="8" s="1"/>
  <c r="F29" i="8" s="1"/>
  <c r="F28" i="8" s="1"/>
  <c r="F27" i="8" s="1"/>
  <c r="F26" i="8" s="1"/>
  <c r="F25" i="8" s="1"/>
  <c r="F24" i="8" s="1"/>
  <c r="F23" i="8" s="1"/>
  <c r="F22" i="8" s="1"/>
  <c r="F21" i="8" s="1"/>
  <c r="F20" i="8" s="1"/>
  <c r="F19" i="8" s="1"/>
  <c r="F18" i="8" s="1"/>
  <c r="F17" i="8" s="1"/>
  <c r="F16" i="8" s="1"/>
  <c r="F15" i="8" s="1"/>
  <c r="F14" i="8" s="1"/>
  <c r="F13" i="8" s="1"/>
  <c r="F12" i="8" s="1"/>
  <c r="F11" i="8" s="1"/>
  <c r="F10" i="8" s="1"/>
  <c r="F9" i="8" s="1"/>
  <c r="F8" i="8" s="1"/>
  <c r="F7" i="8" s="1"/>
  <c r="F6" i="8" s="1"/>
  <c r="F4" i="8" s="1"/>
  <c r="AQ37" i="3"/>
  <c r="A38" i="3"/>
  <c r="B37" i="3"/>
  <c r="AR29" i="3"/>
  <c r="B29" i="3"/>
  <c r="AQ31" i="3"/>
  <c r="AR31" i="3"/>
  <c r="AR36" i="3"/>
  <c r="B36" i="3"/>
  <c r="B27" i="3"/>
  <c r="AQ32" i="3" l="1"/>
  <c r="AR32" i="3"/>
  <c r="B32" i="3"/>
  <c r="E68" i="1"/>
  <c r="E67" i="1"/>
  <c r="B28" i="3"/>
  <c r="AR28" i="3"/>
  <c r="AQ28" i="3"/>
  <c r="AR33" i="3"/>
  <c r="B33" i="3"/>
  <c r="AQ33" i="3"/>
  <c r="B35" i="3"/>
  <c r="AQ35" i="3"/>
  <c r="AR35" i="3"/>
  <c r="AN20" i="4"/>
  <c r="AJ157" i="4"/>
  <c r="AJ204" i="4"/>
  <c r="I132" i="4"/>
  <c r="J132" i="4" s="1"/>
  <c r="K132" i="4" s="1"/>
  <c r="AP138" i="4"/>
  <c r="AJ186" i="4"/>
  <c r="AP157" i="4"/>
  <c r="AJ208" i="4"/>
  <c r="I202" i="4"/>
  <c r="J202" i="4" s="1"/>
  <c r="AJ115" i="4"/>
  <c r="AP173" i="4"/>
  <c r="AP127" i="4"/>
  <c r="AJ122" i="4"/>
  <c r="AJ170" i="4"/>
  <c r="AP125" i="4"/>
  <c r="AJ192" i="4"/>
  <c r="AJ118" i="4"/>
  <c r="I166" i="4"/>
  <c r="J166" i="4" s="1"/>
  <c r="K166" i="4" s="1"/>
  <c r="AJ120" i="4"/>
  <c r="AP150" i="4"/>
  <c r="AP124" i="4"/>
  <c r="AJ188" i="4"/>
  <c r="I184" i="4"/>
  <c r="J184" i="4" s="1"/>
  <c r="K184" i="4" s="1"/>
  <c r="I180" i="4"/>
  <c r="J180" i="4" s="1"/>
  <c r="AJ166" i="4"/>
  <c r="AJ153" i="4"/>
  <c r="I201" i="4"/>
  <c r="J201" i="4" s="1"/>
  <c r="K201" i="4" s="1"/>
  <c r="AJ171" i="4"/>
  <c r="I198" i="4"/>
  <c r="J198" i="4" s="1"/>
  <c r="K198" i="4" s="1"/>
  <c r="I207" i="4"/>
  <c r="J207" i="4" s="1"/>
  <c r="AJ184" i="4"/>
  <c r="I153" i="4"/>
  <c r="J153" i="4" s="1"/>
  <c r="K153" i="4" s="1"/>
  <c r="AP166" i="4"/>
  <c r="AP134" i="4"/>
  <c r="AP192" i="4"/>
  <c r="AP116" i="4"/>
  <c r="AJ151" i="4"/>
  <c r="AJ134" i="4"/>
  <c r="I116" i="4"/>
  <c r="J116" i="4" s="1"/>
  <c r="AJ179" i="4"/>
  <c r="AJ137" i="4"/>
  <c r="AP179" i="4"/>
  <c r="AP180" i="4"/>
  <c r="AP151" i="4"/>
  <c r="I151" i="4"/>
  <c r="J151" i="4" s="1"/>
  <c r="AJ198" i="4"/>
  <c r="AJ169" i="4"/>
  <c r="AJ207" i="4"/>
  <c r="I121" i="4"/>
  <c r="J121" i="4" s="1"/>
  <c r="K121" i="4" s="1"/>
  <c r="I169" i="4"/>
  <c r="J169" i="4" s="1"/>
  <c r="I192" i="4"/>
  <c r="J192" i="4" s="1"/>
  <c r="K192" i="4" s="1"/>
  <c r="AJ116" i="4"/>
  <c r="AP121" i="4"/>
  <c r="AP129" i="4"/>
  <c r="AP132" i="4"/>
  <c r="AJ177" i="4"/>
  <c r="AJ167" i="4"/>
  <c r="AN137" i="4"/>
  <c r="AN185" i="4"/>
  <c r="AN191" i="4"/>
  <c r="I127" i="4"/>
  <c r="J127" i="4" s="1"/>
  <c r="K127" i="4" s="1"/>
  <c r="I186" i="4"/>
  <c r="J186" i="4" s="1"/>
  <c r="K186" i="4" s="1"/>
  <c r="AJ125" i="4"/>
  <c r="AJ196" i="4"/>
  <c r="AJ200" i="4"/>
  <c r="I138" i="4"/>
  <c r="J138" i="4" s="1"/>
  <c r="K138" i="4" s="1"/>
  <c r="I208" i="4"/>
  <c r="J208" i="4" s="1"/>
  <c r="K208" i="4" s="1"/>
  <c r="I200" i="4"/>
  <c r="J200" i="4" s="1"/>
  <c r="K200" i="4" s="1"/>
  <c r="I154" i="4"/>
  <c r="J154" i="4" s="1"/>
  <c r="K154" i="4" s="1"/>
  <c r="I141" i="4"/>
  <c r="J141" i="4" s="1"/>
  <c r="K141" i="4" s="1"/>
  <c r="AJ144" i="4"/>
  <c r="AP186" i="4"/>
  <c r="AP205" i="4"/>
  <c r="AP183" i="4"/>
  <c r="AP208" i="4"/>
  <c r="I173" i="4"/>
  <c r="J173" i="4" s="1"/>
  <c r="I170" i="4"/>
  <c r="J170" i="4" s="1"/>
  <c r="K170" i="4" s="1"/>
  <c r="I183" i="4"/>
  <c r="J183" i="4" s="1"/>
  <c r="K183" i="4" s="1"/>
  <c r="I157" i="4"/>
  <c r="J157" i="4" s="1"/>
  <c r="I125" i="4"/>
  <c r="J125" i="4" s="1"/>
  <c r="K125" i="4" s="1"/>
  <c r="AP170" i="4"/>
  <c r="AP144" i="4"/>
  <c r="AP196" i="4"/>
  <c r="AN139" i="4"/>
  <c r="AN163" i="4"/>
  <c r="AN192" i="4"/>
  <c r="AN132" i="4"/>
  <c r="I171" i="4"/>
  <c r="J171" i="4" s="1"/>
  <c r="K171" i="4" s="1"/>
  <c r="I150" i="4"/>
  <c r="J150" i="4" s="1"/>
  <c r="K150" i="4" s="1"/>
  <c r="I118" i="4"/>
  <c r="J118" i="4" s="1"/>
  <c r="K118" i="4" s="1"/>
  <c r="AJ185" i="4"/>
  <c r="AJ150" i="4"/>
  <c r="AJ182" i="4"/>
  <c r="I110" i="4"/>
  <c r="J110" i="4" s="1"/>
  <c r="K110" i="4" s="1"/>
  <c r="AJ201" i="4"/>
  <c r="AJ124" i="4"/>
  <c r="I185" i="4"/>
  <c r="J185" i="4" s="1"/>
  <c r="AJ180" i="4"/>
  <c r="I120" i="4"/>
  <c r="J120" i="4" s="1"/>
  <c r="AP153" i="4"/>
  <c r="AP169" i="4"/>
  <c r="AP171" i="4"/>
  <c r="AP185" i="4"/>
  <c r="AP139" i="4"/>
  <c r="AP207" i="4"/>
  <c r="AP184" i="4"/>
  <c r="I134" i="4"/>
  <c r="J134" i="4" s="1"/>
  <c r="K134" i="4" s="1"/>
  <c r="AJ121" i="4"/>
  <c r="I139" i="4"/>
  <c r="J139" i="4" s="1"/>
  <c r="K139" i="4" s="1"/>
  <c r="AJ139" i="4"/>
  <c r="I188" i="4"/>
  <c r="J188" i="4" s="1"/>
  <c r="K188" i="4" s="1"/>
  <c r="I179" i="4"/>
  <c r="J179" i="4" s="1"/>
  <c r="K179" i="4" s="1"/>
  <c r="I137" i="4"/>
  <c r="J137" i="4" s="1"/>
  <c r="I182" i="4"/>
  <c r="J182" i="4" s="1"/>
  <c r="AJ128" i="4"/>
  <c r="AJ119" i="4"/>
  <c r="I128" i="4"/>
  <c r="J128" i="4" s="1"/>
  <c r="K128" i="4" s="1"/>
  <c r="I119" i="4"/>
  <c r="J119" i="4" s="1"/>
  <c r="K119" i="4" s="1"/>
  <c r="AP118" i="4"/>
  <c r="AP198" i="4"/>
  <c r="AP201" i="4"/>
  <c r="AP182" i="4"/>
  <c r="AP128" i="4"/>
  <c r="AP119" i="4"/>
  <c r="AP137" i="4"/>
  <c r="AP188" i="4"/>
  <c r="AP165" i="4"/>
  <c r="AP120" i="4"/>
  <c r="AN129" i="4"/>
  <c r="AN187" i="4"/>
  <c r="AN167" i="4"/>
  <c r="AN136" i="4"/>
  <c r="AN177" i="4"/>
  <c r="AN118" i="4"/>
  <c r="AN135" i="4"/>
  <c r="AJ159" i="4"/>
  <c r="AJ147" i="4"/>
  <c r="AJ138" i="4"/>
  <c r="I159" i="4"/>
  <c r="J159" i="4" s="1"/>
  <c r="K159" i="4" s="1"/>
  <c r="AJ202" i="4"/>
  <c r="AJ141" i="4"/>
  <c r="I178" i="4"/>
  <c r="J178" i="4" s="1"/>
  <c r="K178" i="4" s="1"/>
  <c r="I189" i="4"/>
  <c r="J189" i="4" s="1"/>
  <c r="K189" i="4" s="1"/>
  <c r="AJ183" i="4"/>
  <c r="I140" i="4"/>
  <c r="J140" i="4" s="1"/>
  <c r="I204" i="4"/>
  <c r="J204" i="4" s="1"/>
  <c r="K204" i="4" s="1"/>
  <c r="I144" i="4"/>
  <c r="J144" i="4" s="1"/>
  <c r="K144" i="4" s="1"/>
  <c r="AJ140" i="4"/>
  <c r="I115" i="4"/>
  <c r="J115" i="4" s="1"/>
  <c r="K115" i="4" s="1"/>
  <c r="AJ132" i="4"/>
  <c r="AP159" i="4"/>
  <c r="AP122" i="4"/>
  <c r="AP189" i="4"/>
  <c r="AP141" i="4"/>
  <c r="AP147" i="4"/>
  <c r="AP115" i="4"/>
  <c r="I187" i="4"/>
  <c r="J187" i="4" s="1"/>
  <c r="K187" i="4" s="1"/>
  <c r="I205" i="4"/>
  <c r="J205" i="4" s="1"/>
  <c r="K205" i="4" s="1"/>
  <c r="AJ205" i="4"/>
  <c r="I122" i="4"/>
  <c r="J122" i="4" s="1"/>
  <c r="AJ187" i="4"/>
  <c r="AJ154" i="4"/>
  <c r="I196" i="4"/>
  <c r="J196" i="4" s="1"/>
  <c r="K196" i="4" s="1"/>
  <c r="I147" i="4"/>
  <c r="J147" i="4" s="1"/>
  <c r="K147" i="4" s="1"/>
  <c r="AJ189" i="4"/>
  <c r="AJ173" i="4"/>
  <c r="I136" i="4"/>
  <c r="J136" i="4" s="1"/>
  <c r="K136" i="4" s="1"/>
  <c r="AJ127" i="4"/>
  <c r="AJ136" i="4"/>
  <c r="AP154" i="4"/>
  <c r="AP187" i="4"/>
  <c r="AP202" i="4"/>
  <c r="AN200" i="4"/>
  <c r="AN119" i="4"/>
  <c r="AJ145" i="4"/>
  <c r="AJ158" i="4"/>
  <c r="I124" i="4"/>
  <c r="J124" i="4" s="1"/>
  <c r="AP123" i="4"/>
  <c r="AJ129" i="4"/>
  <c r="I129" i="4"/>
  <c r="J129" i="4" s="1"/>
  <c r="K129" i="4" s="1"/>
  <c r="I190" i="4"/>
  <c r="J190" i="4" s="1"/>
  <c r="AJ209" i="4"/>
  <c r="AP174" i="4"/>
  <c r="AP167" i="4"/>
  <c r="AP113" i="4"/>
  <c r="AP135" i="4"/>
  <c r="I193" i="4"/>
  <c r="J193" i="4" s="1"/>
  <c r="K193" i="4" s="1"/>
  <c r="I126" i="4"/>
  <c r="J126" i="4" s="1"/>
  <c r="AJ191" i="4"/>
  <c r="AP152" i="4"/>
  <c r="AN150" i="4"/>
  <c r="AN123" i="4"/>
  <c r="AN208" i="4"/>
  <c r="AN126" i="4"/>
  <c r="AN166" i="4"/>
  <c r="AN196" i="4"/>
  <c r="AN209" i="4"/>
  <c r="AN138" i="4"/>
  <c r="AN149" i="4"/>
  <c r="AN140" i="4"/>
  <c r="AN110" i="4"/>
  <c r="AN124" i="4"/>
  <c r="AP204" i="4"/>
  <c r="AP148" i="4"/>
  <c r="AN197" i="4"/>
  <c r="AN158" i="4"/>
  <c r="AN113" i="4"/>
  <c r="AN127" i="4"/>
  <c r="AP175" i="4"/>
  <c r="AN193" i="4"/>
  <c r="AN199" i="4"/>
  <c r="I199" i="4"/>
  <c r="J199" i="4" s="1"/>
  <c r="K199" i="4" s="1"/>
  <c r="AJ113" i="4"/>
  <c r="AJ206" i="4"/>
  <c r="I165" i="4"/>
  <c r="J165" i="4" s="1"/>
  <c r="I177" i="4"/>
  <c r="J177" i="4" s="1"/>
  <c r="I113" i="4"/>
  <c r="J113" i="4" s="1"/>
  <c r="I172" i="4"/>
  <c r="J172" i="4" s="1"/>
  <c r="AJ195" i="4"/>
  <c r="AJ123" i="4"/>
  <c r="I123" i="4"/>
  <c r="J123" i="4" s="1"/>
  <c r="AP161" i="4"/>
  <c r="AP190" i="4"/>
  <c r="AP206" i="4"/>
  <c r="AP209" i="4"/>
  <c r="AP156" i="4"/>
  <c r="AP140" i="4"/>
  <c r="I164" i="4"/>
  <c r="J164" i="4" s="1"/>
  <c r="K164" i="4" s="1"/>
  <c r="AJ130" i="4"/>
  <c r="AJ174" i="4"/>
  <c r="I130" i="4"/>
  <c r="J130" i="4" s="1"/>
  <c r="I167" i="4"/>
  <c r="J167" i="4" s="1"/>
  <c r="I197" i="4"/>
  <c r="J197" i="4" s="1"/>
  <c r="K197" i="4" s="1"/>
  <c r="AJ156" i="4"/>
  <c r="I145" i="4"/>
  <c r="J145" i="4" s="1"/>
  <c r="I206" i="4"/>
  <c r="J206" i="4" s="1"/>
  <c r="K206" i="4" s="1"/>
  <c r="AJ142" i="4"/>
  <c r="I191" i="4"/>
  <c r="J191" i="4" s="1"/>
  <c r="I152" i="4"/>
  <c r="J152" i="4" s="1"/>
  <c r="AJ148" i="4"/>
  <c r="AP111" i="4"/>
  <c r="AP191" i="4"/>
  <c r="AP195" i="4"/>
  <c r="AP145" i="4"/>
  <c r="AN207" i="4"/>
  <c r="AN203" i="4"/>
  <c r="AN154" i="4"/>
  <c r="AN186" i="4"/>
  <c r="AN134" i="4"/>
  <c r="AN143" i="4"/>
  <c r="AN184" i="4"/>
  <c r="AN147" i="4"/>
  <c r="AN195" i="4"/>
  <c r="AN182" i="4"/>
  <c r="AN202" i="4"/>
  <c r="AN157" i="4"/>
  <c r="AN175" i="4"/>
  <c r="AN116" i="4"/>
  <c r="AN148" i="4"/>
  <c r="AN190" i="4"/>
  <c r="AN179" i="4"/>
  <c r="AN156" i="4"/>
  <c r="AN206" i="4"/>
  <c r="AN201" i="4"/>
  <c r="AN194" i="4"/>
  <c r="AN174" i="4"/>
  <c r="AN159" i="4"/>
  <c r="AN152" i="4"/>
  <c r="AN170" i="4"/>
  <c r="AN131" i="4"/>
  <c r="AN115" i="4"/>
  <c r="AN180" i="4"/>
  <c r="AN155" i="4"/>
  <c r="AN205" i="4"/>
  <c r="AN142" i="4"/>
  <c r="AN122" i="4"/>
  <c r="AJ114" i="4"/>
  <c r="AJ117" i="4"/>
  <c r="AJ199" i="4"/>
  <c r="I149" i="4"/>
  <c r="J149" i="4" s="1"/>
  <c r="AJ194" i="4"/>
  <c r="AP197" i="4"/>
  <c r="AP181" i="4"/>
  <c r="AJ160" i="4"/>
  <c r="I117" i="4"/>
  <c r="J117" i="4" s="1"/>
  <c r="K117" i="4" s="1"/>
  <c r="AJ163" i="4"/>
  <c r="AJ178" i="4"/>
  <c r="I163" i="4"/>
  <c r="J163" i="4" s="1"/>
  <c r="I160" i="4"/>
  <c r="J160" i="4" s="1"/>
  <c r="I143" i="4"/>
  <c r="J143" i="4" s="1"/>
  <c r="AJ190" i="4"/>
  <c r="I162" i="4"/>
  <c r="J162" i="4" s="1"/>
  <c r="X162" i="4" s="1"/>
  <c r="Y162" i="4" s="1"/>
  <c r="I209" i="4"/>
  <c r="J209" i="4" s="1"/>
  <c r="AJ162" i="4"/>
  <c r="AJ203" i="4"/>
  <c r="I203" i="4"/>
  <c r="J203" i="4" s="1"/>
  <c r="AJ176" i="4"/>
  <c r="AJ172" i="4"/>
  <c r="AJ168" i="4"/>
  <c r="AJ164" i="4"/>
  <c r="I148" i="4"/>
  <c r="J148" i="4" s="1"/>
  <c r="K148" i="4" s="1"/>
  <c r="I135" i="4"/>
  <c r="J135" i="4" s="1"/>
  <c r="I131" i="4"/>
  <c r="J131" i="4" s="1"/>
  <c r="I111" i="4"/>
  <c r="J111" i="4" s="1"/>
  <c r="L111" i="4" s="1"/>
  <c r="AP163" i="4"/>
  <c r="AP155" i="4"/>
  <c r="AP126" i="4"/>
  <c r="AP110" i="4"/>
  <c r="AP158" i="4"/>
  <c r="AP177" i="4"/>
  <c r="AP162" i="4"/>
  <c r="AP133" i="4"/>
  <c r="AP193" i="4"/>
  <c r="AP112" i="4"/>
  <c r="AP164" i="4"/>
  <c r="AP172" i="4"/>
  <c r="AP200" i="4"/>
  <c r="AP136" i="4"/>
  <c r="I114" i="4"/>
  <c r="J114" i="4" s="1"/>
  <c r="R114" i="4" s="1"/>
  <c r="S114" i="4" s="1"/>
  <c r="T114" i="4" s="1"/>
  <c r="AJ143" i="4"/>
  <c r="I175" i="4"/>
  <c r="J175" i="4" s="1"/>
  <c r="AJ149" i="4"/>
  <c r="I181" i="4"/>
  <c r="J181" i="4" s="1"/>
  <c r="I176" i="4"/>
  <c r="J176" i="4" s="1"/>
  <c r="K176" i="4" s="1"/>
  <c r="I168" i="4"/>
  <c r="J168" i="4" s="1"/>
  <c r="AJ165" i="4"/>
  <c r="AJ112" i="4"/>
  <c r="AP114" i="4"/>
  <c r="AP199" i="4"/>
  <c r="AP143" i="4"/>
  <c r="I133" i="4"/>
  <c r="J133" i="4" s="1"/>
  <c r="AJ193" i="4"/>
  <c r="AJ110" i="4"/>
  <c r="I155" i="4"/>
  <c r="J155" i="4" s="1"/>
  <c r="K155" i="4" s="1"/>
  <c r="I174" i="4"/>
  <c r="J174" i="4" s="1"/>
  <c r="K174" i="4" s="1"/>
  <c r="AJ126" i="4"/>
  <c r="I146" i="4"/>
  <c r="J146" i="4" s="1"/>
  <c r="AJ146" i="4"/>
  <c r="I156" i="4"/>
  <c r="J156" i="4" s="1"/>
  <c r="K156" i="4" s="1"/>
  <c r="AJ197" i="4"/>
  <c r="I194" i="4"/>
  <c r="J194" i="4" s="1"/>
  <c r="AJ133" i="4"/>
  <c r="AJ175" i="4"/>
  <c r="I142" i="4"/>
  <c r="J142" i="4" s="1"/>
  <c r="K142" i="4" s="1"/>
  <c r="AJ161" i="4"/>
  <c r="I158" i="4"/>
  <c r="J158" i="4" s="1"/>
  <c r="AJ181" i="4"/>
  <c r="AJ155" i="4"/>
  <c r="I161" i="4"/>
  <c r="J161" i="4" s="1"/>
  <c r="K161" i="4" s="1"/>
  <c r="I195" i="4"/>
  <c r="J195" i="4" s="1"/>
  <c r="AJ152" i="4"/>
  <c r="AJ131" i="4"/>
  <c r="AJ135" i="4"/>
  <c r="I112" i="4"/>
  <c r="J112" i="4" s="1"/>
  <c r="AJ111" i="4"/>
  <c r="AP117" i="4"/>
  <c r="AP203" i="4"/>
  <c r="AP146" i="4"/>
  <c r="AP142" i="4"/>
  <c r="AP130" i="4"/>
  <c r="AP160" i="4"/>
  <c r="AP149" i="4"/>
  <c r="AP178" i="4"/>
  <c r="AP194" i="4"/>
  <c r="AP131" i="4"/>
  <c r="AP176" i="4"/>
  <c r="AP168" i="4"/>
  <c r="C243" i="2"/>
  <c r="F243" i="2" s="1"/>
  <c r="C44" i="16" s="1"/>
  <c r="B244" i="2"/>
  <c r="D44" i="16" s="1"/>
  <c r="D242" i="2"/>
  <c r="B245" i="2" s="1"/>
  <c r="D243" i="2" s="1"/>
  <c r="AN120" i="4"/>
  <c r="AN173" i="4"/>
  <c r="AN165" i="4"/>
  <c r="AN172" i="4"/>
  <c r="AN161" i="4"/>
  <c r="AN183" i="4"/>
  <c r="AN178" i="4"/>
  <c r="AN160" i="4"/>
  <c r="AN153" i="4"/>
  <c r="AN146" i="4"/>
  <c r="AN141" i="4"/>
  <c r="AN128" i="4"/>
  <c r="AN125" i="4"/>
  <c r="AN112" i="4"/>
  <c r="AN204" i="4"/>
  <c r="AN130" i="4"/>
  <c r="AN181" i="4"/>
  <c r="AN176" i="4"/>
  <c r="AN198" i="4"/>
  <c r="AN145" i="4"/>
  <c r="AN114" i="4"/>
  <c r="AN111" i="4"/>
  <c r="AN189" i="4"/>
  <c r="AN168" i="4"/>
  <c r="AN171" i="4"/>
  <c r="AN144" i="4"/>
  <c r="AN164" i="4"/>
  <c r="AN188" i="4"/>
  <c r="AN169" i="4"/>
  <c r="AN162" i="4"/>
  <c r="AN151" i="4"/>
  <c r="AN121" i="4"/>
  <c r="AN117" i="4"/>
  <c r="AN133" i="4"/>
  <c r="AJ43" i="4"/>
  <c r="AP98" i="4"/>
  <c r="AJ13" i="4"/>
  <c r="AJ80" i="4"/>
  <c r="AP109" i="4"/>
  <c r="AJ78" i="4"/>
  <c r="AJ40" i="4"/>
  <c r="AJ97" i="4"/>
  <c r="AJ19" i="4"/>
  <c r="AJ61" i="4"/>
  <c r="AP22" i="4"/>
  <c r="AP85" i="4"/>
  <c r="AI38" i="4"/>
  <c r="AP73" i="4"/>
  <c r="AJ84" i="4"/>
  <c r="AI86" i="4"/>
  <c r="AJ29" i="4"/>
  <c r="I107" i="4"/>
  <c r="J107" i="4" s="1"/>
  <c r="K107" i="4" s="1"/>
  <c r="AI25" i="4"/>
  <c r="I30" i="4"/>
  <c r="J30" i="4" s="1"/>
  <c r="K30" i="4" s="1"/>
  <c r="AJ94" i="4"/>
  <c r="AP88" i="4"/>
  <c r="AI26" i="4"/>
  <c r="I37" i="4"/>
  <c r="J37" i="4" s="1"/>
  <c r="K37" i="4" s="1"/>
  <c r="AJ41" i="4"/>
  <c r="AP66" i="4"/>
  <c r="AJ39" i="4"/>
  <c r="AP76" i="4"/>
  <c r="I51" i="4"/>
  <c r="J51" i="4" s="1"/>
  <c r="K51" i="4" s="1"/>
  <c r="AP12" i="4"/>
  <c r="AP17" i="4"/>
  <c r="AI70" i="4"/>
  <c r="I16" i="4"/>
  <c r="J16" i="4" s="1"/>
  <c r="K16" i="4" s="1"/>
  <c r="AP104" i="4"/>
  <c r="AJ87" i="4"/>
  <c r="AJ52" i="4"/>
  <c r="AP15" i="4"/>
  <c r="AI100" i="4"/>
  <c r="AP18" i="4"/>
  <c r="AJ67" i="4"/>
  <c r="AJ45" i="4"/>
  <c r="AP62" i="4"/>
  <c r="AP56" i="4"/>
  <c r="I20" i="4"/>
  <c r="J20" i="4" s="1"/>
  <c r="K20" i="4" s="1"/>
  <c r="AI34" i="4"/>
  <c r="AI103" i="4"/>
  <c r="AJ44" i="4"/>
  <c r="AI21" i="4"/>
  <c r="AP31" i="4"/>
  <c r="AP69" i="4"/>
  <c r="AJ42" i="4"/>
  <c r="AP49" i="4"/>
  <c r="I99" i="4"/>
  <c r="J99" i="4" s="1"/>
  <c r="K99" i="4" s="1"/>
  <c r="AP24" i="4"/>
  <c r="AJ64" i="4"/>
  <c r="AI28" i="4"/>
  <c r="AP53" i="4"/>
  <c r="AJ96" i="4"/>
  <c r="AP68" i="4"/>
  <c r="AI32" i="4"/>
  <c r="AP106" i="4"/>
  <c r="AP11" i="4"/>
  <c r="AI9" i="4"/>
  <c r="I75" i="4"/>
  <c r="J75" i="4" s="1"/>
  <c r="K75" i="4" s="1"/>
  <c r="AI82" i="4"/>
  <c r="AP92" i="4"/>
  <c r="AI48" i="4"/>
  <c r="AP23" i="4"/>
  <c r="I27" i="4"/>
  <c r="J27" i="4" s="1"/>
  <c r="K27" i="4" s="1"/>
  <c r="AI89" i="4"/>
  <c r="AJ91" i="4"/>
  <c r="AP58" i="4"/>
  <c r="AI10" i="4"/>
  <c r="I33" i="4"/>
  <c r="J33" i="4" s="1"/>
  <c r="K33" i="4" s="1"/>
  <c r="AP105" i="4"/>
  <c r="AJ79" i="4"/>
  <c r="AI46" i="4"/>
  <c r="I72" i="4"/>
  <c r="J72" i="4" s="1"/>
  <c r="K72" i="4" s="1"/>
  <c r="AJ101" i="4"/>
  <c r="AJ50" i="4"/>
  <c r="AJ71" i="4"/>
  <c r="AI81" i="4"/>
  <c r="AI60" i="4"/>
  <c r="AJ83" i="4"/>
  <c r="AJ57" i="4"/>
  <c r="AJ95" i="4"/>
  <c r="AI102" i="4"/>
  <c r="AI59" i="4"/>
  <c r="I74" i="4"/>
  <c r="J74" i="4" s="1"/>
  <c r="K74" i="4" s="1"/>
  <c r="AP93" i="4"/>
  <c r="AP35" i="4"/>
  <c r="AP77" i="4"/>
  <c r="AI90" i="4"/>
  <c r="AJ36" i="4"/>
  <c r="AJ54" i="4"/>
  <c r="I55" i="4"/>
  <c r="J55" i="4" s="1"/>
  <c r="K55" i="4" s="1"/>
  <c r="AP63" i="4"/>
  <c r="AI14" i="4"/>
  <c r="L66" i="2"/>
  <c r="G243" i="2" s="1"/>
  <c r="B39" i="2"/>
  <c r="B17" i="2"/>
  <c r="B37" i="2"/>
  <c r="B18" i="2" s="1"/>
  <c r="B62" i="2"/>
  <c r="R14" i="8" s="1"/>
  <c r="AP10" i="4"/>
  <c r="B125" i="2"/>
  <c r="B132" i="2" s="1"/>
  <c r="I10" i="4"/>
  <c r="J10" i="4" s="1"/>
  <c r="K10" i="4" s="1"/>
  <c r="AJ10" i="4"/>
  <c r="AI18" i="4"/>
  <c r="B273" i="2"/>
  <c r="I28" i="4"/>
  <c r="J28" i="4" s="1"/>
  <c r="K28" i="4" s="1"/>
  <c r="AP45" i="4"/>
  <c r="AN10" i="4"/>
  <c r="AI16" i="4"/>
  <c r="AN93" i="4"/>
  <c r="AN24" i="4"/>
  <c r="I45" i="4"/>
  <c r="J45" i="4" s="1"/>
  <c r="K45" i="4" s="1"/>
  <c r="AI45" i="4"/>
  <c r="B80" i="2"/>
  <c r="E41" i="1" s="1"/>
  <c r="B30" i="2"/>
  <c r="E16" i="1" s="1"/>
  <c r="I104" i="4"/>
  <c r="J104" i="4" s="1"/>
  <c r="K104" i="4" s="1"/>
  <c r="AP28" i="4"/>
  <c r="I58" i="4"/>
  <c r="J58" i="4" s="1"/>
  <c r="K58" i="4" s="1"/>
  <c r="AP91" i="4"/>
  <c r="AI104" i="4"/>
  <c r="AI55" i="4"/>
  <c r="AI96" i="4"/>
  <c r="I36" i="4"/>
  <c r="J36" i="4" s="1"/>
  <c r="K36" i="4" s="1"/>
  <c r="J668" i="3"/>
  <c r="AN57" i="4"/>
  <c r="I77" i="4"/>
  <c r="J77" i="4" s="1"/>
  <c r="K77" i="4" s="1"/>
  <c r="J640" i="3"/>
  <c r="J95" i="3"/>
  <c r="AJ93" i="4"/>
  <c r="AJ32" i="4"/>
  <c r="I68" i="4"/>
  <c r="J68" i="4" s="1"/>
  <c r="K68" i="4" s="1"/>
  <c r="AP36" i="4"/>
  <c r="J526" i="3"/>
  <c r="J660" i="3"/>
  <c r="AP44" i="4"/>
  <c r="AI20" i="4"/>
  <c r="AJ27" i="4"/>
  <c r="AI74" i="4"/>
  <c r="AJ51" i="4"/>
  <c r="I32" i="4"/>
  <c r="J32" i="4" s="1"/>
  <c r="K32" i="4" s="1"/>
  <c r="J265" i="3"/>
  <c r="J393" i="3"/>
  <c r="J300" i="3"/>
  <c r="J665" i="3"/>
  <c r="AP67" i="4"/>
  <c r="J409" i="3"/>
  <c r="B24" i="2"/>
  <c r="AP89" i="4"/>
  <c r="AN23" i="4"/>
  <c r="J13" i="3"/>
  <c r="J317" i="3"/>
  <c r="AJ88" i="4"/>
  <c r="AJ74" i="4"/>
  <c r="J173" i="3"/>
  <c r="J643" i="3"/>
  <c r="J267" i="3"/>
  <c r="J537" i="3"/>
  <c r="J140" i="3"/>
  <c r="J480" i="3"/>
  <c r="J233" i="3"/>
  <c r="J19" i="3"/>
  <c r="J332" i="3"/>
  <c r="J286" i="3"/>
  <c r="J397" i="3"/>
  <c r="J511" i="3"/>
  <c r="AJ48" i="4"/>
  <c r="AI95" i="4"/>
  <c r="AP94" i="4"/>
  <c r="I91" i="4"/>
  <c r="J91" i="4" s="1"/>
  <c r="K91" i="4" s="1"/>
  <c r="I54" i="4"/>
  <c r="J54" i="4" s="1"/>
  <c r="K54" i="4" s="1"/>
  <c r="AJ55" i="4"/>
  <c r="I64" i="4"/>
  <c r="J64" i="4" s="1"/>
  <c r="K64" i="4" s="1"/>
  <c r="J423" i="3"/>
  <c r="J110" i="3"/>
  <c r="J280" i="3"/>
  <c r="J106" i="3"/>
  <c r="J309" i="3"/>
  <c r="J179" i="3"/>
  <c r="J621" i="3"/>
  <c r="J463" i="3"/>
  <c r="J174" i="3"/>
  <c r="J224" i="3"/>
  <c r="J354" i="3"/>
  <c r="J552" i="3"/>
  <c r="J197" i="3"/>
  <c r="J384" i="3"/>
  <c r="J111" i="3"/>
  <c r="J636" i="3"/>
  <c r="J395" i="3"/>
  <c r="AI63" i="4"/>
  <c r="J337" i="3"/>
  <c r="J427" i="3"/>
  <c r="J125" i="3"/>
  <c r="J687" i="3"/>
  <c r="J604" i="3"/>
  <c r="J595" i="3"/>
  <c r="J346" i="3"/>
  <c r="AP42" i="4"/>
  <c r="AP54" i="4"/>
  <c r="AI54" i="4"/>
  <c r="I96" i="4"/>
  <c r="J96" i="4" s="1"/>
  <c r="K96" i="4" s="1"/>
  <c r="AI101" i="4"/>
  <c r="I92" i="4"/>
  <c r="J92" i="4" s="1"/>
  <c r="K92" i="4" s="1"/>
  <c r="I9" i="4"/>
  <c r="J9" i="4" s="1"/>
  <c r="K9" i="4" s="1"/>
  <c r="I87" i="4"/>
  <c r="J87" i="4" s="1"/>
  <c r="K87" i="4" s="1"/>
  <c r="I19" i="4"/>
  <c r="J19" i="4" s="1"/>
  <c r="K19" i="4" s="1"/>
  <c r="I53" i="4"/>
  <c r="J53" i="4" s="1"/>
  <c r="K53" i="4" s="1"/>
  <c r="I42" i="4"/>
  <c r="J42" i="4" s="1"/>
  <c r="K42" i="4" s="1"/>
  <c r="AP78" i="4"/>
  <c r="AI53" i="4"/>
  <c r="AI52" i="4"/>
  <c r="I24" i="4"/>
  <c r="J24" i="4" s="1"/>
  <c r="K24" i="4" s="1"/>
  <c r="AJ15" i="4"/>
  <c r="AI67" i="4"/>
  <c r="I52" i="4"/>
  <c r="J52" i="4" s="1"/>
  <c r="K52" i="4" s="1"/>
  <c r="AI22" i="4"/>
  <c r="I76" i="4"/>
  <c r="J76" i="4" s="1"/>
  <c r="K76" i="4" s="1"/>
  <c r="AP21" i="4"/>
  <c r="I12" i="4"/>
  <c r="J12" i="4" s="1"/>
  <c r="K12" i="4" s="1"/>
  <c r="AP55" i="4"/>
  <c r="I93" i="4"/>
  <c r="J93" i="4" s="1"/>
  <c r="K93" i="4" s="1"/>
  <c r="AI91" i="4"/>
  <c r="AJ90" i="4"/>
  <c r="AJ58" i="4"/>
  <c r="I21" i="4"/>
  <c r="J21" i="4" s="1"/>
  <c r="K21" i="4" s="1"/>
  <c r="AI98" i="4"/>
  <c r="I94" i="4"/>
  <c r="J94" i="4" s="1"/>
  <c r="K94" i="4" s="1"/>
  <c r="I102" i="4"/>
  <c r="J102" i="4" s="1"/>
  <c r="K102" i="4" s="1"/>
  <c r="I39" i="4"/>
  <c r="J39" i="4" s="1"/>
  <c r="K39" i="4" s="1"/>
  <c r="I90" i="4"/>
  <c r="J90" i="4" s="1"/>
  <c r="K90" i="4" s="1"/>
  <c r="AJ35" i="4"/>
  <c r="I35" i="4"/>
  <c r="J35" i="4" s="1"/>
  <c r="K35" i="4" s="1"/>
  <c r="AJ98" i="4"/>
  <c r="AN70" i="4"/>
  <c r="AN39" i="4"/>
  <c r="AJ12" i="4"/>
  <c r="AI77" i="4"/>
  <c r="AI27" i="4"/>
  <c r="I63" i="4"/>
  <c r="J63" i="4" s="1"/>
  <c r="K63" i="4" s="1"/>
  <c r="B275" i="2"/>
  <c r="AJ17" i="4"/>
  <c r="AJ14" i="4"/>
  <c r="I81" i="4"/>
  <c r="J81" i="4" s="1"/>
  <c r="K81" i="4" s="1"/>
  <c r="AP16" i="4"/>
  <c r="AP96" i="4"/>
  <c r="AJ18" i="4"/>
  <c r="AI61" i="4"/>
  <c r="AJ22" i="4"/>
  <c r="AP83" i="4"/>
  <c r="AJ85" i="4"/>
  <c r="AP40" i="4"/>
  <c r="AP32" i="4"/>
  <c r="I80" i="4"/>
  <c r="J80" i="4" s="1"/>
  <c r="J113" i="3"/>
  <c r="J11" i="3"/>
  <c r="J307" i="3"/>
  <c r="J533" i="3"/>
  <c r="J146" i="3"/>
  <c r="J440" i="3"/>
  <c r="J611" i="3"/>
  <c r="J437" i="3"/>
  <c r="J353" i="3"/>
  <c r="J658" i="3"/>
  <c r="J223" i="3"/>
  <c r="J139" i="3"/>
  <c r="J24" i="3"/>
  <c r="J577" i="3"/>
  <c r="J507" i="3"/>
  <c r="J388" i="3"/>
  <c r="J254" i="3"/>
  <c r="J50" i="3"/>
  <c r="J184" i="3"/>
  <c r="J268" i="3"/>
  <c r="J310" i="3"/>
  <c r="J418" i="3"/>
  <c r="J524" i="3"/>
  <c r="J594" i="3"/>
  <c r="J14" i="3"/>
  <c r="J407" i="3"/>
  <c r="I49" i="4"/>
  <c r="J49" i="4" s="1"/>
  <c r="K49" i="4" s="1"/>
  <c r="I57" i="4"/>
  <c r="J57" i="4" s="1"/>
  <c r="K57" i="4" s="1"/>
  <c r="I67" i="4"/>
  <c r="J67" i="4" s="1"/>
  <c r="K67" i="4" s="1"/>
  <c r="I14" i="4"/>
  <c r="J14" i="4" s="1"/>
  <c r="K14" i="4" s="1"/>
  <c r="I18" i="4"/>
  <c r="J18" i="4" s="1"/>
  <c r="K18" i="4" s="1"/>
  <c r="AI99" i="4"/>
  <c r="J109" i="3"/>
  <c r="J505" i="3"/>
  <c r="J18" i="3"/>
  <c r="J553" i="3"/>
  <c r="J124" i="3"/>
  <c r="J422" i="3"/>
  <c r="J598" i="3"/>
  <c r="J225" i="3"/>
  <c r="AI49" i="4"/>
  <c r="AJ106" i="4"/>
  <c r="AI24" i="4"/>
  <c r="AP70" i="4"/>
  <c r="J241" i="3"/>
  <c r="J664" i="3"/>
  <c r="J663" i="3"/>
  <c r="J656" i="3"/>
  <c r="J183" i="3"/>
  <c r="J166" i="3"/>
  <c r="J490" i="3"/>
  <c r="J48" i="3"/>
  <c r="J227" i="3"/>
  <c r="J291" i="3"/>
  <c r="J81" i="3"/>
  <c r="AN15" i="4"/>
  <c r="AN46" i="4"/>
  <c r="J615" i="3"/>
  <c r="J582" i="3"/>
  <c r="J403" i="3"/>
  <c r="J467" i="3"/>
  <c r="J67" i="3"/>
  <c r="AJ68" i="4"/>
  <c r="AJ69" i="4"/>
  <c r="J182" i="3"/>
  <c r="J509" i="3"/>
  <c r="J287" i="3"/>
  <c r="I69" i="4"/>
  <c r="J69" i="4" s="1"/>
  <c r="K69" i="4" s="1"/>
  <c r="AP14" i="4"/>
  <c r="AI80" i="4"/>
  <c r="AI68" i="4"/>
  <c r="AI37" i="4"/>
  <c r="AP90" i="4"/>
  <c r="J683" i="3"/>
  <c r="R11" i="8"/>
  <c r="S11" i="8" s="1"/>
  <c r="B128" i="2" s="1"/>
  <c r="AI64" i="4"/>
  <c r="AJ70" i="4"/>
  <c r="AJ104" i="4"/>
  <c r="AJ28" i="4"/>
  <c r="AJ100" i="4"/>
  <c r="C25" i="3"/>
  <c r="AJ86" i="4"/>
  <c r="AI29" i="4"/>
  <c r="AI58" i="4"/>
  <c r="AJ63" i="4"/>
  <c r="AI93" i="4"/>
  <c r="C55" i="16"/>
  <c r="D55" i="16" s="1"/>
  <c r="AJ89" i="4"/>
  <c r="AP38" i="4"/>
  <c r="AP86" i="4"/>
  <c r="AJ24" i="4"/>
  <c r="AP95" i="4"/>
  <c r="I29" i="4"/>
  <c r="J29" i="4" s="1"/>
  <c r="K29" i="4" s="1"/>
  <c r="I89" i="4"/>
  <c r="J89" i="4" s="1"/>
  <c r="K89" i="4" s="1"/>
  <c r="I23" i="4"/>
  <c r="J23" i="4" s="1"/>
  <c r="K23" i="4" s="1"/>
  <c r="AP46" i="4"/>
  <c r="AP27" i="4"/>
  <c r="AJ59" i="4"/>
  <c r="AI73" i="4"/>
  <c r="AP71" i="4"/>
  <c r="AP81" i="4"/>
  <c r="AJ60" i="4"/>
  <c r="AJ9" i="4"/>
  <c r="AP72" i="4"/>
  <c r="AI57" i="4"/>
  <c r="AP29" i="4"/>
  <c r="I50" i="4"/>
  <c r="J50" i="4" s="1"/>
  <c r="K50" i="4" s="1"/>
  <c r="AP48" i="4"/>
  <c r="AP97" i="4"/>
  <c r="I97" i="4"/>
  <c r="J97" i="4" s="1"/>
  <c r="K97" i="4" s="1"/>
  <c r="I84" i="4"/>
  <c r="J84" i="4" s="1"/>
  <c r="K84" i="4" s="1"/>
  <c r="AI36" i="4"/>
  <c r="I78" i="4"/>
  <c r="J78" i="4" s="1"/>
  <c r="K78" i="4" s="1"/>
  <c r="I86" i="4"/>
  <c r="J86" i="4" s="1"/>
  <c r="K86" i="4" s="1"/>
  <c r="I61" i="4"/>
  <c r="J61" i="4" s="1"/>
  <c r="K61" i="4" s="1"/>
  <c r="AP82" i="4"/>
  <c r="AI19" i="4"/>
  <c r="AN63" i="4"/>
  <c r="AN34" i="4"/>
  <c r="AN109" i="4"/>
  <c r="AN21" i="4"/>
  <c r="AN85" i="4"/>
  <c r="AN71" i="4"/>
  <c r="AN60" i="4"/>
  <c r="AP79" i="4"/>
  <c r="AP102" i="4"/>
  <c r="AP74" i="4"/>
  <c r="AP84" i="4"/>
  <c r="AI35" i="4"/>
  <c r="AJ77" i="4"/>
  <c r="AJ38" i="4"/>
  <c r="AN25" i="4"/>
  <c r="AI84" i="4"/>
  <c r="AN45" i="4"/>
  <c r="AJ102" i="4"/>
  <c r="AI44" i="4"/>
  <c r="AJ56" i="4"/>
  <c r="AI94" i="4"/>
  <c r="AJ31" i="4"/>
  <c r="AJ76" i="4"/>
  <c r="AP51" i="4"/>
  <c r="AP80" i="4"/>
  <c r="AP87" i="4"/>
  <c r="AP64" i="4"/>
  <c r="AJ37" i="4"/>
  <c r="AP20" i="4"/>
  <c r="AI39" i="4"/>
  <c r="I103" i="4"/>
  <c r="J103" i="4" s="1"/>
  <c r="K103" i="4" s="1"/>
  <c r="AI51" i="4"/>
  <c r="AI56" i="4"/>
  <c r="I26" i="4"/>
  <c r="J26" i="4" s="1"/>
  <c r="K26" i="4" s="1"/>
  <c r="AJ16" i="4"/>
  <c r="AJ49" i="4"/>
  <c r="I15" i="4"/>
  <c r="J15" i="4" s="1"/>
  <c r="K15" i="4" s="1"/>
  <c r="I13" i="4"/>
  <c r="J13" i="4" s="1"/>
  <c r="K13" i="4" s="1"/>
  <c r="I34" i="4"/>
  <c r="J34" i="4" s="1"/>
  <c r="K34" i="4" s="1"/>
  <c r="J477" i="3"/>
  <c r="J273" i="3"/>
  <c r="J493" i="3"/>
  <c r="J93" i="3"/>
  <c r="J269" i="3"/>
  <c r="J387" i="3"/>
  <c r="J599" i="3"/>
  <c r="J416" i="3"/>
  <c r="J138" i="3"/>
  <c r="J226" i="3"/>
  <c r="J360" i="3"/>
  <c r="J497" i="3"/>
  <c r="J563" i="3"/>
  <c r="J53" i="3"/>
  <c r="J457" i="3"/>
  <c r="J417" i="3"/>
  <c r="J373" i="3"/>
  <c r="J329" i="3"/>
  <c r="J289" i="3"/>
  <c r="J26" i="3"/>
  <c r="J243" i="3"/>
  <c r="J203" i="3"/>
  <c r="J159" i="3"/>
  <c r="J115" i="3"/>
  <c r="J75" i="3"/>
  <c r="J685" i="3"/>
  <c r="J601" i="3"/>
  <c r="J557" i="3"/>
  <c r="J527" i="3"/>
  <c r="J487" i="3"/>
  <c r="J428" i="3"/>
  <c r="J340" i="3"/>
  <c r="J648" i="3"/>
  <c r="J214" i="3"/>
  <c r="J126" i="3"/>
  <c r="J116" i="3"/>
  <c r="J160" i="3"/>
  <c r="J204" i="3"/>
  <c r="J248" i="3"/>
  <c r="J29" i="3"/>
  <c r="J290" i="3"/>
  <c r="J334" i="3"/>
  <c r="J374" i="3"/>
  <c r="J460" i="3"/>
  <c r="J502" i="3"/>
  <c r="J671" i="3"/>
  <c r="J574" i="3"/>
  <c r="J616" i="3"/>
  <c r="J39" i="3"/>
  <c r="J331" i="3"/>
  <c r="J27" i="3"/>
  <c r="J97" i="3"/>
  <c r="J74" i="3"/>
  <c r="I31" i="4"/>
  <c r="J31" i="4" s="1"/>
  <c r="K31" i="4" s="1"/>
  <c r="I100" i="4"/>
  <c r="J100" i="4" s="1"/>
  <c r="K100" i="4" s="1"/>
  <c r="AI43" i="4"/>
  <c r="AI42" i="4"/>
  <c r="AI12" i="4"/>
  <c r="AP99" i="4"/>
  <c r="AP52" i="4"/>
  <c r="I17" i="4"/>
  <c r="J17" i="4" s="1"/>
  <c r="K17" i="4" s="1"/>
  <c r="I41" i="4"/>
  <c r="J41" i="4" s="1"/>
  <c r="K41" i="4" s="1"/>
  <c r="J295" i="3"/>
  <c r="J419" i="3"/>
  <c r="J258" i="3"/>
  <c r="J36" i="3"/>
  <c r="J325" i="3"/>
  <c r="J195" i="3"/>
  <c r="J661" i="3"/>
  <c r="J479" i="3"/>
  <c r="J206" i="3"/>
  <c r="J208" i="3"/>
  <c r="J338" i="3"/>
  <c r="J484" i="3"/>
  <c r="J554" i="3"/>
  <c r="J673" i="3"/>
  <c r="J85" i="3"/>
  <c r="J304" i="3"/>
  <c r="AI31" i="4"/>
  <c r="J210" i="3"/>
  <c r="J57" i="3"/>
  <c r="J156" i="3"/>
  <c r="J454" i="3"/>
  <c r="J614" i="3"/>
  <c r="J279" i="3"/>
  <c r="J591" i="3"/>
  <c r="J567" i="3"/>
  <c r="J603" i="3"/>
  <c r="J666" i="3"/>
  <c r="J32" i="3"/>
  <c r="J380" i="3"/>
  <c r="J180" i="3"/>
  <c r="J394" i="3"/>
  <c r="J540" i="3"/>
  <c r="J89" i="3"/>
  <c r="J638" i="3"/>
  <c r="AI15" i="4"/>
  <c r="I98" i="4"/>
  <c r="J98" i="4" s="1"/>
  <c r="K98" i="4" s="1"/>
  <c r="J17" i="3"/>
  <c r="J357" i="3"/>
  <c r="J130" i="3"/>
  <c r="AN105" i="4"/>
  <c r="AN64" i="4"/>
  <c r="AN13" i="4"/>
  <c r="AN26" i="4"/>
  <c r="AN49" i="4"/>
  <c r="J163" i="3"/>
  <c r="J390" i="3"/>
  <c r="J439" i="3"/>
  <c r="J153" i="3"/>
  <c r="J521" i="3"/>
  <c r="J103" i="3"/>
  <c r="J132" i="3"/>
  <c r="J530" i="3"/>
  <c r="J161" i="3"/>
  <c r="AI13" i="4"/>
  <c r="AJ53" i="4"/>
  <c r="AP100" i="4"/>
  <c r="AP43" i="4"/>
  <c r="J237" i="3"/>
  <c r="J560" i="3"/>
  <c r="J62" i="3"/>
  <c r="I70" i="4"/>
  <c r="J70" i="4" s="1"/>
  <c r="K70" i="4" s="1"/>
  <c r="AI87" i="4"/>
  <c r="J263" i="3"/>
  <c r="AJ99" i="4"/>
  <c r="J375" i="3"/>
  <c r="AI69" i="4"/>
  <c r="AP13" i="4"/>
  <c r="AJ26" i="4"/>
  <c r="AJ20" i="4"/>
  <c r="AI17" i="4"/>
  <c r="AP34" i="4"/>
  <c r="J688" i="3"/>
  <c r="I48" i="4"/>
  <c r="J48" i="4" s="1"/>
  <c r="I22" i="4"/>
  <c r="J22" i="4" s="1"/>
  <c r="K22" i="4" s="1"/>
  <c r="AJ46" i="4"/>
  <c r="AP59" i="4"/>
  <c r="AP101" i="4"/>
  <c r="AJ73" i="4"/>
  <c r="I71" i="4"/>
  <c r="J71" i="4" s="1"/>
  <c r="K71" i="4" s="1"/>
  <c r="AP61" i="4"/>
  <c r="AJ81" i="4"/>
  <c r="AI92" i="4"/>
  <c r="AP60" i="4"/>
  <c r="I83" i="4"/>
  <c r="J83" i="4" s="1"/>
  <c r="K83" i="4" s="1"/>
  <c r="I85" i="4"/>
  <c r="J85" i="4" s="1"/>
  <c r="K85" i="4" s="1"/>
  <c r="AP9" i="4"/>
  <c r="I40" i="4"/>
  <c r="J40" i="4" s="1"/>
  <c r="K40" i="4" s="1"/>
  <c r="AP57" i="4"/>
  <c r="I82" i="4"/>
  <c r="J82" i="4" s="1"/>
  <c r="K82" i="4" s="1"/>
  <c r="AP19" i="4"/>
  <c r="AJ82" i="4"/>
  <c r="AJ23" i="4"/>
  <c r="I101" i="4"/>
  <c r="J101" i="4" s="1"/>
  <c r="K101" i="4" s="1"/>
  <c r="I38" i="4"/>
  <c r="J38" i="4" s="1"/>
  <c r="K38" i="4" s="1"/>
  <c r="I46" i="4"/>
  <c r="J46" i="4" s="1"/>
  <c r="K46" i="4" s="1"/>
  <c r="I73" i="4"/>
  <c r="J73" i="4" s="1"/>
  <c r="K73" i="4" s="1"/>
  <c r="AI75" i="4"/>
  <c r="I95" i="4"/>
  <c r="J95" i="4" s="1"/>
  <c r="K95" i="4" s="1"/>
  <c r="I59" i="4"/>
  <c r="J59" i="4" s="1"/>
  <c r="K59" i="4" s="1"/>
  <c r="I105" i="4"/>
  <c r="J105" i="4" s="1"/>
  <c r="K105" i="4" s="1"/>
  <c r="AI50" i="4"/>
  <c r="AI23" i="4"/>
  <c r="AI97" i="4"/>
  <c r="AI83" i="4"/>
  <c r="AP75" i="4"/>
  <c r="AI72" i="4"/>
  <c r="B217" i="2"/>
  <c r="AP50" i="4"/>
  <c r="I60" i="4"/>
  <c r="J60" i="4" s="1"/>
  <c r="K60" i="4" s="1"/>
  <c r="AI40" i="4"/>
  <c r="AJ92" i="4"/>
  <c r="AN82" i="4"/>
  <c r="AN74" i="4"/>
  <c r="AI78" i="4"/>
  <c r="AN96" i="4"/>
  <c r="AN42" i="4"/>
  <c r="AI71" i="4"/>
  <c r="AJ72" i="4"/>
  <c r="AI11" i="4"/>
  <c r="AN68" i="4"/>
  <c r="AN38" i="4"/>
  <c r="AN52" i="4"/>
  <c r="I79" i="4"/>
  <c r="J79" i="4" s="1"/>
  <c r="K79" i="4" s="1"/>
  <c r="AI79" i="4"/>
  <c r="AN89" i="4"/>
  <c r="AJ75" i="4"/>
  <c r="I11" i="4"/>
  <c r="J11" i="4" s="1"/>
  <c r="K11" i="4" s="1"/>
  <c r="AJ11" i="4"/>
  <c r="AN19" i="4"/>
  <c r="AP37" i="4"/>
  <c r="AP39" i="4"/>
  <c r="AJ103" i="4"/>
  <c r="B73" i="4"/>
  <c r="AJ21" i="4"/>
  <c r="I88" i="4"/>
  <c r="J88" i="4" s="1"/>
  <c r="K88" i="4" s="1"/>
  <c r="I56" i="4"/>
  <c r="J56" i="4" s="1"/>
  <c r="K56" i="4" s="1"/>
  <c r="AP26" i="4"/>
  <c r="AI66" i="4"/>
  <c r="I62" i="4"/>
  <c r="J62" i="4" s="1"/>
  <c r="K62" i="4" s="1"/>
  <c r="I44" i="4"/>
  <c r="J44" i="4" s="1"/>
  <c r="K44" i="4" s="1"/>
  <c r="I66" i="4"/>
  <c r="J66" i="4" s="1"/>
  <c r="K66" i="4" s="1"/>
  <c r="AJ34" i="4"/>
  <c r="AI76" i="4"/>
  <c r="AP41" i="4"/>
  <c r="B216" i="2"/>
  <c r="AP103" i="4"/>
  <c r="AJ66" i="4"/>
  <c r="I43" i="4"/>
  <c r="J43" i="4" s="1"/>
  <c r="K43" i="4" s="1"/>
  <c r="AI41" i="4"/>
  <c r="AI88" i="4"/>
  <c r="AJ62" i="4"/>
  <c r="AN107" i="4"/>
  <c r="AJ109" i="4"/>
  <c r="AJ107" i="4"/>
  <c r="AI107" i="4"/>
  <c r="AP107" i="4"/>
  <c r="AJ108" i="4"/>
  <c r="I108" i="4"/>
  <c r="J108" i="4" s="1"/>
  <c r="K108" i="4" s="1"/>
  <c r="J432" i="3"/>
  <c r="J118" i="3"/>
  <c r="J628" i="3"/>
  <c r="J682" i="3"/>
  <c r="J431" i="3"/>
  <c r="J76" i="3"/>
  <c r="J377" i="3"/>
  <c r="J315" i="3"/>
  <c r="J284" i="3"/>
  <c r="J320" i="3"/>
  <c r="J602" i="3"/>
  <c r="J170" i="3"/>
  <c r="J670" i="3"/>
  <c r="J378" i="3"/>
  <c r="J412" i="3"/>
  <c r="J285" i="3"/>
  <c r="J637" i="3"/>
  <c r="J129" i="3"/>
  <c r="J63" i="3"/>
  <c r="J488" i="3"/>
  <c r="J220" i="3"/>
  <c r="J635" i="3"/>
  <c r="J555" i="3"/>
  <c r="J60" i="3"/>
  <c r="J336" i="3"/>
  <c r="J443" i="3"/>
  <c r="J612" i="3"/>
  <c r="J548" i="3"/>
  <c r="J498" i="3"/>
  <c r="J410" i="3"/>
  <c r="J282" i="3"/>
  <c r="J196" i="3"/>
  <c r="J134" i="3"/>
  <c r="J348" i="3"/>
  <c r="J531" i="3"/>
  <c r="J65" i="3"/>
  <c r="J167" i="3"/>
  <c r="J634" i="3"/>
  <c r="J381" i="3"/>
  <c r="J653" i="3"/>
  <c r="J328" i="3"/>
  <c r="J517" i="3"/>
  <c r="J189" i="3"/>
  <c r="J68" i="3"/>
  <c r="J319" i="3"/>
  <c r="J213" i="3"/>
  <c r="J624" i="3"/>
  <c r="J538" i="3"/>
  <c r="J468" i="3"/>
  <c r="J306" i="3"/>
  <c r="J176" i="3"/>
  <c r="J270" i="3"/>
  <c r="J605" i="3"/>
  <c r="J293" i="3"/>
  <c r="J344" i="3"/>
  <c r="J543" i="3"/>
  <c r="J201" i="3"/>
  <c r="J359" i="3"/>
  <c r="J157" i="3"/>
  <c r="J451" i="3"/>
  <c r="J288" i="3"/>
  <c r="J33" i="3"/>
  <c r="J529" i="3"/>
  <c r="J114" i="3"/>
  <c r="J401" i="3"/>
  <c r="J313" i="3"/>
  <c r="J271" i="3"/>
  <c r="J187" i="3"/>
  <c r="J99" i="3"/>
  <c r="J625" i="3"/>
  <c r="J541" i="3"/>
  <c r="J471" i="3"/>
  <c r="J86" i="3"/>
  <c r="J52" i="3"/>
  <c r="J669" i="3"/>
  <c r="J165" i="3"/>
  <c r="J379" i="3"/>
  <c r="J51" i="3"/>
  <c r="J620" i="3"/>
  <c r="J588" i="3"/>
  <c r="J556" i="3"/>
  <c r="J647" i="3"/>
  <c r="J506" i="3"/>
  <c r="J474" i="3"/>
  <c r="J426" i="3"/>
  <c r="J362" i="3"/>
  <c r="J298" i="3"/>
  <c r="J276" i="3"/>
  <c r="J212" i="3"/>
  <c r="J148" i="3"/>
  <c r="J80" i="3"/>
  <c r="J230" i="3"/>
  <c r="J316" i="3"/>
  <c r="J444" i="3"/>
  <c r="J515" i="3"/>
  <c r="J565" i="3"/>
  <c r="J629" i="3"/>
  <c r="J87" i="3"/>
  <c r="J151" i="3"/>
  <c r="J215" i="3"/>
  <c r="J9" i="3"/>
  <c r="J301" i="3"/>
  <c r="J365" i="3"/>
  <c r="J429" i="3"/>
  <c r="J20" i="3"/>
  <c r="J539" i="3"/>
  <c r="J392" i="3"/>
  <c r="J178" i="3"/>
  <c r="J448" i="3"/>
  <c r="J78" i="3"/>
  <c r="J253" i="3"/>
  <c r="J672" i="3"/>
  <c r="J177" i="3"/>
  <c r="J70" i="3"/>
  <c r="J368" i="3"/>
  <c r="J461" i="3"/>
  <c r="J662" i="3"/>
  <c r="J367" i="3"/>
  <c r="J649" i="3"/>
  <c r="J592" i="3"/>
  <c r="J550" i="3"/>
  <c r="J520" i="3"/>
  <c r="J478" i="3"/>
  <c r="J414" i="3"/>
  <c r="J326" i="3"/>
  <c r="J21" i="3"/>
  <c r="J200" i="3"/>
  <c r="J100" i="3"/>
  <c r="J222" i="3"/>
  <c r="J356" i="3"/>
  <c r="J561" i="3"/>
  <c r="J123" i="3"/>
  <c r="J34" i="3"/>
  <c r="J421" i="3"/>
  <c r="J481" i="3"/>
  <c r="J469" i="3"/>
  <c r="J77" i="3"/>
  <c r="J169" i="3"/>
  <c r="J38" i="3"/>
  <c r="J343" i="3"/>
  <c r="J120" i="3"/>
  <c r="J181" i="3"/>
  <c r="J299" i="3"/>
  <c r="J94" i="3"/>
  <c r="J55" i="3"/>
  <c r="J633" i="3"/>
  <c r="J608" i="3"/>
  <c r="J586" i="3"/>
  <c r="J566" i="3"/>
  <c r="J544" i="3"/>
  <c r="J639" i="3"/>
  <c r="J516" i="3"/>
  <c r="J494" i="3"/>
  <c r="J472" i="3"/>
  <c r="J446" i="3"/>
  <c r="J402" i="3"/>
  <c r="J358" i="3"/>
  <c r="J318" i="3"/>
  <c r="J676" i="3"/>
  <c r="J272" i="3"/>
  <c r="J232" i="3"/>
  <c r="J188" i="3"/>
  <c r="J144" i="3"/>
  <c r="J84" i="3"/>
  <c r="J158" i="3"/>
  <c r="J246" i="3"/>
  <c r="J292" i="3"/>
  <c r="J372" i="3"/>
  <c r="J459" i="3"/>
  <c r="J503" i="3"/>
  <c r="J667" i="3"/>
  <c r="J573" i="3"/>
  <c r="J617" i="3"/>
  <c r="J41" i="3"/>
  <c r="J91" i="3"/>
  <c r="J131" i="3"/>
  <c r="J175" i="3"/>
  <c r="J219" i="3"/>
  <c r="J259" i="3"/>
  <c r="J650" i="3"/>
  <c r="J305" i="3"/>
  <c r="J345" i="3"/>
  <c r="J389" i="3"/>
  <c r="J433" i="3"/>
  <c r="J90" i="3"/>
  <c r="J619" i="3"/>
  <c r="J675" i="3"/>
  <c r="J465" i="3"/>
  <c r="J296" i="3"/>
  <c r="J162" i="3"/>
  <c r="J266" i="3"/>
  <c r="J501" i="3"/>
  <c r="J28" i="3"/>
  <c r="J323" i="3"/>
  <c r="J205" i="3"/>
  <c r="J40" i="3"/>
  <c r="J455" i="3"/>
  <c r="J145" i="3"/>
  <c r="J351" i="3"/>
  <c r="J249" i="3"/>
  <c r="J105" i="3"/>
  <c r="J383" i="3"/>
  <c r="J154" i="3"/>
  <c r="J193" i="3"/>
  <c r="J311" i="3"/>
  <c r="J58" i="3"/>
  <c r="J250" i="3"/>
  <c r="J54" i="3"/>
  <c r="J149" i="3"/>
  <c r="J245" i="3"/>
  <c r="J283" i="3"/>
  <c r="J363" i="3"/>
  <c r="J15" i="3"/>
  <c r="J303" i="3"/>
  <c r="J623" i="3"/>
  <c r="J47" i="3"/>
  <c r="J71" i="3"/>
  <c r="J641" i="3"/>
  <c r="J622" i="3"/>
  <c r="J610" i="3"/>
  <c r="J600" i="3"/>
  <c r="J590" i="3"/>
  <c r="J578" i="3"/>
  <c r="J568" i="3"/>
  <c r="J558" i="3"/>
  <c r="J546" i="3"/>
  <c r="J536" i="3"/>
  <c r="J655" i="3"/>
  <c r="J528" i="3"/>
  <c r="J518" i="3"/>
  <c r="J508" i="3"/>
  <c r="J496" i="3"/>
  <c r="J486" i="3"/>
  <c r="J476" i="3"/>
  <c r="J464" i="3"/>
  <c r="J450" i="3"/>
  <c r="J430" i="3"/>
  <c r="J406" i="3"/>
  <c r="J386" i="3"/>
  <c r="AJ47" i="4"/>
  <c r="AP47" i="4"/>
  <c r="AI47" i="4"/>
  <c r="I47" i="4"/>
  <c r="J47" i="4" s="1"/>
  <c r="K47" i="4" s="1"/>
  <c r="AP30" i="4"/>
  <c r="AI30" i="4"/>
  <c r="AJ30" i="4"/>
  <c r="J137" i="3"/>
  <c r="J415" i="3"/>
  <c r="J35" i="3"/>
  <c r="J209" i="3"/>
  <c r="J327" i="3"/>
  <c r="J102" i="3"/>
  <c r="J186" i="3"/>
  <c r="J56" i="3"/>
  <c r="J141" i="3"/>
  <c r="J221" i="3"/>
  <c r="J646" i="3"/>
  <c r="J355" i="3"/>
  <c r="J435" i="3"/>
  <c r="J61" i="3"/>
  <c r="J551" i="3"/>
  <c r="J485" i="3"/>
  <c r="J352" i="3"/>
  <c r="J202" i="3"/>
  <c r="J66" i="3"/>
  <c r="J194" i="3"/>
  <c r="J274" i="3"/>
  <c r="J312" i="3"/>
  <c r="J408" i="3"/>
  <c r="J473" i="3"/>
  <c r="J513" i="3"/>
  <c r="J547" i="3"/>
  <c r="J587" i="3"/>
  <c r="J627" i="3"/>
  <c r="J122" i="3"/>
  <c r="J82" i="3"/>
  <c r="J449" i="3"/>
  <c r="J425" i="3"/>
  <c r="J405" i="3"/>
  <c r="J385" i="3"/>
  <c r="J361" i="3"/>
  <c r="J341" i="3"/>
  <c r="J321" i="3"/>
  <c r="J297" i="3"/>
  <c r="J686" i="3"/>
  <c r="J642" i="3"/>
  <c r="J275" i="3"/>
  <c r="J255" i="3"/>
  <c r="J235" i="3"/>
  <c r="J211" i="3"/>
  <c r="J191" i="3"/>
  <c r="J171" i="3"/>
  <c r="J147" i="3"/>
  <c r="J127" i="3"/>
  <c r="J107" i="3"/>
  <c r="J83" i="3"/>
  <c r="J23" i="3"/>
  <c r="J49" i="3"/>
  <c r="J645" i="3"/>
  <c r="J609" i="3"/>
  <c r="J589" i="3"/>
  <c r="J569" i="3"/>
  <c r="J545" i="3"/>
  <c r="J651" i="3"/>
  <c r="J519" i="3"/>
  <c r="J495" i="3"/>
  <c r="J475" i="3"/>
  <c r="J452" i="3"/>
  <c r="J404" i="3"/>
  <c r="J364" i="3"/>
  <c r="J324" i="3"/>
  <c r="J684" i="3"/>
  <c r="J10" i="3"/>
  <c r="J238" i="3"/>
  <c r="J190" i="3"/>
  <c r="J150" i="3"/>
  <c r="J96" i="3"/>
  <c r="J92" i="3"/>
  <c r="J128" i="3"/>
  <c r="J152" i="3"/>
  <c r="J172" i="3"/>
  <c r="J192" i="3"/>
  <c r="J216" i="3"/>
  <c r="J236" i="3"/>
  <c r="J256" i="3"/>
  <c r="J12" i="3"/>
  <c r="J644" i="3"/>
  <c r="J278" i="3"/>
  <c r="J302" i="3"/>
  <c r="J322" i="3"/>
  <c r="J342" i="3"/>
  <c r="J366" i="3"/>
  <c r="J398" i="3"/>
  <c r="J438" i="3"/>
  <c r="J470" i="3"/>
  <c r="J492" i="3"/>
  <c r="J512" i="3"/>
  <c r="J631" i="3"/>
  <c r="J542" i="3"/>
  <c r="J562" i="3"/>
  <c r="J584" i="3"/>
  <c r="J606" i="3"/>
  <c r="J626" i="3"/>
  <c r="J59" i="3"/>
  <c r="J185" i="3"/>
  <c r="J411" i="3"/>
  <c r="J277" i="3"/>
  <c r="J117" i="3"/>
  <c r="J525" i="3"/>
  <c r="J257" i="3"/>
  <c r="J659" i="3"/>
  <c r="J559" i="3"/>
  <c r="J16" i="3"/>
  <c r="J400" i="3"/>
  <c r="J22" i="3"/>
  <c r="J583" i="3"/>
  <c r="J31" i="3"/>
  <c r="J376" i="3"/>
  <c r="J579" i="3"/>
  <c r="J453" i="3"/>
  <c r="J369" i="3"/>
  <c r="J281" i="3"/>
  <c r="J239" i="3"/>
  <c r="J155" i="3"/>
  <c r="J46" i="3"/>
  <c r="J593" i="3"/>
  <c r="J523" i="3"/>
  <c r="J420" i="3"/>
  <c r="J25" i="3"/>
  <c r="J112" i="3"/>
  <c r="J168" i="3"/>
  <c r="J252" i="3"/>
  <c r="J294" i="3"/>
  <c r="J382" i="3"/>
  <c r="J462" i="3"/>
  <c r="J504" i="3"/>
  <c r="J534" i="3"/>
  <c r="J576" i="3"/>
  <c r="J618" i="3"/>
  <c r="J44" i="3"/>
  <c r="J261" i="3"/>
  <c r="J575" i="3"/>
  <c r="J447" i="3"/>
  <c r="J371" i="3"/>
  <c r="J69" i="3"/>
  <c r="J207" i="3"/>
  <c r="J491" i="3"/>
  <c r="J142" i="3"/>
  <c r="J240" i="3"/>
  <c r="J370" i="3"/>
  <c r="J500" i="3"/>
  <c r="J570" i="3"/>
  <c r="J43" i="3"/>
  <c r="J133" i="3"/>
  <c r="J218" i="3"/>
  <c r="J121" i="3"/>
  <c r="J391" i="3"/>
  <c r="J339" i="3"/>
  <c r="J234" i="3"/>
  <c r="J489" i="3"/>
  <c r="J42" i="3"/>
  <c r="J333" i="3"/>
  <c r="J247" i="3"/>
  <c r="J119" i="3"/>
  <c r="J597" i="3"/>
  <c r="J483" i="3"/>
  <c r="J632" i="3"/>
  <c r="J108" i="3"/>
  <c r="J244" i="3"/>
  <c r="J330" i="3"/>
  <c r="J458" i="3"/>
  <c r="J522" i="3"/>
  <c r="J572" i="3"/>
  <c r="J657" i="3"/>
  <c r="J630" i="3"/>
  <c r="J30" i="3"/>
  <c r="J88" i="3"/>
  <c r="J396" i="3"/>
  <c r="J585" i="3"/>
  <c r="J143" i="3"/>
  <c r="J674" i="3"/>
  <c r="J441" i="3"/>
  <c r="J424" i="3"/>
  <c r="J535" i="3"/>
  <c r="AN54" i="4"/>
  <c r="AN32" i="4"/>
  <c r="AN43" i="4"/>
  <c r="AN97" i="4"/>
  <c r="AN51" i="4"/>
  <c r="AN28" i="4"/>
  <c r="J73" i="3"/>
  <c r="J436" i="3"/>
  <c r="J264" i="3"/>
  <c r="J510" i="3"/>
  <c r="J399" i="3"/>
  <c r="J607" i="3"/>
  <c r="J104" i="3"/>
  <c r="J445" i="3"/>
  <c r="J231" i="3"/>
  <c r="J581" i="3"/>
  <c r="J262" i="3"/>
  <c r="J260" i="3"/>
  <c r="J466" i="3"/>
  <c r="J580" i="3"/>
  <c r="J229" i="3"/>
  <c r="J251" i="3"/>
  <c r="J350" i="3"/>
  <c r="J347" i="3"/>
  <c r="J571" i="3"/>
  <c r="J164" i="3"/>
  <c r="J45" i="3"/>
  <c r="J217" i="3"/>
  <c r="J442" i="3"/>
  <c r="J456" i="3"/>
  <c r="J314" i="3"/>
  <c r="J532" i="3"/>
  <c r="AJ25" i="4"/>
  <c r="AN106" i="4"/>
  <c r="AN35" i="4"/>
  <c r="AN86" i="4"/>
  <c r="AN92" i="4"/>
  <c r="AN108" i="4"/>
  <c r="AN84" i="4"/>
  <c r="AN41" i="4"/>
  <c r="AN67" i="4"/>
  <c r="AI62" i="4"/>
  <c r="AN36" i="4"/>
  <c r="AI105" i="4"/>
  <c r="I109" i="4"/>
  <c r="J109" i="4" s="1"/>
  <c r="K109" i="4" s="1"/>
  <c r="I106" i="4"/>
  <c r="J106" i="4" s="1"/>
  <c r="K106" i="4" s="1"/>
  <c r="AJ105" i="4"/>
  <c r="AN101" i="4"/>
  <c r="AN87" i="4"/>
  <c r="AI109" i="4"/>
  <c r="AN77" i="4"/>
  <c r="AI106" i="4"/>
  <c r="AN90" i="4"/>
  <c r="AN98" i="4"/>
  <c r="J72" i="3"/>
  <c r="J242" i="3"/>
  <c r="J413" i="3"/>
  <c r="J199" i="3"/>
  <c r="J549" i="3"/>
  <c r="J198" i="3"/>
  <c r="J37" i="3"/>
  <c r="J482" i="3"/>
  <c r="J596" i="3"/>
  <c r="J101" i="3"/>
  <c r="J79" i="3"/>
  <c r="J434" i="3"/>
  <c r="J64" i="3"/>
  <c r="J654" i="3"/>
  <c r="J98" i="3"/>
  <c r="J613" i="3"/>
  <c r="J228" i="3"/>
  <c r="J564" i="3"/>
  <c r="J335" i="3"/>
  <c r="J652" i="3"/>
  <c r="J135" i="3"/>
  <c r="J514" i="3"/>
  <c r="J308" i="3"/>
  <c r="J349" i="3"/>
  <c r="J499" i="3"/>
  <c r="AN61" i="4"/>
  <c r="AN78" i="4"/>
  <c r="AN14" i="4"/>
  <c r="AN72" i="4"/>
  <c r="AN47" i="4"/>
  <c r="AN79" i="4"/>
  <c r="AP108" i="4"/>
  <c r="AI108" i="4"/>
  <c r="AP25" i="4"/>
  <c r="I25" i="4"/>
  <c r="J25" i="4" s="1"/>
  <c r="K25" i="4" s="1"/>
  <c r="AN48" i="4"/>
  <c r="AN59" i="4"/>
  <c r="AN30" i="4"/>
  <c r="AN44" i="4"/>
  <c r="AN95" i="4"/>
  <c r="AN65" i="4"/>
  <c r="AN31" i="4"/>
  <c r="AN76" i="4"/>
  <c r="AN29" i="4"/>
  <c r="AN27" i="4"/>
  <c r="AN81" i="4"/>
  <c r="AN12" i="4"/>
  <c r="AN94" i="4"/>
  <c r="AN33" i="4"/>
  <c r="AN9" i="4"/>
  <c r="AN103" i="4"/>
  <c r="AN40" i="4"/>
  <c r="AN56" i="4"/>
  <c r="AN100" i="4"/>
  <c r="AN80" i="4"/>
  <c r="AN17" i="4"/>
  <c r="B35" i="2"/>
  <c r="B159" i="2" s="1"/>
  <c r="B42" i="2"/>
  <c r="B51" i="2" s="1"/>
  <c r="AN11" i="4"/>
  <c r="AN88" i="4"/>
  <c r="AN53" i="4"/>
  <c r="AN75" i="4"/>
  <c r="AN62" i="4"/>
  <c r="AN99" i="4"/>
  <c r="AN83" i="4"/>
  <c r="AN18" i="4"/>
  <c r="AN66" i="4"/>
  <c r="AN73" i="4"/>
  <c r="AN69" i="4"/>
  <c r="AN102" i="4"/>
  <c r="AN37" i="4"/>
  <c r="AN16" i="4"/>
  <c r="AN104" i="4"/>
  <c r="AN50" i="4"/>
  <c r="AN55" i="4"/>
  <c r="C34" i="3"/>
  <c r="A683" i="3"/>
  <c r="AN22" i="4"/>
  <c r="AN58" i="4"/>
  <c r="D25" i="3"/>
  <c r="A682" i="3"/>
  <c r="D682" i="3" s="1"/>
  <c r="AP33" i="4"/>
  <c r="AJ33" i="4"/>
  <c r="AI33" i="4"/>
  <c r="D33" i="3"/>
  <c r="D24" i="3"/>
  <c r="E60" i="1"/>
  <c r="C12" i="3"/>
  <c r="D11" i="3"/>
  <c r="C32" i="3"/>
  <c r="D13" i="3"/>
  <c r="C29" i="3"/>
  <c r="C15" i="3"/>
  <c r="AN91" i="4"/>
  <c r="AM76" i="4"/>
  <c r="AM103" i="4"/>
  <c r="AM87" i="4"/>
  <c r="AM69" i="4"/>
  <c r="AM75" i="4"/>
  <c r="AM21" i="4"/>
  <c r="AM73" i="4"/>
  <c r="BG17" i="4"/>
  <c r="AM13" i="4"/>
  <c r="AM91" i="4"/>
  <c r="AM86" i="4"/>
  <c r="AM14" i="4"/>
  <c r="BG11" i="4"/>
  <c r="AM37" i="4"/>
  <c r="AM41" i="4"/>
  <c r="AM51" i="4"/>
  <c r="BG16" i="4"/>
  <c r="AM26" i="4"/>
  <c r="AM54" i="4"/>
  <c r="AM39" i="4"/>
  <c r="AM29" i="4"/>
  <c r="AM109" i="4"/>
  <c r="AM100" i="4"/>
  <c r="AM12" i="4"/>
  <c r="AM45" i="4"/>
  <c r="AM25" i="4"/>
  <c r="AM52" i="4"/>
  <c r="AM97" i="4"/>
  <c r="AM84" i="4"/>
  <c r="AM20" i="4"/>
  <c r="AM30" i="4"/>
  <c r="AM93" i="4"/>
  <c r="AM96" i="4"/>
  <c r="AM58" i="4"/>
  <c r="AM17" i="4"/>
  <c r="AM48" i="4"/>
  <c r="AM92" i="4"/>
  <c r="AM70" i="4"/>
  <c r="AM90" i="4"/>
  <c r="AM79" i="4"/>
  <c r="BG9" i="4"/>
  <c r="AM107" i="4"/>
  <c r="AM67" i="4"/>
  <c r="AM61" i="4"/>
  <c r="AM59" i="4"/>
  <c r="AM62" i="4"/>
  <c r="AM68" i="4"/>
  <c r="AM108" i="4"/>
  <c r="AM56" i="4"/>
  <c r="AM101" i="4"/>
  <c r="AM40" i="4"/>
  <c r="AM50" i="4"/>
  <c r="AM89" i="4"/>
  <c r="AM66" i="4"/>
  <c r="AM38" i="4"/>
  <c r="B72" i="4"/>
  <c r="AM74" i="4"/>
  <c r="AM11" i="4"/>
  <c r="AM15" i="4"/>
  <c r="AM85" i="4"/>
  <c r="AM71" i="4"/>
  <c r="BG15" i="4"/>
  <c r="AM19" i="4"/>
  <c r="AM72" i="4"/>
  <c r="AM88" i="4"/>
  <c r="AM47" i="4"/>
  <c r="BG13" i="4"/>
  <c r="AM16" i="4"/>
  <c r="AM18" i="4"/>
  <c r="BG14" i="4"/>
  <c r="AM44" i="4"/>
  <c r="AM78" i="4"/>
  <c r="AM102" i="4"/>
  <c r="AM46" i="4"/>
  <c r="BG12" i="4"/>
  <c r="AM9" i="4"/>
  <c r="AM77" i="4"/>
  <c r="AM57" i="4"/>
  <c r="AM43" i="4"/>
  <c r="AM34" i="4"/>
  <c r="AM95" i="4"/>
  <c r="AM49" i="4"/>
  <c r="AM55" i="4"/>
  <c r="AM94" i="4"/>
  <c r="AM83" i="4"/>
  <c r="AM23" i="4"/>
  <c r="AM32" i="4"/>
  <c r="AM99" i="4"/>
  <c r="AM24" i="4"/>
  <c r="AM80" i="4"/>
  <c r="AM104" i="4"/>
  <c r="AM31" i="4"/>
  <c r="AM105" i="4"/>
  <c r="AM22" i="4"/>
  <c r="AM81" i="4"/>
  <c r="AM64" i="4"/>
  <c r="AM28" i="4"/>
  <c r="AM42" i="4"/>
  <c r="AM82" i="4"/>
  <c r="AM98" i="4"/>
  <c r="AM65" i="4"/>
  <c r="AM36" i="4"/>
  <c r="AM63" i="4"/>
  <c r="AM27" i="4"/>
  <c r="AM53" i="4"/>
  <c r="AM33" i="4"/>
  <c r="AM60" i="4"/>
  <c r="AM106" i="4"/>
  <c r="AM35" i="4"/>
  <c r="D32" i="3"/>
  <c r="C31" i="3"/>
  <c r="D16" i="3"/>
  <c r="D26" i="3"/>
  <c r="C37" i="3"/>
  <c r="D30" i="3"/>
  <c r="C36" i="3"/>
  <c r="C11" i="3"/>
  <c r="D35" i="3"/>
  <c r="D34" i="3"/>
  <c r="D20" i="3"/>
  <c r="D10" i="3"/>
  <c r="D29" i="3"/>
  <c r="D27" i="3"/>
  <c r="C10" i="3"/>
  <c r="B147" i="2"/>
  <c r="G17" i="3" s="1"/>
  <c r="H17" i="3" s="1"/>
  <c r="E59" i="1"/>
  <c r="AI65" i="4"/>
  <c r="I65" i="4"/>
  <c r="AJ65" i="4"/>
  <c r="AP65" i="4"/>
  <c r="C24" i="3"/>
  <c r="B91" i="2"/>
  <c r="B276" i="2"/>
  <c r="C33" i="3"/>
  <c r="D23" i="3"/>
  <c r="D36" i="3"/>
  <c r="C9" i="3"/>
  <c r="C17" i="3"/>
  <c r="C16" i="3"/>
  <c r="D31" i="3"/>
  <c r="D18" i="3"/>
  <c r="C20" i="3"/>
  <c r="C18" i="3"/>
  <c r="D28" i="3"/>
  <c r="C28" i="3"/>
  <c r="C27" i="3"/>
  <c r="D15" i="3"/>
  <c r="D17" i="3"/>
  <c r="C22" i="3"/>
  <c r="C35" i="3"/>
  <c r="D19" i="3"/>
  <c r="C19" i="3"/>
  <c r="C23" i="3"/>
  <c r="D37" i="3"/>
  <c r="C14" i="3"/>
  <c r="D22" i="3"/>
  <c r="D9" i="3"/>
  <c r="C26" i="3"/>
  <c r="C30" i="3"/>
  <c r="D14" i="3"/>
  <c r="D12" i="3"/>
  <c r="C21" i="3"/>
  <c r="D21" i="3"/>
  <c r="C13" i="3"/>
  <c r="AQ38" i="3"/>
  <c r="A39" i="3"/>
  <c r="B38" i="3"/>
  <c r="AR38" i="3"/>
  <c r="C38" i="3"/>
  <c r="D38" i="3"/>
  <c r="E110" i="1" l="1"/>
  <c r="E109" i="1"/>
  <c r="B221" i="2"/>
  <c r="B222" i="2" s="1"/>
  <c r="AD132" i="4"/>
  <c r="AE132" i="4" s="1"/>
  <c r="L132" i="4"/>
  <c r="Z132" i="4" s="1"/>
  <c r="U132" i="4"/>
  <c r="V132" i="4" s="1"/>
  <c r="W132" i="4" s="1"/>
  <c r="N132" i="4"/>
  <c r="O132" i="4" s="1"/>
  <c r="Q132" i="4" s="1"/>
  <c r="X132" i="4"/>
  <c r="Y132" i="4" s="1"/>
  <c r="R132" i="4"/>
  <c r="S132" i="4" s="1"/>
  <c r="T132" i="4" s="1"/>
  <c r="R198" i="4"/>
  <c r="S198" i="4" s="1"/>
  <c r="T198" i="4" s="1"/>
  <c r="N184" i="4"/>
  <c r="O184" i="4" s="1"/>
  <c r="Q184" i="4" s="1"/>
  <c r="N192" i="4"/>
  <c r="O192" i="4" s="1"/>
  <c r="Q192" i="4" s="1"/>
  <c r="L201" i="4"/>
  <c r="AF201" i="4" s="1"/>
  <c r="X184" i="4"/>
  <c r="Y184" i="4" s="1"/>
  <c r="AD184" i="4"/>
  <c r="AE184" i="4" s="1"/>
  <c r="X201" i="4"/>
  <c r="Y201" i="4" s="1"/>
  <c r="AD192" i="4"/>
  <c r="AE192" i="4" s="1"/>
  <c r="X192" i="4"/>
  <c r="Y192" i="4" s="1"/>
  <c r="R201" i="4"/>
  <c r="S201" i="4" s="1"/>
  <c r="T201" i="4" s="1"/>
  <c r="R184" i="4"/>
  <c r="S184" i="4" s="1"/>
  <c r="T184" i="4" s="1"/>
  <c r="R192" i="4"/>
  <c r="S192" i="4" s="1"/>
  <c r="T192" i="4" s="1"/>
  <c r="U184" i="4"/>
  <c r="V184" i="4" s="1"/>
  <c r="W184" i="4" s="1"/>
  <c r="U201" i="4"/>
  <c r="V201" i="4" s="1"/>
  <c r="W201" i="4" s="1"/>
  <c r="N201" i="4"/>
  <c r="O201" i="4" s="1"/>
  <c r="Q201" i="4" s="1"/>
  <c r="L184" i="4"/>
  <c r="AB184" i="4" s="1"/>
  <c r="L192" i="4"/>
  <c r="AB192" i="4" s="1"/>
  <c r="U192" i="4"/>
  <c r="V192" i="4" s="1"/>
  <c r="W192" i="4" s="1"/>
  <c r="AD201" i="4"/>
  <c r="AE201" i="4" s="1"/>
  <c r="U198" i="4"/>
  <c r="V198" i="4" s="1"/>
  <c r="W198" i="4" s="1"/>
  <c r="AD121" i="4"/>
  <c r="AE121" i="4" s="1"/>
  <c r="N121" i="4"/>
  <c r="O121" i="4" s="1"/>
  <c r="Q121" i="4" s="1"/>
  <c r="AD166" i="4"/>
  <c r="AE166" i="4" s="1"/>
  <c r="N166" i="4"/>
  <c r="O166" i="4" s="1"/>
  <c r="Q166" i="4" s="1"/>
  <c r="U166" i="4"/>
  <c r="V166" i="4" s="1"/>
  <c r="W166" i="4" s="1"/>
  <c r="R166" i="4"/>
  <c r="S166" i="4" s="1"/>
  <c r="T166" i="4" s="1"/>
  <c r="X166" i="4"/>
  <c r="Y166" i="4" s="1"/>
  <c r="L166" i="4"/>
  <c r="AF166" i="4" s="1"/>
  <c r="AD198" i="4"/>
  <c r="AE198" i="4" s="1"/>
  <c r="R121" i="4"/>
  <c r="S121" i="4" s="1"/>
  <c r="T121" i="4" s="1"/>
  <c r="U121" i="4"/>
  <c r="V121" i="4" s="1"/>
  <c r="W121" i="4" s="1"/>
  <c r="X198" i="4"/>
  <c r="Y198" i="4" s="1"/>
  <c r="L198" i="4"/>
  <c r="Z198" i="4" s="1"/>
  <c r="X121" i="4"/>
  <c r="Y121" i="4" s="1"/>
  <c r="L121" i="4"/>
  <c r="M121" i="4" s="1"/>
  <c r="AA121" i="4" s="1"/>
  <c r="N198" i="4"/>
  <c r="O198" i="4" s="1"/>
  <c r="Q198" i="4" s="1"/>
  <c r="X170" i="4"/>
  <c r="Y170" i="4" s="1"/>
  <c r="X125" i="4"/>
  <c r="Y125" i="4" s="1"/>
  <c r="L125" i="4"/>
  <c r="AF125" i="4" s="1"/>
  <c r="R138" i="4"/>
  <c r="S138" i="4" s="1"/>
  <c r="T138" i="4" s="1"/>
  <c r="R200" i="4"/>
  <c r="S200" i="4" s="1"/>
  <c r="T200" i="4" s="1"/>
  <c r="AD200" i="4"/>
  <c r="AE200" i="4" s="1"/>
  <c r="L200" i="4"/>
  <c r="M200" i="4" s="1"/>
  <c r="AA200" i="4" s="1"/>
  <c r="X200" i="4"/>
  <c r="Y200" i="4" s="1"/>
  <c r="L186" i="4"/>
  <c r="M186" i="4" s="1"/>
  <c r="AA186" i="4" s="1"/>
  <c r="R183" i="4"/>
  <c r="S183" i="4" s="1"/>
  <c r="T183" i="4" s="1"/>
  <c r="N208" i="4"/>
  <c r="O208" i="4" s="1"/>
  <c r="Q208" i="4" s="1"/>
  <c r="U138" i="4"/>
  <c r="V138" i="4" s="1"/>
  <c r="W138" i="4" s="1"/>
  <c r="U208" i="4"/>
  <c r="V208" i="4" s="1"/>
  <c r="W208" i="4" s="1"/>
  <c r="X208" i="4"/>
  <c r="Y208" i="4" s="1"/>
  <c r="L208" i="4"/>
  <c r="AB208" i="4" s="1"/>
  <c r="AD208" i="4"/>
  <c r="AE208" i="4" s="1"/>
  <c r="R208" i="4"/>
  <c r="S208" i="4" s="1"/>
  <c r="T208" i="4" s="1"/>
  <c r="N170" i="4"/>
  <c r="O170" i="4" s="1"/>
  <c r="Q170" i="4" s="1"/>
  <c r="N125" i="4"/>
  <c r="O125" i="4" s="1"/>
  <c r="Q125" i="4" s="1"/>
  <c r="AD138" i="4"/>
  <c r="AE138" i="4" s="1"/>
  <c r="X138" i="4"/>
  <c r="Y138" i="4" s="1"/>
  <c r="N183" i="4"/>
  <c r="O183" i="4" s="1"/>
  <c r="Q183" i="4" s="1"/>
  <c r="N141" i="4"/>
  <c r="O141" i="4" s="1"/>
  <c r="Q141" i="4" s="1"/>
  <c r="X154" i="4"/>
  <c r="Y154" i="4" s="1"/>
  <c r="U186" i="4"/>
  <c r="V186" i="4" s="1"/>
  <c r="W186" i="4" s="1"/>
  <c r="R186" i="4"/>
  <c r="S186" i="4" s="1"/>
  <c r="T186" i="4" s="1"/>
  <c r="AD141" i="4"/>
  <c r="AE141" i="4" s="1"/>
  <c r="U127" i="4"/>
  <c r="V127" i="4" s="1"/>
  <c r="W127" i="4" s="1"/>
  <c r="U183" i="4"/>
  <c r="V183" i="4" s="1"/>
  <c r="W183" i="4" s="1"/>
  <c r="L138" i="4"/>
  <c r="M138" i="4" s="1"/>
  <c r="AA138" i="4" s="1"/>
  <c r="X183" i="4"/>
  <c r="Y183" i="4" s="1"/>
  <c r="R141" i="4"/>
  <c r="S141" i="4" s="1"/>
  <c r="T141" i="4" s="1"/>
  <c r="AD186" i="4"/>
  <c r="AE186" i="4" s="1"/>
  <c r="N186" i="4"/>
  <c r="O186" i="4" s="1"/>
  <c r="Q186" i="4" s="1"/>
  <c r="U141" i="4"/>
  <c r="V141" i="4" s="1"/>
  <c r="W141" i="4" s="1"/>
  <c r="X186" i="4"/>
  <c r="Y186" i="4" s="1"/>
  <c r="R154" i="4"/>
  <c r="S154" i="4" s="1"/>
  <c r="T154" i="4" s="1"/>
  <c r="X141" i="4"/>
  <c r="Y141" i="4" s="1"/>
  <c r="L127" i="4"/>
  <c r="AF127" i="4" s="1"/>
  <c r="AD183" i="4"/>
  <c r="AE183" i="4" s="1"/>
  <c r="N138" i="4"/>
  <c r="O138" i="4" s="1"/>
  <c r="Q138" i="4" s="1"/>
  <c r="L183" i="4"/>
  <c r="M183" i="4" s="1"/>
  <c r="AA183" i="4" s="1"/>
  <c r="L141" i="4"/>
  <c r="Z141" i="4" s="1"/>
  <c r="R170" i="4"/>
  <c r="S170" i="4" s="1"/>
  <c r="T170" i="4" s="1"/>
  <c r="U125" i="4"/>
  <c r="V125" i="4" s="1"/>
  <c r="W125" i="4" s="1"/>
  <c r="N154" i="4"/>
  <c r="O154" i="4" s="1"/>
  <c r="Q154" i="4" s="1"/>
  <c r="U170" i="4"/>
  <c r="V170" i="4" s="1"/>
  <c r="W170" i="4" s="1"/>
  <c r="AD125" i="4"/>
  <c r="AE125" i="4" s="1"/>
  <c r="R127" i="4"/>
  <c r="S127" i="4" s="1"/>
  <c r="T127" i="4" s="1"/>
  <c r="U200" i="4"/>
  <c r="V200" i="4" s="1"/>
  <c r="W200" i="4" s="1"/>
  <c r="N200" i="4"/>
  <c r="O200" i="4" s="1"/>
  <c r="Q200" i="4" s="1"/>
  <c r="AD170" i="4"/>
  <c r="AE170" i="4" s="1"/>
  <c r="U154" i="4"/>
  <c r="V154" i="4" s="1"/>
  <c r="W154" i="4" s="1"/>
  <c r="L154" i="4"/>
  <c r="AB154" i="4" s="1"/>
  <c r="AD127" i="4"/>
  <c r="AE127" i="4" s="1"/>
  <c r="N127" i="4"/>
  <c r="O127" i="4" s="1"/>
  <c r="Q127" i="4" s="1"/>
  <c r="AD154" i="4"/>
  <c r="AE154" i="4" s="1"/>
  <c r="R125" i="4"/>
  <c r="S125" i="4" s="1"/>
  <c r="T125" i="4" s="1"/>
  <c r="X127" i="4"/>
  <c r="Y127" i="4" s="1"/>
  <c r="L170" i="4"/>
  <c r="Z170" i="4" s="1"/>
  <c r="AD134" i="4"/>
  <c r="AE134" i="4" s="1"/>
  <c r="N147" i="4"/>
  <c r="O147" i="4" s="1"/>
  <c r="Q147" i="4" s="1"/>
  <c r="X134" i="4"/>
  <c r="Y134" i="4" s="1"/>
  <c r="AD188" i="4"/>
  <c r="AE188" i="4" s="1"/>
  <c r="N188" i="4"/>
  <c r="O188" i="4" s="1"/>
  <c r="Q188" i="4" s="1"/>
  <c r="R134" i="4"/>
  <c r="S134" i="4" s="1"/>
  <c r="T134" i="4" s="1"/>
  <c r="R188" i="4"/>
  <c r="S188" i="4" s="1"/>
  <c r="T188" i="4" s="1"/>
  <c r="L139" i="4"/>
  <c r="M139" i="4" s="1"/>
  <c r="AA139" i="4" s="1"/>
  <c r="AD150" i="4"/>
  <c r="AE150" i="4" s="1"/>
  <c r="R139" i="4"/>
  <c r="S139" i="4" s="1"/>
  <c r="T139" i="4" s="1"/>
  <c r="L150" i="4"/>
  <c r="AF150" i="4" s="1"/>
  <c r="U139" i="4"/>
  <c r="V139" i="4" s="1"/>
  <c r="W139" i="4" s="1"/>
  <c r="X150" i="4"/>
  <c r="Y150" i="4" s="1"/>
  <c r="AD139" i="4"/>
  <c r="AE139" i="4" s="1"/>
  <c r="U150" i="4"/>
  <c r="V150" i="4" s="1"/>
  <c r="W150" i="4" s="1"/>
  <c r="X139" i="4"/>
  <c r="Y139" i="4" s="1"/>
  <c r="U188" i="4"/>
  <c r="V188" i="4" s="1"/>
  <c r="W188" i="4" s="1"/>
  <c r="R150" i="4"/>
  <c r="S150" i="4" s="1"/>
  <c r="T150" i="4" s="1"/>
  <c r="N134" i="4"/>
  <c r="O134" i="4" s="1"/>
  <c r="Q134" i="4" s="1"/>
  <c r="U134" i="4"/>
  <c r="V134" i="4" s="1"/>
  <c r="W134" i="4" s="1"/>
  <c r="N139" i="4"/>
  <c r="O139" i="4" s="1"/>
  <c r="Q139" i="4" s="1"/>
  <c r="X188" i="4"/>
  <c r="Y188" i="4" s="1"/>
  <c r="N150" i="4"/>
  <c r="O150" i="4" s="1"/>
  <c r="Q150" i="4" s="1"/>
  <c r="L188" i="4"/>
  <c r="M188" i="4" s="1"/>
  <c r="AA188" i="4" s="1"/>
  <c r="L134" i="4"/>
  <c r="Z134" i="4" s="1"/>
  <c r="X118" i="4"/>
  <c r="Y118" i="4" s="1"/>
  <c r="N118" i="4"/>
  <c r="O118" i="4" s="1"/>
  <c r="Q118" i="4" s="1"/>
  <c r="AD205" i="4"/>
  <c r="AE205" i="4" s="1"/>
  <c r="N179" i="4"/>
  <c r="O179" i="4" s="1"/>
  <c r="Q179" i="4" s="1"/>
  <c r="L119" i="4"/>
  <c r="AF119" i="4" s="1"/>
  <c r="N171" i="4"/>
  <c r="O171" i="4" s="1"/>
  <c r="Q171" i="4" s="1"/>
  <c r="R119" i="4"/>
  <c r="S119" i="4" s="1"/>
  <c r="T119" i="4" s="1"/>
  <c r="L118" i="4"/>
  <c r="AB118" i="4" s="1"/>
  <c r="X171" i="4"/>
  <c r="Y171" i="4" s="1"/>
  <c r="L179" i="4"/>
  <c r="AF179" i="4" s="1"/>
  <c r="U119" i="4"/>
  <c r="V119" i="4" s="1"/>
  <c r="W119" i="4" s="1"/>
  <c r="U171" i="4"/>
  <c r="V171" i="4" s="1"/>
  <c r="W171" i="4" s="1"/>
  <c r="X179" i="4"/>
  <c r="Y179" i="4" s="1"/>
  <c r="X119" i="4"/>
  <c r="Y119" i="4" s="1"/>
  <c r="AD118" i="4"/>
  <c r="AE118" i="4" s="1"/>
  <c r="AD119" i="4"/>
  <c r="AE119" i="4" s="1"/>
  <c r="U118" i="4"/>
  <c r="V118" i="4" s="1"/>
  <c r="W118" i="4" s="1"/>
  <c r="R171" i="4"/>
  <c r="S171" i="4" s="1"/>
  <c r="T171" i="4" s="1"/>
  <c r="U179" i="4"/>
  <c r="V179" i="4" s="1"/>
  <c r="W179" i="4" s="1"/>
  <c r="AD179" i="4"/>
  <c r="AE179" i="4" s="1"/>
  <c r="N119" i="4"/>
  <c r="O119" i="4" s="1"/>
  <c r="Q119" i="4" s="1"/>
  <c r="AD171" i="4"/>
  <c r="AE171" i="4" s="1"/>
  <c r="R118" i="4"/>
  <c r="S118" i="4" s="1"/>
  <c r="T118" i="4" s="1"/>
  <c r="L171" i="4"/>
  <c r="AB171" i="4" s="1"/>
  <c r="R179" i="4"/>
  <c r="S179" i="4" s="1"/>
  <c r="T179" i="4" s="1"/>
  <c r="X204" i="4"/>
  <c r="Y204" i="4" s="1"/>
  <c r="U204" i="4"/>
  <c r="V204" i="4" s="1"/>
  <c r="W204" i="4" s="1"/>
  <c r="N204" i="4"/>
  <c r="O204" i="4" s="1"/>
  <c r="Q204" i="4" s="1"/>
  <c r="R205" i="4"/>
  <c r="S205" i="4" s="1"/>
  <c r="T205" i="4" s="1"/>
  <c r="U178" i="4"/>
  <c r="V178" i="4" s="1"/>
  <c r="W178" i="4" s="1"/>
  <c r="R178" i="4"/>
  <c r="S178" i="4" s="1"/>
  <c r="T178" i="4" s="1"/>
  <c r="AD204" i="4"/>
  <c r="AH204" i="4" s="1"/>
  <c r="X178" i="4"/>
  <c r="Y178" i="4" s="1"/>
  <c r="AH198" i="4"/>
  <c r="AH121" i="4"/>
  <c r="AH188" i="4"/>
  <c r="AH166" i="4"/>
  <c r="AH132" i="4"/>
  <c r="AH186" i="4"/>
  <c r="X189" i="4"/>
  <c r="Y189" i="4" s="1"/>
  <c r="U196" i="4"/>
  <c r="V196" i="4" s="1"/>
  <c r="W196" i="4" s="1"/>
  <c r="X147" i="4"/>
  <c r="Y147" i="4" s="1"/>
  <c r="N196" i="4"/>
  <c r="O196" i="4" s="1"/>
  <c r="Q196" i="4" s="1"/>
  <c r="AD178" i="4"/>
  <c r="L204" i="4"/>
  <c r="AF204" i="4" s="1"/>
  <c r="N205" i="4"/>
  <c r="O205" i="4" s="1"/>
  <c r="Q205" i="4" s="1"/>
  <c r="L178" i="4"/>
  <c r="AB178" i="4" s="1"/>
  <c r="X205" i="4"/>
  <c r="Y205" i="4" s="1"/>
  <c r="R204" i="4"/>
  <c r="S204" i="4" s="1"/>
  <c r="T204" i="4" s="1"/>
  <c r="L205" i="4"/>
  <c r="AF205" i="4" s="1"/>
  <c r="N178" i="4"/>
  <c r="O178" i="4" s="1"/>
  <c r="Q178" i="4" s="1"/>
  <c r="U205" i="4"/>
  <c r="V205" i="4" s="1"/>
  <c r="W205" i="4" s="1"/>
  <c r="X136" i="4"/>
  <c r="Y136" i="4" s="1"/>
  <c r="R189" i="4"/>
  <c r="S189" i="4" s="1"/>
  <c r="T189" i="4" s="1"/>
  <c r="AD147" i="4"/>
  <c r="L147" i="4"/>
  <c r="M147" i="4" s="1"/>
  <c r="AA147" i="4" s="1"/>
  <c r="U147" i="4"/>
  <c r="V147" i="4" s="1"/>
  <c r="W147" i="4" s="1"/>
  <c r="R147" i="4"/>
  <c r="S147" i="4" s="1"/>
  <c r="T147" i="4" s="1"/>
  <c r="L187" i="4"/>
  <c r="AF187" i="4" s="1"/>
  <c r="N187" i="4"/>
  <c r="O187" i="4" s="1"/>
  <c r="Q187" i="4" s="1"/>
  <c r="U187" i="4"/>
  <c r="V187" i="4" s="1"/>
  <c r="W187" i="4" s="1"/>
  <c r="U136" i="4"/>
  <c r="V136" i="4" s="1"/>
  <c r="W136" i="4" s="1"/>
  <c r="L136" i="4"/>
  <c r="AB136" i="4" s="1"/>
  <c r="L196" i="4"/>
  <c r="AB196" i="4" s="1"/>
  <c r="N189" i="4"/>
  <c r="O189" i="4" s="1"/>
  <c r="Q189" i="4" s="1"/>
  <c r="AD136" i="4"/>
  <c r="R187" i="4"/>
  <c r="S187" i="4" s="1"/>
  <c r="T187" i="4" s="1"/>
  <c r="U189" i="4"/>
  <c r="V189" i="4" s="1"/>
  <c r="W189" i="4" s="1"/>
  <c r="AD196" i="4"/>
  <c r="R136" i="4"/>
  <c r="S136" i="4" s="1"/>
  <c r="T136" i="4" s="1"/>
  <c r="AD187" i="4"/>
  <c r="X196" i="4"/>
  <c r="Y196" i="4" s="1"/>
  <c r="L189" i="4"/>
  <c r="Z189" i="4" s="1"/>
  <c r="X187" i="4"/>
  <c r="Y187" i="4" s="1"/>
  <c r="N136" i="4"/>
  <c r="O136" i="4" s="1"/>
  <c r="Q136" i="4" s="1"/>
  <c r="R196" i="4"/>
  <c r="S196" i="4" s="1"/>
  <c r="T196" i="4" s="1"/>
  <c r="AD189" i="4"/>
  <c r="AD193" i="4"/>
  <c r="X199" i="4"/>
  <c r="Y199" i="4" s="1"/>
  <c r="L193" i="4"/>
  <c r="AF193" i="4" s="1"/>
  <c r="N193" i="4"/>
  <c r="O193" i="4" s="1"/>
  <c r="Q193" i="4" s="1"/>
  <c r="X193" i="4"/>
  <c r="Y193" i="4" s="1"/>
  <c r="R193" i="4"/>
  <c r="S193" i="4" s="1"/>
  <c r="T193" i="4" s="1"/>
  <c r="U193" i="4"/>
  <c r="V193" i="4" s="1"/>
  <c r="W193" i="4" s="1"/>
  <c r="U129" i="4"/>
  <c r="V129" i="4" s="1"/>
  <c r="W129" i="4" s="1"/>
  <c r="N206" i="4"/>
  <c r="O206" i="4" s="1"/>
  <c r="Q206" i="4" s="1"/>
  <c r="L129" i="4"/>
  <c r="AB129" i="4" s="1"/>
  <c r="AD129" i="4"/>
  <c r="AD199" i="4"/>
  <c r="N199" i="4"/>
  <c r="O199" i="4" s="1"/>
  <c r="Q199" i="4" s="1"/>
  <c r="R206" i="4"/>
  <c r="S206" i="4" s="1"/>
  <c r="T206" i="4" s="1"/>
  <c r="R142" i="4"/>
  <c r="S142" i="4" s="1"/>
  <c r="T142" i="4" s="1"/>
  <c r="U206" i="4"/>
  <c r="V206" i="4" s="1"/>
  <c r="W206" i="4" s="1"/>
  <c r="L199" i="4"/>
  <c r="AF199" i="4" s="1"/>
  <c r="R129" i="4"/>
  <c r="S129" i="4" s="1"/>
  <c r="T129" i="4" s="1"/>
  <c r="AD206" i="4"/>
  <c r="N129" i="4"/>
  <c r="O129" i="4" s="1"/>
  <c r="Q129" i="4" s="1"/>
  <c r="X206" i="4"/>
  <c r="Y206" i="4" s="1"/>
  <c r="U199" i="4"/>
  <c r="V199" i="4" s="1"/>
  <c r="W199" i="4" s="1"/>
  <c r="R199" i="4"/>
  <c r="S199" i="4" s="1"/>
  <c r="T199" i="4" s="1"/>
  <c r="L206" i="4"/>
  <c r="Z206" i="4" s="1"/>
  <c r="X129" i="4"/>
  <c r="Y129" i="4" s="1"/>
  <c r="R197" i="4"/>
  <c r="S197" i="4" s="1"/>
  <c r="T197" i="4" s="1"/>
  <c r="E243" i="2"/>
  <c r="AD197" i="4"/>
  <c r="N197" i="4"/>
  <c r="O197" i="4" s="1"/>
  <c r="Q197" i="4" s="1"/>
  <c r="L155" i="4"/>
  <c r="AF155" i="4" s="1"/>
  <c r="L197" i="4"/>
  <c r="AB197" i="4" s="1"/>
  <c r="U197" i="4"/>
  <c r="V197" i="4" s="1"/>
  <c r="W197" i="4" s="1"/>
  <c r="X195" i="4"/>
  <c r="Y195" i="4" s="1"/>
  <c r="X197" i="4"/>
  <c r="Y197" i="4" s="1"/>
  <c r="N156" i="4"/>
  <c r="O156" i="4" s="1"/>
  <c r="Q156" i="4" s="1"/>
  <c r="X114" i="4"/>
  <c r="Y114" i="4" s="1"/>
  <c r="AD156" i="4"/>
  <c r="L174" i="4"/>
  <c r="M174" i="4" s="1"/>
  <c r="AA174" i="4" s="1"/>
  <c r="X181" i="4"/>
  <c r="Y181" i="4" s="1"/>
  <c r="AD145" i="4"/>
  <c r="K145" i="4"/>
  <c r="X130" i="4"/>
  <c r="Y130" i="4" s="1"/>
  <c r="K130" i="4"/>
  <c r="X167" i="4"/>
  <c r="Y167" i="4" s="1"/>
  <c r="K167" i="4"/>
  <c r="M111" i="4"/>
  <c r="AA111" i="4" s="1"/>
  <c r="AB111" i="4"/>
  <c r="X180" i="4"/>
  <c r="Y180" i="4" s="1"/>
  <c r="K180" i="4"/>
  <c r="U172" i="4"/>
  <c r="V172" i="4" s="1"/>
  <c r="W172" i="4" s="1"/>
  <c r="K172" i="4"/>
  <c r="U194" i="4"/>
  <c r="V194" i="4" s="1"/>
  <c r="W194" i="4" s="1"/>
  <c r="K194" i="4"/>
  <c r="L203" i="4"/>
  <c r="K203" i="4"/>
  <c r="L163" i="4"/>
  <c r="K163" i="4"/>
  <c r="R149" i="4"/>
  <c r="S149" i="4" s="1"/>
  <c r="T149" i="4" s="1"/>
  <c r="K149" i="4"/>
  <c r="L80" i="4"/>
  <c r="K80" i="4"/>
  <c r="U182" i="4"/>
  <c r="V182" i="4" s="1"/>
  <c r="W182" i="4" s="1"/>
  <c r="K182" i="4"/>
  <c r="U177" i="4"/>
  <c r="V177" i="4" s="1"/>
  <c r="W177" i="4" s="1"/>
  <c r="K177" i="4"/>
  <c r="X133" i="4"/>
  <c r="Y133" i="4" s="1"/>
  <c r="K133" i="4"/>
  <c r="N114" i="4"/>
  <c r="O114" i="4" s="1"/>
  <c r="Q114" i="4" s="1"/>
  <c r="K114" i="4"/>
  <c r="L48" i="4"/>
  <c r="K48" i="4"/>
  <c r="X157" i="4"/>
  <c r="Y157" i="4" s="1"/>
  <c r="K157" i="4"/>
  <c r="U152" i="4"/>
  <c r="V152" i="4" s="1"/>
  <c r="W152" i="4" s="1"/>
  <c r="K152" i="4"/>
  <c r="X202" i="4"/>
  <c r="Y202" i="4" s="1"/>
  <c r="K202" i="4"/>
  <c r="U162" i="4"/>
  <c r="V162" i="4" s="1"/>
  <c r="W162" i="4" s="1"/>
  <c r="AD140" i="4"/>
  <c r="K140" i="4"/>
  <c r="U142" i="4"/>
  <c r="V142" i="4" s="1"/>
  <c r="W142" i="4" s="1"/>
  <c r="AD163" i="4"/>
  <c r="AD151" i="4"/>
  <c r="K151" i="4"/>
  <c r="X168" i="4"/>
  <c r="Y168" i="4" s="1"/>
  <c r="K168" i="4"/>
  <c r="N163" i="4"/>
  <c r="O163" i="4" s="1"/>
  <c r="Q163" i="4" s="1"/>
  <c r="X112" i="4"/>
  <c r="Y112" i="4" s="1"/>
  <c r="K112" i="4"/>
  <c r="R195" i="4"/>
  <c r="S195" i="4" s="1"/>
  <c r="T195" i="4" s="1"/>
  <c r="K195" i="4"/>
  <c r="N158" i="4"/>
  <c r="O158" i="4" s="1"/>
  <c r="Q158" i="4" s="1"/>
  <c r="K158" i="4"/>
  <c r="R135" i="4"/>
  <c r="S135" i="4" s="1"/>
  <c r="T135" i="4" s="1"/>
  <c r="K135" i="4"/>
  <c r="N143" i="4"/>
  <c r="O143" i="4" s="1"/>
  <c r="Q143" i="4" s="1"/>
  <c r="K143" i="4"/>
  <c r="U169" i="4"/>
  <c r="V169" i="4" s="1"/>
  <c r="W169" i="4" s="1"/>
  <c r="K169" i="4"/>
  <c r="X113" i="4"/>
  <c r="Y113" i="4" s="1"/>
  <c r="K113" i="4"/>
  <c r="AD123" i="4"/>
  <c r="K123" i="4"/>
  <c r="N111" i="4"/>
  <c r="O111" i="4" s="1"/>
  <c r="Q111" i="4" s="1"/>
  <c r="K111" i="4"/>
  <c r="AF111" i="4" s="1"/>
  <c r="L162" i="4"/>
  <c r="K162" i="4"/>
  <c r="AD120" i="4"/>
  <c r="K120" i="4"/>
  <c r="U126" i="4"/>
  <c r="V126" i="4" s="1"/>
  <c r="W126" i="4" s="1"/>
  <c r="K126" i="4"/>
  <c r="N181" i="4"/>
  <c r="O181" i="4" s="1"/>
  <c r="Q181" i="4" s="1"/>
  <c r="K181" i="4"/>
  <c r="AD131" i="4"/>
  <c r="K131" i="4"/>
  <c r="X191" i="4"/>
  <c r="Y191" i="4" s="1"/>
  <c r="K191" i="4"/>
  <c r="AD207" i="4"/>
  <c r="K207" i="4"/>
  <c r="U190" i="4"/>
  <c r="V190" i="4" s="1"/>
  <c r="W190" i="4" s="1"/>
  <c r="K190" i="4"/>
  <c r="U122" i="4"/>
  <c r="V122" i="4" s="1"/>
  <c r="W122" i="4" s="1"/>
  <c r="K122" i="4"/>
  <c r="AD203" i="4"/>
  <c r="N203" i="4"/>
  <c r="O203" i="4" s="1"/>
  <c r="Q203" i="4" s="1"/>
  <c r="X124" i="4"/>
  <c r="Y124" i="4" s="1"/>
  <c r="K124" i="4"/>
  <c r="U185" i="4"/>
  <c r="V185" i="4" s="1"/>
  <c r="W185" i="4" s="1"/>
  <c r="K185" i="4"/>
  <c r="AD137" i="4"/>
  <c r="K137" i="4"/>
  <c r="X173" i="4"/>
  <c r="Y173" i="4" s="1"/>
  <c r="K173" i="4"/>
  <c r="R174" i="4"/>
  <c r="S174" i="4" s="1"/>
  <c r="T174" i="4" s="1"/>
  <c r="U111" i="4"/>
  <c r="V111" i="4" s="1"/>
  <c r="W111" i="4" s="1"/>
  <c r="X165" i="4"/>
  <c r="Y165" i="4" s="1"/>
  <c r="K165" i="4"/>
  <c r="AD174" i="4"/>
  <c r="U116" i="4"/>
  <c r="V116" i="4" s="1"/>
  <c r="W116" i="4" s="1"/>
  <c r="K116" i="4"/>
  <c r="R163" i="4"/>
  <c r="S163" i="4" s="1"/>
  <c r="T163" i="4" s="1"/>
  <c r="N146" i="4"/>
  <c r="O146" i="4" s="1"/>
  <c r="Q146" i="4" s="1"/>
  <c r="K146" i="4"/>
  <c r="X175" i="4"/>
  <c r="Y175" i="4" s="1"/>
  <c r="K175" i="4"/>
  <c r="AD209" i="4"/>
  <c r="K209" i="4"/>
  <c r="X160" i="4"/>
  <c r="Y160" i="4" s="1"/>
  <c r="K160" i="4"/>
  <c r="A44" i="16"/>
  <c r="L44" i="16" s="1"/>
  <c r="L65" i="16" s="1"/>
  <c r="N65" i="16" s="1"/>
  <c r="X156" i="4"/>
  <c r="Y156" i="4" s="1"/>
  <c r="L156" i="4"/>
  <c r="L114" i="4"/>
  <c r="X174" i="4"/>
  <c r="Y174" i="4" s="1"/>
  <c r="L181" i="4"/>
  <c r="N174" i="4"/>
  <c r="O174" i="4" s="1"/>
  <c r="Q174" i="4" s="1"/>
  <c r="L135" i="4"/>
  <c r="L158" i="4"/>
  <c r="L143" i="4"/>
  <c r="X135" i="4"/>
  <c r="Y135" i="4" s="1"/>
  <c r="AD148" i="4"/>
  <c r="U146" i="4"/>
  <c r="V146" i="4" s="1"/>
  <c r="W146" i="4" s="1"/>
  <c r="U175" i="4"/>
  <c r="V175" i="4" s="1"/>
  <c r="W175" i="4" s="1"/>
  <c r="AD158" i="4"/>
  <c r="N112" i="4"/>
  <c r="O112" i="4" s="1"/>
  <c r="Q112" i="4" s="1"/>
  <c r="N135" i="4"/>
  <c r="O135" i="4" s="1"/>
  <c r="Q135" i="4" s="1"/>
  <c r="AD112" i="4"/>
  <c r="X143" i="4"/>
  <c r="Y143" i="4" s="1"/>
  <c r="U135" i="4"/>
  <c r="V135" i="4" s="1"/>
  <c r="W135" i="4" s="1"/>
  <c r="X155" i="4"/>
  <c r="Y155" i="4" s="1"/>
  <c r="U155" i="4"/>
  <c r="V155" i="4" s="1"/>
  <c r="W155" i="4" s="1"/>
  <c r="X158" i="4"/>
  <c r="Y158" i="4" s="1"/>
  <c r="AD143" i="4"/>
  <c r="R175" i="4"/>
  <c r="S175" i="4" s="1"/>
  <c r="T175" i="4" s="1"/>
  <c r="AD195" i="4"/>
  <c r="AD135" i="4"/>
  <c r="N195" i="4"/>
  <c r="O195" i="4" s="1"/>
  <c r="Q195" i="4" s="1"/>
  <c r="U112" i="4"/>
  <c r="V112" i="4" s="1"/>
  <c r="W112" i="4" s="1"/>
  <c r="R143" i="4"/>
  <c r="S143" i="4" s="1"/>
  <c r="T143" i="4" s="1"/>
  <c r="R148" i="4"/>
  <c r="S148" i="4" s="1"/>
  <c r="T148" i="4" s="1"/>
  <c r="R155" i="4"/>
  <c r="S155" i="4" s="1"/>
  <c r="T155" i="4" s="1"/>
  <c r="AD155" i="4"/>
  <c r="R112" i="4"/>
  <c r="S112" i="4" s="1"/>
  <c r="T112" i="4" s="1"/>
  <c r="L195" i="4"/>
  <c r="N155" i="4"/>
  <c r="O155" i="4" s="1"/>
  <c r="Q155" i="4" s="1"/>
  <c r="L112" i="4"/>
  <c r="U143" i="4"/>
  <c r="V143" i="4" s="1"/>
  <c r="W143" i="4" s="1"/>
  <c r="U195" i="4"/>
  <c r="V195" i="4" s="1"/>
  <c r="W195" i="4" s="1"/>
  <c r="L209" i="4"/>
  <c r="U123" i="4"/>
  <c r="V123" i="4" s="1"/>
  <c r="W123" i="4" s="1"/>
  <c r="X126" i="4"/>
  <c r="Y126" i="4" s="1"/>
  <c r="X148" i="4"/>
  <c r="Y148" i="4" s="1"/>
  <c r="AD160" i="4"/>
  <c r="L160" i="4"/>
  <c r="R158" i="4"/>
  <c r="S158" i="4" s="1"/>
  <c r="T158" i="4" s="1"/>
  <c r="U117" i="4"/>
  <c r="V117" i="4" s="1"/>
  <c r="W117" i="4" s="1"/>
  <c r="R146" i="4"/>
  <c r="S146" i="4" s="1"/>
  <c r="T146" i="4" s="1"/>
  <c r="R117" i="4"/>
  <c r="S117" i="4" s="1"/>
  <c r="T117" i="4" s="1"/>
  <c r="X117" i="4"/>
  <c r="Y117" i="4" s="1"/>
  <c r="X152" i="4"/>
  <c r="Y152" i="4" s="1"/>
  <c r="R209" i="4"/>
  <c r="S209" i="4" s="1"/>
  <c r="T209" i="4" s="1"/>
  <c r="L148" i="4"/>
  <c r="N148" i="4"/>
  <c r="O148" i="4" s="1"/>
  <c r="Q148" i="4" s="1"/>
  <c r="U148" i="4"/>
  <c r="V148" i="4" s="1"/>
  <c r="W148" i="4" s="1"/>
  <c r="U209" i="4"/>
  <c r="V209" i="4" s="1"/>
  <c r="W209" i="4" s="1"/>
  <c r="X146" i="4"/>
  <c r="Y146" i="4" s="1"/>
  <c r="L146" i="4"/>
  <c r="AD146" i="4"/>
  <c r="N117" i="4"/>
  <c r="O117" i="4" s="1"/>
  <c r="Q117" i="4" s="1"/>
  <c r="N175" i="4"/>
  <c r="O175" i="4" s="1"/>
  <c r="Q175" i="4" s="1"/>
  <c r="N209" i="4"/>
  <c r="O209" i="4" s="1"/>
  <c r="Q209" i="4" s="1"/>
  <c r="AD175" i="4"/>
  <c r="U160" i="4"/>
  <c r="V160" i="4" s="1"/>
  <c r="W160" i="4" s="1"/>
  <c r="R160" i="4"/>
  <c r="S160" i="4" s="1"/>
  <c r="T160" i="4" s="1"/>
  <c r="AD191" i="4"/>
  <c r="X209" i="4"/>
  <c r="Y209" i="4" s="1"/>
  <c r="AD117" i="4"/>
  <c r="L117" i="4"/>
  <c r="L175" i="4"/>
  <c r="AD180" i="4"/>
  <c r="N160" i="4"/>
  <c r="O160" i="4" s="1"/>
  <c r="Q160" i="4" s="1"/>
  <c r="X176" i="4"/>
  <c r="Y176" i="4" s="1"/>
  <c r="U176" i="4"/>
  <c r="V176" i="4" s="1"/>
  <c r="W176" i="4" s="1"/>
  <c r="AD130" i="4"/>
  <c r="X149" i="4"/>
  <c r="Y149" i="4" s="1"/>
  <c r="R162" i="4"/>
  <c r="S162" i="4" s="1"/>
  <c r="T162" i="4" s="1"/>
  <c r="AD111" i="4"/>
  <c r="U151" i="4"/>
  <c r="V151" i="4" s="1"/>
  <c r="W151" i="4" s="1"/>
  <c r="U163" i="4"/>
  <c r="V163" i="4" s="1"/>
  <c r="W163" i="4" s="1"/>
  <c r="X145" i="4"/>
  <c r="Y145" i="4" s="1"/>
  <c r="U156" i="4"/>
  <c r="V156" i="4" s="1"/>
  <c r="W156" i="4" s="1"/>
  <c r="AD114" i="4"/>
  <c r="R156" i="4"/>
  <c r="S156" i="4" s="1"/>
  <c r="T156" i="4" s="1"/>
  <c r="X203" i="4"/>
  <c r="Y203" i="4" s="1"/>
  <c r="U149" i="4"/>
  <c r="V149" i="4" s="1"/>
  <c r="W149" i="4" s="1"/>
  <c r="R203" i="4"/>
  <c r="S203" i="4" s="1"/>
  <c r="T203" i="4" s="1"/>
  <c r="AD185" i="4"/>
  <c r="AD202" i="4"/>
  <c r="U173" i="4"/>
  <c r="V173" i="4" s="1"/>
  <c r="W173" i="4" s="1"/>
  <c r="U181" i="4"/>
  <c r="V181" i="4" s="1"/>
  <c r="W181" i="4" s="1"/>
  <c r="X142" i="4"/>
  <c r="Y142" i="4" s="1"/>
  <c r="U174" i="4"/>
  <c r="V174" i="4" s="1"/>
  <c r="W174" i="4" s="1"/>
  <c r="L149" i="4"/>
  <c r="R111" i="4"/>
  <c r="S111" i="4" s="1"/>
  <c r="T111" i="4" s="1"/>
  <c r="X111" i="4"/>
  <c r="Y111" i="4" s="1"/>
  <c r="L142" i="4"/>
  <c r="N142" i="4"/>
  <c r="O142" i="4" s="1"/>
  <c r="Q142" i="4" s="1"/>
  <c r="N149" i="4"/>
  <c r="O149" i="4" s="1"/>
  <c r="Q149" i="4" s="1"/>
  <c r="X169" i="4"/>
  <c r="Y169" i="4" s="1"/>
  <c r="U145" i="4"/>
  <c r="V145" i="4" s="1"/>
  <c r="W145" i="4" s="1"/>
  <c r="U114" i="4"/>
  <c r="V114" i="4" s="1"/>
  <c r="W114" i="4" s="1"/>
  <c r="U203" i="4"/>
  <c r="V203" i="4" s="1"/>
  <c r="W203" i="4" s="1"/>
  <c r="AD149" i="4"/>
  <c r="N162" i="4"/>
  <c r="O162" i="4" s="1"/>
  <c r="Q162" i="4" s="1"/>
  <c r="AD124" i="4"/>
  <c r="AD152" i="4"/>
  <c r="X185" i="4"/>
  <c r="Y185" i="4" s="1"/>
  <c r="AD162" i="4"/>
  <c r="U120" i="4"/>
  <c r="V120" i="4" s="1"/>
  <c r="W120" i="4" s="1"/>
  <c r="AD181" i="4"/>
  <c r="AD142" i="4"/>
  <c r="U165" i="4"/>
  <c r="V165" i="4" s="1"/>
  <c r="W165" i="4" s="1"/>
  <c r="X163" i="4"/>
  <c r="Y163" i="4" s="1"/>
  <c r="R181" i="4"/>
  <c r="S181" i="4" s="1"/>
  <c r="T181" i="4" s="1"/>
  <c r="U158" i="4"/>
  <c r="V158" i="4" s="1"/>
  <c r="W158" i="4" s="1"/>
  <c r="AD168" i="4"/>
  <c r="AD116" i="4"/>
  <c r="U191" i="4"/>
  <c r="V191" i="4" s="1"/>
  <c r="W191" i="4" s="1"/>
  <c r="AD169" i="4"/>
  <c r="AD190" i="4"/>
  <c r="U180" i="4"/>
  <c r="V180" i="4" s="1"/>
  <c r="W180" i="4" s="1"/>
  <c r="U157" i="4"/>
  <c r="V157" i="4" s="1"/>
  <c r="W157" i="4" s="1"/>
  <c r="AD173" i="4"/>
  <c r="AD176" i="4"/>
  <c r="X123" i="4"/>
  <c r="Y123" i="4" s="1"/>
  <c r="X131" i="4"/>
  <c r="Y131" i="4" s="1"/>
  <c r="AD194" i="4"/>
  <c r="U168" i="4"/>
  <c r="V168" i="4" s="1"/>
  <c r="W168" i="4" s="1"/>
  <c r="X116" i="4"/>
  <c r="Y116" i="4" s="1"/>
  <c r="U167" i="4"/>
  <c r="V167" i="4" s="1"/>
  <c r="W167" i="4" s="1"/>
  <c r="AD167" i="4"/>
  <c r="AD133" i="4"/>
  <c r="X190" i="4"/>
  <c r="Y190" i="4" s="1"/>
  <c r="L115" i="4"/>
  <c r="N115" i="4"/>
  <c r="O115" i="4" s="1"/>
  <c r="Q115" i="4" s="1"/>
  <c r="R115" i="4"/>
  <c r="S115" i="4" s="1"/>
  <c r="T115" i="4" s="1"/>
  <c r="U110" i="4"/>
  <c r="V110" i="4" s="1"/>
  <c r="W110" i="4" s="1"/>
  <c r="R110" i="4"/>
  <c r="S110" i="4" s="1"/>
  <c r="T110" i="4" s="1"/>
  <c r="L110" i="4"/>
  <c r="N110" i="4"/>
  <c r="O110" i="4" s="1"/>
  <c r="Q110" i="4" s="1"/>
  <c r="L144" i="4"/>
  <c r="R144" i="4"/>
  <c r="S144" i="4" s="1"/>
  <c r="T144" i="4" s="1"/>
  <c r="N144" i="4"/>
  <c r="O144" i="4" s="1"/>
  <c r="Q144" i="4" s="1"/>
  <c r="X110" i="4"/>
  <c r="Y110" i="4" s="1"/>
  <c r="R153" i="4"/>
  <c r="S153" i="4" s="1"/>
  <c r="T153" i="4" s="1"/>
  <c r="N153" i="4"/>
  <c r="O153" i="4" s="1"/>
  <c r="Q153" i="4" s="1"/>
  <c r="L153" i="4"/>
  <c r="L164" i="4"/>
  <c r="N164" i="4"/>
  <c r="O164" i="4" s="1"/>
  <c r="Q164" i="4" s="1"/>
  <c r="R164" i="4"/>
  <c r="S164" i="4" s="1"/>
  <c r="T164" i="4" s="1"/>
  <c r="L161" i="4"/>
  <c r="R161" i="4"/>
  <c r="S161" i="4" s="1"/>
  <c r="T161" i="4" s="1"/>
  <c r="N161" i="4"/>
  <c r="O161" i="4" s="1"/>
  <c r="Q161" i="4" s="1"/>
  <c r="AD115" i="4"/>
  <c r="N191" i="4"/>
  <c r="O191" i="4" s="1"/>
  <c r="Q191" i="4" s="1"/>
  <c r="L191" i="4"/>
  <c r="R191" i="4"/>
  <c r="S191" i="4" s="1"/>
  <c r="T191" i="4" s="1"/>
  <c r="L169" i="4"/>
  <c r="R169" i="4"/>
  <c r="S169" i="4" s="1"/>
  <c r="T169" i="4" s="1"/>
  <c r="N169" i="4"/>
  <c r="O169" i="4" s="1"/>
  <c r="Q169" i="4" s="1"/>
  <c r="U207" i="4"/>
  <c r="V207" i="4" s="1"/>
  <c r="W207" i="4" s="1"/>
  <c r="X128" i="4"/>
  <c r="Y128" i="4" s="1"/>
  <c r="R128" i="4"/>
  <c r="S128" i="4" s="1"/>
  <c r="T128" i="4" s="1"/>
  <c r="N128" i="4"/>
  <c r="O128" i="4" s="1"/>
  <c r="Q128" i="4" s="1"/>
  <c r="L128" i="4"/>
  <c r="N159" i="4"/>
  <c r="O159" i="4" s="1"/>
  <c r="Q159" i="4" s="1"/>
  <c r="R159" i="4"/>
  <c r="S159" i="4" s="1"/>
  <c r="T159" i="4" s="1"/>
  <c r="L159" i="4"/>
  <c r="R167" i="4"/>
  <c r="S167" i="4" s="1"/>
  <c r="T167" i="4" s="1"/>
  <c r="L167" i="4"/>
  <c r="N167" i="4"/>
  <c r="O167" i="4" s="1"/>
  <c r="Q167" i="4" s="1"/>
  <c r="AD144" i="4"/>
  <c r="U153" i="4"/>
  <c r="V153" i="4" s="1"/>
  <c r="W153" i="4" s="1"/>
  <c r="X164" i="4"/>
  <c r="Y164" i="4" s="1"/>
  <c r="AD172" i="4"/>
  <c r="AD182" i="4"/>
  <c r="N173" i="4"/>
  <c r="O173" i="4" s="1"/>
  <c r="Q173" i="4" s="1"/>
  <c r="R173" i="4"/>
  <c r="S173" i="4" s="1"/>
  <c r="T173" i="4" s="1"/>
  <c r="L173" i="4"/>
  <c r="AD128" i="4"/>
  <c r="L176" i="4"/>
  <c r="R176" i="4"/>
  <c r="S176" i="4" s="1"/>
  <c r="T176" i="4" s="1"/>
  <c r="N176" i="4"/>
  <c r="O176" i="4" s="1"/>
  <c r="Q176" i="4" s="1"/>
  <c r="R123" i="4"/>
  <c r="S123" i="4" s="1"/>
  <c r="T123" i="4" s="1"/>
  <c r="N123" i="4"/>
  <c r="O123" i="4" s="1"/>
  <c r="Q123" i="4" s="1"/>
  <c r="L123" i="4"/>
  <c r="U140" i="4"/>
  <c r="V140" i="4" s="1"/>
  <c r="W140" i="4" s="1"/>
  <c r="AD122" i="4"/>
  <c r="AD159" i="4"/>
  <c r="R168" i="4"/>
  <c r="S168" i="4" s="1"/>
  <c r="T168" i="4" s="1"/>
  <c r="L168" i="4"/>
  <c r="N168" i="4"/>
  <c r="O168" i="4" s="1"/>
  <c r="Q168" i="4" s="1"/>
  <c r="N116" i="4"/>
  <c r="O116" i="4" s="1"/>
  <c r="Q116" i="4" s="1"/>
  <c r="L116" i="4"/>
  <c r="R116" i="4"/>
  <c r="S116" i="4" s="1"/>
  <c r="T116" i="4" s="1"/>
  <c r="AD161" i="4"/>
  <c r="U115" i="4"/>
  <c r="V115" i="4" s="1"/>
  <c r="W115" i="4" s="1"/>
  <c r="N113" i="4"/>
  <c r="O113" i="4" s="1"/>
  <c r="Q113" i="4" s="1"/>
  <c r="L113" i="4"/>
  <c r="R113" i="4"/>
  <c r="S113" i="4" s="1"/>
  <c r="T113" i="4" s="1"/>
  <c r="L133" i="4"/>
  <c r="R133" i="4"/>
  <c r="S133" i="4" s="1"/>
  <c r="T133" i="4" s="1"/>
  <c r="N133" i="4"/>
  <c r="O133" i="4" s="1"/>
  <c r="Q133" i="4" s="1"/>
  <c r="U144" i="4"/>
  <c r="V144" i="4" s="1"/>
  <c r="W144" i="4" s="1"/>
  <c r="AD110" i="4"/>
  <c r="R124" i="4"/>
  <c r="S124" i="4" s="1"/>
  <c r="T124" i="4" s="1"/>
  <c r="N124" i="4"/>
  <c r="O124" i="4" s="1"/>
  <c r="Q124" i="4" s="1"/>
  <c r="L124" i="4"/>
  <c r="X153" i="4"/>
  <c r="Y153" i="4" s="1"/>
  <c r="U164" i="4"/>
  <c r="V164" i="4" s="1"/>
  <c r="W164" i="4" s="1"/>
  <c r="R202" i="4"/>
  <c r="S202" i="4" s="1"/>
  <c r="T202" i="4" s="1"/>
  <c r="N202" i="4"/>
  <c r="O202" i="4" s="1"/>
  <c r="Q202" i="4" s="1"/>
  <c r="L202" i="4"/>
  <c r="U137" i="4"/>
  <c r="V137" i="4" s="1"/>
  <c r="W137" i="4" s="1"/>
  <c r="R137" i="4"/>
  <c r="S137" i="4" s="1"/>
  <c r="T137" i="4" s="1"/>
  <c r="L137" i="4"/>
  <c r="N137" i="4"/>
  <c r="O137" i="4" s="1"/>
  <c r="Q137" i="4" s="1"/>
  <c r="U128" i="4"/>
  <c r="V128" i="4" s="1"/>
  <c r="W128" i="4" s="1"/>
  <c r="L120" i="4"/>
  <c r="N120" i="4"/>
  <c r="O120" i="4" s="1"/>
  <c r="Q120" i="4" s="1"/>
  <c r="R120" i="4"/>
  <c r="S120" i="4" s="1"/>
  <c r="T120" i="4" s="1"/>
  <c r="X137" i="4"/>
  <c r="Y137" i="4" s="1"/>
  <c r="U113" i="4"/>
  <c r="V113" i="4" s="1"/>
  <c r="W113" i="4" s="1"/>
  <c r="N126" i="4"/>
  <c r="O126" i="4" s="1"/>
  <c r="Q126" i="4" s="1"/>
  <c r="R126" i="4"/>
  <c r="S126" i="4" s="1"/>
  <c r="T126" i="4" s="1"/>
  <c r="L126" i="4"/>
  <c r="N165" i="4"/>
  <c r="O165" i="4" s="1"/>
  <c r="Q165" i="4" s="1"/>
  <c r="L165" i="4"/>
  <c r="R165" i="4"/>
  <c r="S165" i="4" s="1"/>
  <c r="T165" i="4" s="1"/>
  <c r="N194" i="4"/>
  <c r="O194" i="4" s="1"/>
  <c r="Q194" i="4" s="1"/>
  <c r="R194" i="4"/>
  <c r="S194" i="4" s="1"/>
  <c r="T194" i="4" s="1"/>
  <c r="L194" i="4"/>
  <c r="X159" i="4"/>
  <c r="Y159" i="4" s="1"/>
  <c r="U161" i="4"/>
  <c r="V161" i="4" s="1"/>
  <c r="W161" i="4" s="1"/>
  <c r="N207" i="4"/>
  <c r="O207" i="4" s="1"/>
  <c r="Q207" i="4" s="1"/>
  <c r="R207" i="4"/>
  <c r="S207" i="4" s="1"/>
  <c r="T207" i="4" s="1"/>
  <c r="L207" i="4"/>
  <c r="X182" i="4"/>
  <c r="Y182" i="4" s="1"/>
  <c r="N182" i="4"/>
  <c r="O182" i="4" s="1"/>
  <c r="Q182" i="4" s="1"/>
  <c r="L182" i="4"/>
  <c r="R182" i="4"/>
  <c r="S182" i="4" s="1"/>
  <c r="T182" i="4" s="1"/>
  <c r="AD177" i="4"/>
  <c r="L177" i="4"/>
  <c r="R177" i="4"/>
  <c r="S177" i="4" s="1"/>
  <c r="T177" i="4" s="1"/>
  <c r="N177" i="4"/>
  <c r="O177" i="4" s="1"/>
  <c r="Q177" i="4" s="1"/>
  <c r="L122" i="4"/>
  <c r="N122" i="4"/>
  <c r="O122" i="4" s="1"/>
  <c r="Q122" i="4" s="1"/>
  <c r="R122" i="4"/>
  <c r="S122" i="4" s="1"/>
  <c r="T122" i="4" s="1"/>
  <c r="R172" i="4"/>
  <c r="S172" i="4" s="1"/>
  <c r="T172" i="4" s="1"/>
  <c r="N172" i="4"/>
  <c r="O172" i="4" s="1"/>
  <c r="Q172" i="4" s="1"/>
  <c r="L172" i="4"/>
  <c r="X140" i="4"/>
  <c r="Y140" i="4" s="1"/>
  <c r="L140" i="4"/>
  <c r="R140" i="4"/>
  <c r="S140" i="4" s="1"/>
  <c r="T140" i="4" s="1"/>
  <c r="N140" i="4"/>
  <c r="O140" i="4" s="1"/>
  <c r="Q140" i="4" s="1"/>
  <c r="X115" i="4"/>
  <c r="Y115" i="4" s="1"/>
  <c r="X207" i="4"/>
  <c r="Y207" i="4" s="1"/>
  <c r="N190" i="4"/>
  <c r="O190" i="4" s="1"/>
  <c r="Q190" i="4" s="1"/>
  <c r="L190" i="4"/>
  <c r="R190" i="4"/>
  <c r="S190" i="4" s="1"/>
  <c r="T190" i="4" s="1"/>
  <c r="R145" i="4"/>
  <c r="S145" i="4" s="1"/>
  <c r="T145" i="4" s="1"/>
  <c r="L145" i="4"/>
  <c r="N145" i="4"/>
  <c r="O145" i="4" s="1"/>
  <c r="Q145" i="4" s="1"/>
  <c r="L157" i="4"/>
  <c r="R157" i="4"/>
  <c r="S157" i="4" s="1"/>
  <c r="T157" i="4" s="1"/>
  <c r="N157" i="4"/>
  <c r="O157" i="4" s="1"/>
  <c r="Q157" i="4" s="1"/>
  <c r="U130" i="4"/>
  <c r="V130" i="4" s="1"/>
  <c r="W130" i="4" s="1"/>
  <c r="R130" i="4"/>
  <c r="S130" i="4" s="1"/>
  <c r="T130" i="4" s="1"/>
  <c r="N130" i="4"/>
  <c r="O130" i="4" s="1"/>
  <c r="Q130" i="4" s="1"/>
  <c r="L130" i="4"/>
  <c r="X144" i="4"/>
  <c r="Y144" i="4" s="1"/>
  <c r="U124" i="4"/>
  <c r="V124" i="4" s="1"/>
  <c r="W124" i="4" s="1"/>
  <c r="L152" i="4"/>
  <c r="R152" i="4"/>
  <c r="S152" i="4" s="1"/>
  <c r="T152" i="4" s="1"/>
  <c r="N152" i="4"/>
  <c r="O152" i="4" s="1"/>
  <c r="Q152" i="4" s="1"/>
  <c r="N185" i="4"/>
  <c r="O185" i="4" s="1"/>
  <c r="Q185" i="4" s="1"/>
  <c r="R185" i="4"/>
  <c r="S185" i="4" s="1"/>
  <c r="T185" i="4" s="1"/>
  <c r="L185" i="4"/>
  <c r="R180" i="4"/>
  <c r="S180" i="4" s="1"/>
  <c r="T180" i="4" s="1"/>
  <c r="L180" i="4"/>
  <c r="N180" i="4"/>
  <c r="O180" i="4" s="1"/>
  <c r="Q180" i="4" s="1"/>
  <c r="AD153" i="4"/>
  <c r="AD164" i="4"/>
  <c r="X172" i="4"/>
  <c r="Y172" i="4" s="1"/>
  <c r="U202" i="4"/>
  <c r="V202" i="4" s="1"/>
  <c r="W202" i="4" s="1"/>
  <c r="AD157" i="4"/>
  <c r="X177" i="4"/>
  <c r="Y177" i="4" s="1"/>
  <c r="X120" i="4"/>
  <c r="Y120" i="4" s="1"/>
  <c r="U133" i="4"/>
  <c r="V133" i="4" s="1"/>
  <c r="W133" i="4" s="1"/>
  <c r="U131" i="4"/>
  <c r="V131" i="4" s="1"/>
  <c r="W131" i="4" s="1"/>
  <c r="R131" i="4"/>
  <c r="S131" i="4" s="1"/>
  <c r="T131" i="4" s="1"/>
  <c r="N131" i="4"/>
  <c r="O131" i="4" s="1"/>
  <c r="Q131" i="4" s="1"/>
  <c r="L131" i="4"/>
  <c r="AD113" i="4"/>
  <c r="AD126" i="4"/>
  <c r="X122" i="4"/>
  <c r="Y122" i="4" s="1"/>
  <c r="AD165" i="4"/>
  <c r="X194" i="4"/>
  <c r="Y194" i="4" s="1"/>
  <c r="U159" i="4"/>
  <c r="V159" i="4" s="1"/>
  <c r="W159" i="4" s="1"/>
  <c r="L151" i="4"/>
  <c r="N151" i="4"/>
  <c r="O151" i="4" s="1"/>
  <c r="Q151" i="4" s="1"/>
  <c r="R151" i="4"/>
  <c r="S151" i="4" s="1"/>
  <c r="T151" i="4" s="1"/>
  <c r="X161" i="4"/>
  <c r="Y161" i="4" s="1"/>
  <c r="X151" i="4"/>
  <c r="Y151" i="4" s="1"/>
  <c r="X47" i="4"/>
  <c r="Y47" i="4" s="1"/>
  <c r="L47" i="4"/>
  <c r="L66" i="4"/>
  <c r="U82" i="4"/>
  <c r="V82" i="4" s="1"/>
  <c r="W82" i="4" s="1"/>
  <c r="L82" i="4"/>
  <c r="U85" i="4"/>
  <c r="V85" i="4" s="1"/>
  <c r="W85" i="4" s="1"/>
  <c r="L85" i="4"/>
  <c r="N70" i="4"/>
  <c r="O70" i="4" s="1"/>
  <c r="Q70" i="4" s="1"/>
  <c r="L70" i="4"/>
  <c r="U100" i="4"/>
  <c r="V100" i="4" s="1"/>
  <c r="W100" i="4" s="1"/>
  <c r="L100" i="4"/>
  <c r="U26" i="4"/>
  <c r="V26" i="4" s="1"/>
  <c r="W26" i="4" s="1"/>
  <c r="L26" i="4"/>
  <c r="R84" i="4"/>
  <c r="S84" i="4" s="1"/>
  <c r="T84" i="4" s="1"/>
  <c r="L84" i="4"/>
  <c r="U23" i="4"/>
  <c r="V23" i="4" s="1"/>
  <c r="W23" i="4" s="1"/>
  <c r="L23" i="4"/>
  <c r="N49" i="4"/>
  <c r="O49" i="4" s="1"/>
  <c r="Q49" i="4" s="1"/>
  <c r="L49" i="4"/>
  <c r="X35" i="4"/>
  <c r="Y35" i="4" s="1"/>
  <c r="L35" i="4"/>
  <c r="R102" i="4"/>
  <c r="S102" i="4" s="1"/>
  <c r="T102" i="4" s="1"/>
  <c r="L102" i="4"/>
  <c r="X24" i="4"/>
  <c r="Y24" i="4" s="1"/>
  <c r="L24" i="4"/>
  <c r="N9" i="4"/>
  <c r="O9" i="4" s="1"/>
  <c r="Q9" i="4" s="1"/>
  <c r="L9" i="4"/>
  <c r="L64" i="4"/>
  <c r="AD32" i="4"/>
  <c r="AE32" i="4" s="1"/>
  <c r="L32" i="4"/>
  <c r="L104" i="4"/>
  <c r="R43" i="4"/>
  <c r="S43" i="4" s="1"/>
  <c r="T43" i="4" s="1"/>
  <c r="L43" i="4"/>
  <c r="AD56" i="4"/>
  <c r="AE56" i="4" s="1"/>
  <c r="L56" i="4"/>
  <c r="L73" i="4"/>
  <c r="U83" i="4"/>
  <c r="V83" i="4" s="1"/>
  <c r="W83" i="4" s="1"/>
  <c r="L83" i="4"/>
  <c r="U41" i="4"/>
  <c r="V41" i="4" s="1"/>
  <c r="W41" i="4" s="1"/>
  <c r="L41" i="4"/>
  <c r="L31" i="4"/>
  <c r="U97" i="4"/>
  <c r="V97" i="4" s="1"/>
  <c r="W97" i="4" s="1"/>
  <c r="L97" i="4"/>
  <c r="R14" i="4"/>
  <c r="S14" i="4" s="1"/>
  <c r="T14" i="4" s="1"/>
  <c r="L14" i="4"/>
  <c r="R94" i="4"/>
  <c r="S94" i="4" s="1"/>
  <c r="T94" i="4" s="1"/>
  <c r="L94" i="4"/>
  <c r="L12" i="4"/>
  <c r="L53" i="4"/>
  <c r="N36" i="4"/>
  <c r="O36" i="4" s="1"/>
  <c r="Q36" i="4" s="1"/>
  <c r="L36" i="4"/>
  <c r="R33" i="4"/>
  <c r="S33" i="4" s="1"/>
  <c r="T33" i="4" s="1"/>
  <c r="L33" i="4"/>
  <c r="L25" i="4"/>
  <c r="L109" i="4"/>
  <c r="L62" i="4"/>
  <c r="AD88" i="4"/>
  <c r="AE88" i="4" s="1"/>
  <c r="L88" i="4"/>
  <c r="U11" i="4"/>
  <c r="V11" i="4" s="1"/>
  <c r="W11" i="4" s="1"/>
  <c r="L11" i="4"/>
  <c r="N79" i="4"/>
  <c r="O79" i="4" s="1"/>
  <c r="Q79" i="4" s="1"/>
  <c r="L79" i="4"/>
  <c r="L59" i="4"/>
  <c r="L46" i="4"/>
  <c r="X40" i="4"/>
  <c r="Y40" i="4" s="1"/>
  <c r="L40" i="4"/>
  <c r="AD71" i="4"/>
  <c r="AE71" i="4" s="1"/>
  <c r="L71" i="4"/>
  <c r="U17" i="4"/>
  <c r="V17" i="4" s="1"/>
  <c r="W17" i="4" s="1"/>
  <c r="L17" i="4"/>
  <c r="L78" i="4"/>
  <c r="AD29" i="4"/>
  <c r="AE29" i="4" s="1"/>
  <c r="L29" i="4"/>
  <c r="R67" i="4"/>
  <c r="S67" i="4" s="1"/>
  <c r="T67" i="4" s="1"/>
  <c r="L67" i="4"/>
  <c r="L90" i="4"/>
  <c r="U19" i="4"/>
  <c r="V19" i="4" s="1"/>
  <c r="W19" i="4" s="1"/>
  <c r="L19" i="4"/>
  <c r="R54" i="4"/>
  <c r="S54" i="4" s="1"/>
  <c r="T54" i="4" s="1"/>
  <c r="L54" i="4"/>
  <c r="R77" i="4"/>
  <c r="S77" i="4" s="1"/>
  <c r="T77" i="4" s="1"/>
  <c r="L77" i="4"/>
  <c r="U58" i="4"/>
  <c r="V58" i="4" s="1"/>
  <c r="W58" i="4" s="1"/>
  <c r="L58" i="4"/>
  <c r="AD28" i="4"/>
  <c r="AE28" i="4" s="1"/>
  <c r="L28" i="4"/>
  <c r="AD10" i="4"/>
  <c r="AE10" i="4" s="1"/>
  <c r="L10" i="4"/>
  <c r="X74" i="4"/>
  <c r="Y74" i="4" s="1"/>
  <c r="L74" i="4"/>
  <c r="L27" i="4"/>
  <c r="L99" i="4"/>
  <c r="N16" i="4"/>
  <c r="O16" i="4" s="1"/>
  <c r="Q16" i="4" s="1"/>
  <c r="L16" i="4"/>
  <c r="AD51" i="4"/>
  <c r="AE51" i="4" s="1"/>
  <c r="L51" i="4"/>
  <c r="L60" i="4"/>
  <c r="AD101" i="4"/>
  <c r="AE101" i="4" s="1"/>
  <c r="L101" i="4"/>
  <c r="R13" i="4"/>
  <c r="S13" i="4" s="1"/>
  <c r="T13" i="4" s="1"/>
  <c r="L13" i="4"/>
  <c r="N61" i="4"/>
  <c r="O61" i="4" s="1"/>
  <c r="Q61" i="4" s="1"/>
  <c r="L61" i="4"/>
  <c r="L50" i="4"/>
  <c r="L18" i="4"/>
  <c r="AD42" i="4"/>
  <c r="AE42" i="4" s="1"/>
  <c r="L42" i="4"/>
  <c r="X45" i="4"/>
  <c r="Y45" i="4" s="1"/>
  <c r="L45" i="4"/>
  <c r="U106" i="4"/>
  <c r="V106" i="4" s="1"/>
  <c r="W106" i="4" s="1"/>
  <c r="L106" i="4"/>
  <c r="L44" i="4"/>
  <c r="N105" i="4"/>
  <c r="O105" i="4" s="1"/>
  <c r="Q105" i="4" s="1"/>
  <c r="L105" i="4"/>
  <c r="R98" i="4"/>
  <c r="S98" i="4" s="1"/>
  <c r="T98" i="4" s="1"/>
  <c r="L98" i="4"/>
  <c r="AD15" i="4"/>
  <c r="AE15" i="4" s="1"/>
  <c r="L15" i="4"/>
  <c r="N86" i="4"/>
  <c r="O86" i="4" s="1"/>
  <c r="Q86" i="4" s="1"/>
  <c r="L86" i="4"/>
  <c r="AD89" i="4"/>
  <c r="AE89" i="4" s="1"/>
  <c r="L89" i="4"/>
  <c r="AD81" i="4"/>
  <c r="AE81" i="4" s="1"/>
  <c r="L81" i="4"/>
  <c r="L63" i="4"/>
  <c r="AD52" i="4"/>
  <c r="AE52" i="4" s="1"/>
  <c r="L52" i="4"/>
  <c r="AD92" i="4"/>
  <c r="AE92" i="4" s="1"/>
  <c r="L92" i="4"/>
  <c r="X68" i="4"/>
  <c r="Y68" i="4" s="1"/>
  <c r="L68" i="4"/>
  <c r="U72" i="4"/>
  <c r="V72" i="4" s="1"/>
  <c r="W72" i="4" s="1"/>
  <c r="L72" i="4"/>
  <c r="U107" i="4"/>
  <c r="V107" i="4" s="1"/>
  <c r="W107" i="4" s="1"/>
  <c r="L107" i="4"/>
  <c r="AD108" i="4"/>
  <c r="AE108" i="4" s="1"/>
  <c r="L108" i="4"/>
  <c r="AD95" i="4"/>
  <c r="AE95" i="4" s="1"/>
  <c r="L95" i="4"/>
  <c r="X38" i="4"/>
  <c r="Y38" i="4" s="1"/>
  <c r="L38" i="4"/>
  <c r="AD22" i="4"/>
  <c r="AE22" i="4" s="1"/>
  <c r="L22" i="4"/>
  <c r="X34" i="4"/>
  <c r="Y34" i="4" s="1"/>
  <c r="L34" i="4"/>
  <c r="U103" i="4"/>
  <c r="V103" i="4" s="1"/>
  <c r="W103" i="4" s="1"/>
  <c r="L103" i="4"/>
  <c r="X69" i="4"/>
  <c r="Y69" i="4" s="1"/>
  <c r="L69" i="4"/>
  <c r="U57" i="4"/>
  <c r="V57" i="4" s="1"/>
  <c r="W57" i="4" s="1"/>
  <c r="L57" i="4"/>
  <c r="R39" i="4"/>
  <c r="S39" i="4" s="1"/>
  <c r="T39" i="4" s="1"/>
  <c r="L39" i="4"/>
  <c r="AD21" i="4"/>
  <c r="AE21" i="4" s="1"/>
  <c r="L21" i="4"/>
  <c r="U93" i="4"/>
  <c r="V93" i="4" s="1"/>
  <c r="W93" i="4" s="1"/>
  <c r="L93" i="4"/>
  <c r="L76" i="4"/>
  <c r="AD87" i="4"/>
  <c r="AE87" i="4" s="1"/>
  <c r="L87" i="4"/>
  <c r="U96" i="4"/>
  <c r="V96" i="4" s="1"/>
  <c r="W96" i="4" s="1"/>
  <c r="L96" i="4"/>
  <c r="X91" i="4"/>
  <c r="Y91" i="4" s="1"/>
  <c r="L91" i="4"/>
  <c r="X55" i="4"/>
  <c r="Y55" i="4" s="1"/>
  <c r="L55" i="4"/>
  <c r="R75" i="4"/>
  <c r="S75" i="4" s="1"/>
  <c r="T75" i="4" s="1"/>
  <c r="L75" i="4"/>
  <c r="U20" i="4"/>
  <c r="V20" i="4" s="1"/>
  <c r="W20" i="4" s="1"/>
  <c r="L20" i="4"/>
  <c r="X37" i="4"/>
  <c r="Y37" i="4" s="1"/>
  <c r="L37" i="4"/>
  <c r="L30" i="4"/>
  <c r="N27" i="4"/>
  <c r="O27" i="4" s="1"/>
  <c r="Q27" i="4" s="1"/>
  <c r="R27" i="4"/>
  <c r="S27" i="4" s="1"/>
  <c r="T27" i="4" s="1"/>
  <c r="AD27" i="4"/>
  <c r="AE27" i="4" s="1"/>
  <c r="AD99" i="4"/>
  <c r="AE99" i="4" s="1"/>
  <c r="U99" i="4"/>
  <c r="V99" i="4" s="1"/>
  <c r="W99" i="4" s="1"/>
  <c r="AD55" i="4"/>
  <c r="AE55" i="4" s="1"/>
  <c r="U27" i="4"/>
  <c r="V27" i="4" s="1"/>
  <c r="W27" i="4" s="1"/>
  <c r="AD16" i="4"/>
  <c r="AE16" i="4" s="1"/>
  <c r="N99" i="4"/>
  <c r="O99" i="4" s="1"/>
  <c r="Q99" i="4" s="1"/>
  <c r="X16" i="4"/>
  <c r="Y16" i="4" s="1"/>
  <c r="U16" i="4"/>
  <c r="V16" i="4" s="1"/>
  <c r="W16" i="4" s="1"/>
  <c r="R99" i="4"/>
  <c r="S99" i="4" s="1"/>
  <c r="T99" i="4" s="1"/>
  <c r="R16" i="4"/>
  <c r="S16" i="4" s="1"/>
  <c r="T16" i="4" s="1"/>
  <c r="X27" i="4"/>
  <c r="Y27" i="4" s="1"/>
  <c r="X99" i="4"/>
  <c r="Y99" i="4" s="1"/>
  <c r="N107" i="4"/>
  <c r="O107" i="4" s="1"/>
  <c r="Q107" i="4" s="1"/>
  <c r="AD107" i="4"/>
  <c r="AE107" i="4" s="1"/>
  <c r="X30" i="4"/>
  <c r="Y30" i="4" s="1"/>
  <c r="AD37" i="4"/>
  <c r="AE37" i="4" s="1"/>
  <c r="X72" i="4"/>
  <c r="Y72" i="4" s="1"/>
  <c r="R55" i="4"/>
  <c r="S55" i="4" s="1"/>
  <c r="T55" i="4" s="1"/>
  <c r="U30" i="4"/>
  <c r="V30" i="4" s="1"/>
  <c r="W30" i="4" s="1"/>
  <c r="R72" i="4"/>
  <c r="S72" i="4" s="1"/>
  <c r="T72" i="4" s="1"/>
  <c r="N75" i="4"/>
  <c r="O75" i="4" s="1"/>
  <c r="Q75" i="4" s="1"/>
  <c r="AD30" i="4"/>
  <c r="AE30" i="4" s="1"/>
  <c r="N72" i="4"/>
  <c r="O72" i="4" s="1"/>
  <c r="Q72" i="4" s="1"/>
  <c r="N37" i="4"/>
  <c r="O37" i="4" s="1"/>
  <c r="Q37" i="4" s="1"/>
  <c r="X33" i="4"/>
  <c r="Y33" i="4" s="1"/>
  <c r="N30" i="4"/>
  <c r="O30" i="4" s="1"/>
  <c r="Q30" i="4" s="1"/>
  <c r="X107" i="4"/>
  <c r="Y107" i="4" s="1"/>
  <c r="N55" i="4"/>
  <c r="O55" i="4" s="1"/>
  <c r="Q55" i="4" s="1"/>
  <c r="U55" i="4"/>
  <c r="V55" i="4" s="1"/>
  <c r="W55" i="4" s="1"/>
  <c r="U75" i="4"/>
  <c r="V75" i="4" s="1"/>
  <c r="W75" i="4" s="1"/>
  <c r="U37" i="4"/>
  <c r="V37" i="4" s="1"/>
  <c r="W37" i="4" s="1"/>
  <c r="R37" i="4"/>
  <c r="S37" i="4" s="1"/>
  <c r="T37" i="4" s="1"/>
  <c r="AD72" i="4"/>
  <c r="AE72" i="4" s="1"/>
  <c r="AD33" i="4"/>
  <c r="AE33" i="4" s="1"/>
  <c r="U33" i="4"/>
  <c r="V33" i="4" s="1"/>
  <c r="W33" i="4" s="1"/>
  <c r="R107" i="4"/>
  <c r="S107" i="4" s="1"/>
  <c r="T107" i="4" s="1"/>
  <c r="N33" i="4"/>
  <c r="O33" i="4" s="1"/>
  <c r="Q33" i="4" s="1"/>
  <c r="R30" i="4"/>
  <c r="S30" i="4" s="1"/>
  <c r="T30" i="4" s="1"/>
  <c r="AD75" i="4"/>
  <c r="AE75" i="4" s="1"/>
  <c r="X75" i="4"/>
  <c r="Y75" i="4" s="1"/>
  <c r="B259" i="2"/>
  <c r="B129" i="2"/>
  <c r="E65" i="1" s="1"/>
  <c r="E28" i="1"/>
  <c r="X10" i="4"/>
  <c r="Y10" i="4" s="1"/>
  <c r="N10" i="4"/>
  <c r="O10" i="4" s="1"/>
  <c r="Q10" i="4" s="1"/>
  <c r="U10" i="4"/>
  <c r="V10" i="4" s="1"/>
  <c r="W10" i="4" s="1"/>
  <c r="R10" i="4"/>
  <c r="S10" i="4" s="1"/>
  <c r="T10" i="4" s="1"/>
  <c r="E27" i="1"/>
  <c r="D48" i="16"/>
  <c r="B74" i="2"/>
  <c r="E36" i="1" s="1"/>
  <c r="B50" i="2"/>
  <c r="R45" i="4"/>
  <c r="S45" i="4" s="1"/>
  <c r="T45" i="4" s="1"/>
  <c r="AD45" i="4"/>
  <c r="E50" i="1"/>
  <c r="C45" i="16" s="1"/>
  <c r="D45" i="16" s="1"/>
  <c r="B133" i="2"/>
  <c r="B134" i="2" s="1"/>
  <c r="U45" i="4"/>
  <c r="V45" i="4" s="1"/>
  <c r="W45" i="4" s="1"/>
  <c r="N45" i="4"/>
  <c r="O45" i="4" s="1"/>
  <c r="Q45" i="4" s="1"/>
  <c r="R104" i="4"/>
  <c r="S104" i="4" s="1"/>
  <c r="T104" i="4" s="1"/>
  <c r="R58" i="4"/>
  <c r="S58" i="4" s="1"/>
  <c r="T58" i="4" s="1"/>
  <c r="AD104" i="4"/>
  <c r="N58" i="4"/>
  <c r="O58" i="4" s="1"/>
  <c r="Q58" i="4" s="1"/>
  <c r="N31" i="4"/>
  <c r="O31" i="4" s="1"/>
  <c r="Q31" i="4" s="1"/>
  <c r="X104" i="4"/>
  <c r="Y104" i="4" s="1"/>
  <c r="U104" i="4"/>
  <c r="V104" i="4" s="1"/>
  <c r="W104" i="4" s="1"/>
  <c r="N104" i="4"/>
  <c r="O104" i="4" s="1"/>
  <c r="Q104" i="4" s="1"/>
  <c r="X58" i="4"/>
  <c r="Y58" i="4" s="1"/>
  <c r="AD58" i="4"/>
  <c r="U36" i="4"/>
  <c r="V36" i="4" s="1"/>
  <c r="W36" i="4" s="1"/>
  <c r="X36" i="4"/>
  <c r="Y36" i="4" s="1"/>
  <c r="R36" i="4"/>
  <c r="S36" i="4" s="1"/>
  <c r="T36" i="4" s="1"/>
  <c r="X54" i="4"/>
  <c r="Y54" i="4" s="1"/>
  <c r="N12" i="4"/>
  <c r="O12" i="4" s="1"/>
  <c r="Q12" i="4" s="1"/>
  <c r="AD36" i="4"/>
  <c r="N77" i="4"/>
  <c r="O77" i="4" s="1"/>
  <c r="Q77" i="4" s="1"/>
  <c r="AD77" i="4"/>
  <c r="X77" i="4"/>
  <c r="Y77" i="4" s="1"/>
  <c r="U77" i="4"/>
  <c r="V77" i="4" s="1"/>
  <c r="W77" i="4" s="1"/>
  <c r="U53" i="4"/>
  <c r="V53" i="4" s="1"/>
  <c r="W53" i="4" s="1"/>
  <c r="AD64" i="4"/>
  <c r="X64" i="4"/>
  <c r="Y64" i="4" s="1"/>
  <c r="R64" i="4"/>
  <c r="S64" i="4" s="1"/>
  <c r="T64" i="4" s="1"/>
  <c r="U64" i="4"/>
  <c r="V64" i="4" s="1"/>
  <c r="W64" i="4" s="1"/>
  <c r="U54" i="4"/>
  <c r="V54" i="4" s="1"/>
  <c r="W54" i="4" s="1"/>
  <c r="U59" i="4"/>
  <c r="V59" i="4" s="1"/>
  <c r="W59" i="4" s="1"/>
  <c r="U68" i="4"/>
  <c r="V68" i="4" s="1"/>
  <c r="W68" i="4" s="1"/>
  <c r="N52" i="4"/>
  <c r="O52" i="4" s="1"/>
  <c r="Q52" i="4" s="1"/>
  <c r="R68" i="4"/>
  <c r="S68" i="4" s="1"/>
  <c r="T68" i="4" s="1"/>
  <c r="AD12" i="4"/>
  <c r="N24" i="4"/>
  <c r="O24" i="4" s="1"/>
  <c r="Q24" i="4" s="1"/>
  <c r="U87" i="4"/>
  <c r="V87" i="4" s="1"/>
  <c r="W87" i="4" s="1"/>
  <c r="R32" i="4"/>
  <c r="S32" i="4" s="1"/>
  <c r="T32" i="4" s="1"/>
  <c r="X32" i="4"/>
  <c r="Y32" i="4" s="1"/>
  <c r="N53" i="4"/>
  <c r="O53" i="4" s="1"/>
  <c r="Q53" i="4" s="1"/>
  <c r="AD94" i="4"/>
  <c r="AD14" i="4"/>
  <c r="N87" i="4"/>
  <c r="O87" i="4" s="1"/>
  <c r="Q87" i="4" s="1"/>
  <c r="R69" i="4"/>
  <c r="S69" i="4" s="1"/>
  <c r="T69" i="4" s="1"/>
  <c r="U32" i="4"/>
  <c r="V32" i="4" s="1"/>
  <c r="W32" i="4" s="1"/>
  <c r="R50" i="4"/>
  <c r="S50" i="4" s="1"/>
  <c r="T50" i="4" s="1"/>
  <c r="X57" i="4"/>
  <c r="Y57" i="4" s="1"/>
  <c r="X53" i="4"/>
  <c r="Y53" i="4" s="1"/>
  <c r="N39" i="4"/>
  <c r="O39" i="4" s="1"/>
  <c r="Q39" i="4" s="1"/>
  <c r="U14" i="4"/>
  <c r="V14" i="4" s="1"/>
  <c r="W14" i="4" s="1"/>
  <c r="X14" i="4"/>
  <c r="Y14" i="4" s="1"/>
  <c r="U39" i="4"/>
  <c r="V39" i="4" s="1"/>
  <c r="W39" i="4" s="1"/>
  <c r="X39" i="4"/>
  <c r="Y39" i="4" s="1"/>
  <c r="R70" i="4"/>
  <c r="S70" i="4" s="1"/>
  <c r="T70" i="4" s="1"/>
  <c r="AD82" i="4"/>
  <c r="X82" i="4"/>
  <c r="Y82" i="4" s="1"/>
  <c r="R82" i="4"/>
  <c r="S82" i="4" s="1"/>
  <c r="T82" i="4" s="1"/>
  <c r="AD54" i="4"/>
  <c r="N64" i="4"/>
  <c r="O64" i="4" s="1"/>
  <c r="Q64" i="4" s="1"/>
  <c r="U13" i="4"/>
  <c r="V13" i="4" s="1"/>
  <c r="W13" i="4" s="1"/>
  <c r="N46" i="4"/>
  <c r="O46" i="4" s="1"/>
  <c r="Q46" i="4" s="1"/>
  <c r="AD68" i="4"/>
  <c r="R42" i="4"/>
  <c r="S42" i="4" s="1"/>
  <c r="T42" i="4" s="1"/>
  <c r="U35" i="4"/>
  <c r="V35" i="4" s="1"/>
  <c r="W35" i="4" s="1"/>
  <c r="N68" i="4"/>
  <c r="O68" i="4" s="1"/>
  <c r="Q68" i="4" s="1"/>
  <c r="N54" i="4"/>
  <c r="O54" i="4" s="1"/>
  <c r="Q54" i="4" s="1"/>
  <c r="X87" i="4"/>
  <c r="Y87" i="4" s="1"/>
  <c r="R87" i="4"/>
  <c r="S87" i="4" s="1"/>
  <c r="T87" i="4" s="1"/>
  <c r="U69" i="4"/>
  <c r="V69" i="4" s="1"/>
  <c r="W69" i="4" s="1"/>
  <c r="N69" i="4"/>
  <c r="O69" i="4" s="1"/>
  <c r="Q69" i="4" s="1"/>
  <c r="N32" i="4"/>
  <c r="O32" i="4" s="1"/>
  <c r="Q32" i="4" s="1"/>
  <c r="N84" i="4"/>
  <c r="O84" i="4" s="1"/>
  <c r="Q84" i="4" s="1"/>
  <c r="X94" i="4"/>
  <c r="Y94" i="4" s="1"/>
  <c r="U94" i="4"/>
  <c r="V94" i="4" s="1"/>
  <c r="W94" i="4" s="1"/>
  <c r="AD53" i="4"/>
  <c r="N57" i="4"/>
  <c r="O57" i="4" s="1"/>
  <c r="Q57" i="4" s="1"/>
  <c r="R57" i="4"/>
  <c r="S57" i="4" s="1"/>
  <c r="T57" i="4" s="1"/>
  <c r="AD57" i="4"/>
  <c r="N94" i="4"/>
  <c r="O94" i="4" s="1"/>
  <c r="Q94" i="4" s="1"/>
  <c r="AD39" i="4"/>
  <c r="AD69" i="4"/>
  <c r="N14" i="4"/>
  <c r="O14" i="4" s="1"/>
  <c r="Q14" i="4" s="1"/>
  <c r="AD61" i="4"/>
  <c r="R53" i="4"/>
  <c r="S53" i="4" s="1"/>
  <c r="T53" i="4" s="1"/>
  <c r="X61" i="4"/>
  <c r="Y61" i="4" s="1"/>
  <c r="R9" i="4"/>
  <c r="S9" i="4" s="1"/>
  <c r="T9" i="4" s="1"/>
  <c r="X9" i="4"/>
  <c r="Y9" i="4" s="1"/>
  <c r="R19" i="4"/>
  <c r="S19" i="4" s="1"/>
  <c r="T19" i="4" s="1"/>
  <c r="X49" i="4"/>
  <c r="Y49" i="4" s="1"/>
  <c r="AD19" i="4"/>
  <c r="U49" i="4"/>
  <c r="V49" i="4" s="1"/>
  <c r="W49" i="4" s="1"/>
  <c r="R86" i="4"/>
  <c r="S86" i="4" s="1"/>
  <c r="T86" i="4" s="1"/>
  <c r="AD102" i="4"/>
  <c r="AD24" i="4"/>
  <c r="AD86" i="4"/>
  <c r="R24" i="4"/>
  <c r="S24" i="4" s="1"/>
  <c r="T24" i="4" s="1"/>
  <c r="AD35" i="4"/>
  <c r="N35" i="4"/>
  <c r="O35" i="4" s="1"/>
  <c r="Q35" i="4" s="1"/>
  <c r="N102" i="4"/>
  <c r="O102" i="4" s="1"/>
  <c r="Q102" i="4" s="1"/>
  <c r="X42" i="4"/>
  <c r="Y42" i="4" s="1"/>
  <c r="R35" i="4"/>
  <c r="S35" i="4" s="1"/>
  <c r="T35" i="4" s="1"/>
  <c r="X18" i="4"/>
  <c r="Y18" i="4" s="1"/>
  <c r="U52" i="4"/>
  <c r="V52" i="4" s="1"/>
  <c r="W52" i="4" s="1"/>
  <c r="U9" i="4"/>
  <c r="V9" i="4" s="1"/>
  <c r="W9" i="4" s="1"/>
  <c r="AD9" i="4"/>
  <c r="R34" i="4"/>
  <c r="S34" i="4" s="1"/>
  <c r="T34" i="4" s="1"/>
  <c r="R49" i="4"/>
  <c r="S49" i="4" s="1"/>
  <c r="T49" i="4" s="1"/>
  <c r="AD49" i="4"/>
  <c r="X19" i="4"/>
  <c r="Y19" i="4" s="1"/>
  <c r="U102" i="4"/>
  <c r="V102" i="4" s="1"/>
  <c r="W102" i="4" s="1"/>
  <c r="U24" i="4"/>
  <c r="V24" i="4" s="1"/>
  <c r="W24" i="4" s="1"/>
  <c r="X102" i="4"/>
  <c r="Y102" i="4" s="1"/>
  <c r="N42" i="4"/>
  <c r="O42" i="4" s="1"/>
  <c r="Q42" i="4" s="1"/>
  <c r="U18" i="4"/>
  <c r="V18" i="4" s="1"/>
  <c r="W18" i="4" s="1"/>
  <c r="N19" i="4"/>
  <c r="O19" i="4" s="1"/>
  <c r="Q19" i="4" s="1"/>
  <c r="U42" i="4"/>
  <c r="V42" i="4" s="1"/>
  <c r="W42" i="4" s="1"/>
  <c r="N18" i="4"/>
  <c r="O18" i="4" s="1"/>
  <c r="Q18" i="4" s="1"/>
  <c r="X52" i="4"/>
  <c r="Y52" i="4" s="1"/>
  <c r="R52" i="4"/>
  <c r="S52" i="4" s="1"/>
  <c r="T52" i="4" s="1"/>
  <c r="AD76" i="4"/>
  <c r="AD73" i="4"/>
  <c r="B682" i="3"/>
  <c r="AD105" i="4"/>
  <c r="U67" i="4"/>
  <c r="V67" i="4" s="1"/>
  <c r="W67" i="4" s="1"/>
  <c r="R18" i="4"/>
  <c r="S18" i="4" s="1"/>
  <c r="T18" i="4" s="1"/>
  <c r="AD67" i="4"/>
  <c r="AD18" i="4"/>
  <c r="X60" i="4"/>
  <c r="Y60" i="4" s="1"/>
  <c r="X70" i="4"/>
  <c r="Y70" i="4" s="1"/>
  <c r="R12" i="4"/>
  <c r="S12" i="4" s="1"/>
  <c r="T12" i="4" s="1"/>
  <c r="AD63" i="4"/>
  <c r="U76" i="4"/>
  <c r="V76" i="4" s="1"/>
  <c r="W76" i="4" s="1"/>
  <c r="X67" i="4"/>
  <c r="Y67" i="4" s="1"/>
  <c r="X90" i="4"/>
  <c r="Y90" i="4" s="1"/>
  <c r="R90" i="4"/>
  <c r="S90" i="4" s="1"/>
  <c r="T90" i="4" s="1"/>
  <c r="AD90" i="4"/>
  <c r="N67" i="4"/>
  <c r="O67" i="4" s="1"/>
  <c r="Q67" i="4" s="1"/>
  <c r="N90" i="4"/>
  <c r="O90" i="4" s="1"/>
  <c r="Q90" i="4" s="1"/>
  <c r="U90" i="4"/>
  <c r="V90" i="4" s="1"/>
  <c r="W90" i="4" s="1"/>
  <c r="N63" i="4"/>
  <c r="O63" i="4" s="1"/>
  <c r="Q63" i="4" s="1"/>
  <c r="X63" i="4"/>
  <c r="Y63" i="4" s="1"/>
  <c r="X12" i="4"/>
  <c r="Y12" i="4" s="1"/>
  <c r="U12" i="4"/>
  <c r="V12" i="4" s="1"/>
  <c r="W12" i="4" s="1"/>
  <c r="X76" i="4"/>
  <c r="Y76" i="4" s="1"/>
  <c r="R63" i="4"/>
  <c r="S63" i="4" s="1"/>
  <c r="T63" i="4" s="1"/>
  <c r="N76" i="4"/>
  <c r="O76" i="4" s="1"/>
  <c r="Q76" i="4" s="1"/>
  <c r="R76" i="4"/>
  <c r="S76" i="4" s="1"/>
  <c r="T76" i="4" s="1"/>
  <c r="U63" i="4"/>
  <c r="V63" i="4" s="1"/>
  <c r="W63" i="4" s="1"/>
  <c r="B70" i="2"/>
  <c r="E32" i="1" s="1"/>
  <c r="E20" i="1"/>
  <c r="X97" i="4"/>
  <c r="Y97" i="4" s="1"/>
  <c r="N95" i="4"/>
  <c r="O95" i="4" s="1"/>
  <c r="Q95" i="4" s="1"/>
  <c r="U73" i="4"/>
  <c r="V73" i="4" s="1"/>
  <c r="W73" i="4" s="1"/>
  <c r="U84" i="4"/>
  <c r="V84" i="4" s="1"/>
  <c r="W84" i="4" s="1"/>
  <c r="U50" i="4"/>
  <c r="V50" i="4" s="1"/>
  <c r="W50" i="4" s="1"/>
  <c r="R78" i="4"/>
  <c r="S78" i="4" s="1"/>
  <c r="T78" i="4" s="1"/>
  <c r="R61" i="4"/>
  <c r="S61" i="4" s="1"/>
  <c r="T61" i="4" s="1"/>
  <c r="U34" i="4"/>
  <c r="V34" i="4" s="1"/>
  <c r="W34" i="4" s="1"/>
  <c r="AD34" i="4"/>
  <c r="N34" i="4"/>
  <c r="O34" i="4" s="1"/>
  <c r="Q34" i="4" s="1"/>
  <c r="C682" i="3"/>
  <c r="X84" i="4"/>
  <c r="Y84" i="4" s="1"/>
  <c r="AD84" i="4"/>
  <c r="X50" i="4"/>
  <c r="Y50" i="4" s="1"/>
  <c r="N50" i="4"/>
  <c r="O50" i="4" s="1"/>
  <c r="Q50" i="4" s="1"/>
  <c r="AD78" i="4"/>
  <c r="X78" i="4"/>
  <c r="Y78" i="4" s="1"/>
  <c r="U78" i="4"/>
  <c r="V78" i="4" s="1"/>
  <c r="W78" i="4" s="1"/>
  <c r="R105" i="4"/>
  <c r="S105" i="4" s="1"/>
  <c r="T105" i="4" s="1"/>
  <c r="R73" i="4"/>
  <c r="S73" i="4" s="1"/>
  <c r="T73" i="4" s="1"/>
  <c r="N78" i="4"/>
  <c r="O78" i="4" s="1"/>
  <c r="Q78" i="4" s="1"/>
  <c r="U61" i="4"/>
  <c r="V61" i="4" s="1"/>
  <c r="W61" i="4" s="1"/>
  <c r="AD50" i="4"/>
  <c r="AD70" i="4"/>
  <c r="U70" i="4"/>
  <c r="V70" i="4" s="1"/>
  <c r="W70" i="4" s="1"/>
  <c r="B74" i="1"/>
  <c r="U46" i="4"/>
  <c r="V46" i="4" s="1"/>
  <c r="W46" i="4" s="1"/>
  <c r="AD46" i="4"/>
  <c r="AD41" i="4"/>
  <c r="AD98" i="4"/>
  <c r="R108" i="4"/>
  <c r="S108" i="4" s="1"/>
  <c r="T108" i="4" s="1"/>
  <c r="AD59" i="4"/>
  <c r="U98" i="4"/>
  <c r="V98" i="4" s="1"/>
  <c r="W98" i="4" s="1"/>
  <c r="N82" i="4"/>
  <c r="O82" i="4" s="1"/>
  <c r="Q82" i="4" s="1"/>
  <c r="N38" i="4"/>
  <c r="O38" i="4" s="1"/>
  <c r="Q38" i="4" s="1"/>
  <c r="U38" i="4"/>
  <c r="V38" i="4" s="1"/>
  <c r="W38" i="4" s="1"/>
  <c r="R38" i="4"/>
  <c r="S38" i="4" s="1"/>
  <c r="T38" i="4" s="1"/>
  <c r="N13" i="4"/>
  <c r="O13" i="4" s="1"/>
  <c r="Q13" i="4" s="1"/>
  <c r="R46" i="4"/>
  <c r="S46" i="4" s="1"/>
  <c r="T46" i="4" s="1"/>
  <c r="U86" i="4"/>
  <c r="V86" i="4" s="1"/>
  <c r="W86" i="4" s="1"/>
  <c r="R59" i="4"/>
  <c r="S59" i="4" s="1"/>
  <c r="T59" i="4" s="1"/>
  <c r="N59" i="4"/>
  <c r="O59" i="4" s="1"/>
  <c r="Q59" i="4" s="1"/>
  <c r="X59" i="4"/>
  <c r="Y59" i="4" s="1"/>
  <c r="U31" i="4"/>
  <c r="V31" i="4" s="1"/>
  <c r="W31" i="4" s="1"/>
  <c r="X86" i="4"/>
  <c r="Y86" i="4" s="1"/>
  <c r="AD38" i="4"/>
  <c r="R97" i="4"/>
  <c r="S97" i="4" s="1"/>
  <c r="T97" i="4" s="1"/>
  <c r="X46" i="4"/>
  <c r="Y46" i="4" s="1"/>
  <c r="X98" i="4"/>
  <c r="Y98" i="4" s="1"/>
  <c r="N98" i="4"/>
  <c r="O98" i="4" s="1"/>
  <c r="Q98" i="4" s="1"/>
  <c r="N41" i="4"/>
  <c r="O41" i="4" s="1"/>
  <c r="Q41" i="4" s="1"/>
  <c r="AD97" i="4"/>
  <c r="N97" i="4"/>
  <c r="O97" i="4" s="1"/>
  <c r="Q97" i="4" s="1"/>
  <c r="E62" i="1"/>
  <c r="N60" i="4"/>
  <c r="O60" i="4" s="1"/>
  <c r="Q60" i="4" s="1"/>
  <c r="B135" i="2"/>
  <c r="B136" i="2" s="1"/>
  <c r="N73" i="4"/>
  <c r="O73" i="4" s="1"/>
  <c r="Q73" i="4" s="1"/>
  <c r="U95" i="4"/>
  <c r="V95" i="4" s="1"/>
  <c r="W95" i="4" s="1"/>
  <c r="AD13" i="4"/>
  <c r="R31" i="4"/>
  <c r="S31" i="4" s="1"/>
  <c r="T31" i="4" s="1"/>
  <c r="X13" i="4"/>
  <c r="Y13" i="4" s="1"/>
  <c r="AD31" i="4"/>
  <c r="U105" i="4"/>
  <c r="V105" i="4" s="1"/>
  <c r="W105" i="4" s="1"/>
  <c r="X31" i="4"/>
  <c r="Y31" i="4" s="1"/>
  <c r="X41" i="4"/>
  <c r="Y41" i="4" s="1"/>
  <c r="R41" i="4"/>
  <c r="S41" i="4" s="1"/>
  <c r="T41" i="4" s="1"/>
  <c r="AD60" i="4"/>
  <c r="AD43" i="4"/>
  <c r="R95" i="4"/>
  <c r="S95" i="4" s="1"/>
  <c r="T95" i="4" s="1"/>
  <c r="X95" i="4"/>
  <c r="Y95" i="4" s="1"/>
  <c r="X11" i="4"/>
  <c r="Y11" i="4" s="1"/>
  <c r="X105" i="4"/>
  <c r="Y105" i="4" s="1"/>
  <c r="X73" i="4"/>
  <c r="Y73" i="4" s="1"/>
  <c r="R60" i="4"/>
  <c r="S60" i="4" s="1"/>
  <c r="T60" i="4" s="1"/>
  <c r="U60" i="4"/>
  <c r="V60" i="4" s="1"/>
  <c r="W60" i="4" s="1"/>
  <c r="R8" i="8"/>
  <c r="S8" i="8" s="1"/>
  <c r="S27" i="8" s="1"/>
  <c r="C74" i="1" s="1"/>
  <c r="B82" i="2"/>
  <c r="E43" i="1" s="1"/>
  <c r="R62" i="4"/>
  <c r="S62" i="4" s="1"/>
  <c r="T62" i="4" s="1"/>
  <c r="AD62" i="4"/>
  <c r="R66" i="4"/>
  <c r="S66" i="4" s="1"/>
  <c r="T66" i="4" s="1"/>
  <c r="U66" i="4"/>
  <c r="V66" i="4" s="1"/>
  <c r="W66" i="4" s="1"/>
  <c r="B158" i="2"/>
  <c r="R109" i="4"/>
  <c r="S109" i="4" s="1"/>
  <c r="T109" i="4" s="1"/>
  <c r="X79" i="4"/>
  <c r="Y79" i="4" s="1"/>
  <c r="AD79" i="4"/>
  <c r="N11" i="4"/>
  <c r="O11" i="4" s="1"/>
  <c r="Q11" i="4" s="1"/>
  <c r="AD11" i="4"/>
  <c r="R11" i="4"/>
  <c r="S11" i="4" s="1"/>
  <c r="T11" i="4" s="1"/>
  <c r="B160" i="2"/>
  <c r="AD66" i="4"/>
  <c r="N62" i="4"/>
  <c r="O62" i="4" s="1"/>
  <c r="Q62" i="4" s="1"/>
  <c r="U62" i="4"/>
  <c r="V62" i="4" s="1"/>
  <c r="W62" i="4" s="1"/>
  <c r="X66" i="4"/>
  <c r="Y66" i="4" s="1"/>
  <c r="N66" i="4"/>
  <c r="O66" i="4" s="1"/>
  <c r="Q66" i="4" s="1"/>
  <c r="X109" i="4"/>
  <c r="Y109" i="4" s="1"/>
  <c r="AD109" i="4"/>
  <c r="X62" i="4"/>
  <c r="Y62" i="4" s="1"/>
  <c r="U79" i="4"/>
  <c r="V79" i="4" s="1"/>
  <c r="W79" i="4" s="1"/>
  <c r="R79" i="4"/>
  <c r="S79" i="4" s="1"/>
  <c r="T79" i="4" s="1"/>
  <c r="U108" i="4"/>
  <c r="V108" i="4" s="1"/>
  <c r="W108" i="4" s="1"/>
  <c r="R44" i="4"/>
  <c r="S44" i="4" s="1"/>
  <c r="T44" i="4" s="1"/>
  <c r="N108" i="4"/>
  <c r="O108" i="4" s="1"/>
  <c r="Q108" i="4" s="1"/>
  <c r="R106" i="4"/>
  <c r="S106" i="4" s="1"/>
  <c r="T106" i="4" s="1"/>
  <c r="X108" i="4"/>
  <c r="Y108" i="4" s="1"/>
  <c r="U43" i="4"/>
  <c r="V43" i="4" s="1"/>
  <c r="W43" i="4" s="1"/>
  <c r="N44" i="4"/>
  <c r="O44" i="4" s="1"/>
  <c r="Q44" i="4" s="1"/>
  <c r="AD44" i="4"/>
  <c r="X44" i="4"/>
  <c r="Y44" i="4" s="1"/>
  <c r="N106" i="4"/>
  <c r="O106" i="4" s="1"/>
  <c r="Q106" i="4" s="1"/>
  <c r="AD106" i="4"/>
  <c r="X106" i="4"/>
  <c r="Y106" i="4" s="1"/>
  <c r="U25" i="4"/>
  <c r="V25" i="4" s="1"/>
  <c r="W25" i="4" s="1"/>
  <c r="AD25" i="4"/>
  <c r="U44" i="4"/>
  <c r="V44" i="4" s="1"/>
  <c r="W44" i="4" s="1"/>
  <c r="X43" i="4"/>
  <c r="Y43" i="4" s="1"/>
  <c r="N43" i="4"/>
  <c r="O43" i="4" s="1"/>
  <c r="Q43" i="4" s="1"/>
  <c r="U109" i="4"/>
  <c r="V109" i="4" s="1"/>
  <c r="W109" i="4" s="1"/>
  <c r="B75" i="4"/>
  <c r="B76" i="4" s="1"/>
  <c r="B68" i="4"/>
  <c r="B69" i="4" s="1"/>
  <c r="N109" i="4"/>
  <c r="O109" i="4" s="1"/>
  <c r="Q109" i="4" s="1"/>
  <c r="AQ682" i="3"/>
  <c r="B79" i="2"/>
  <c r="E46" i="1" s="1"/>
  <c r="N25" i="4"/>
  <c r="O25" i="4" s="1"/>
  <c r="Q25" i="4" s="1"/>
  <c r="G36" i="3"/>
  <c r="H36" i="3" s="1"/>
  <c r="BN36" i="3" s="1"/>
  <c r="B15" i="6"/>
  <c r="G11" i="3"/>
  <c r="H11" i="3" s="1"/>
  <c r="BN11" i="3" s="1"/>
  <c r="F18" i="3"/>
  <c r="F25" i="3"/>
  <c r="BM25" i="3" s="1"/>
  <c r="B72" i="2"/>
  <c r="E34" i="1" s="1"/>
  <c r="B84" i="2"/>
  <c r="E45" i="1" s="1"/>
  <c r="F38" i="3"/>
  <c r="BM38" i="3" s="1"/>
  <c r="F24" i="3"/>
  <c r="BM24" i="3" s="1"/>
  <c r="G31" i="3"/>
  <c r="H31" i="3" s="1"/>
  <c r="BN31" i="3" s="1"/>
  <c r="G24" i="3"/>
  <c r="H24" i="3" s="1"/>
  <c r="BN24" i="3" s="1"/>
  <c r="G27" i="3"/>
  <c r="H27" i="3" s="1"/>
  <c r="BN27" i="3" s="1"/>
  <c r="X25" i="4"/>
  <c r="Y25" i="4" s="1"/>
  <c r="R25" i="4"/>
  <c r="S25" i="4" s="1"/>
  <c r="T25" i="4" s="1"/>
  <c r="G12" i="3"/>
  <c r="H12" i="3" s="1"/>
  <c r="BN12" i="3" s="1"/>
  <c r="G26" i="3"/>
  <c r="H26" i="3" s="1"/>
  <c r="BN26" i="3" s="1"/>
  <c r="F37" i="3"/>
  <c r="BM37" i="3" s="1"/>
  <c r="F35" i="3"/>
  <c r="BM35" i="3" s="1"/>
  <c r="B3" i="6"/>
  <c r="B69" i="2"/>
  <c r="E37" i="1" s="1"/>
  <c r="F32" i="3"/>
  <c r="BM32" i="3" s="1"/>
  <c r="E19" i="1"/>
  <c r="G16" i="3"/>
  <c r="H16" i="3" s="1"/>
  <c r="BN16" i="3" s="1"/>
  <c r="B16" i="6"/>
  <c r="G156" i="2"/>
  <c r="AR682" i="3"/>
  <c r="G683" i="3"/>
  <c r="H683" i="3" s="1"/>
  <c r="AR683" i="3"/>
  <c r="AQ683" i="3"/>
  <c r="B683" i="3"/>
  <c r="D683" i="3"/>
  <c r="C683" i="3"/>
  <c r="F683" i="3"/>
  <c r="F15" i="3"/>
  <c r="BM15" i="3" s="1"/>
  <c r="G14" i="3"/>
  <c r="H14" i="3" s="1"/>
  <c r="F11" i="3"/>
  <c r="BM11" i="3" s="1"/>
  <c r="F22" i="3"/>
  <c r="BM22" i="3" s="1"/>
  <c r="G33" i="3"/>
  <c r="H33" i="3" s="1"/>
  <c r="BN33" i="3" s="1"/>
  <c r="F16" i="3"/>
  <c r="BM16" i="3" s="1"/>
  <c r="G23" i="3"/>
  <c r="H23" i="3" s="1"/>
  <c r="BN23" i="3" s="1"/>
  <c r="G34" i="3"/>
  <c r="H34" i="3" s="1"/>
  <c r="BN34" i="3" s="1"/>
  <c r="F27" i="3"/>
  <c r="BM27" i="3" s="1"/>
  <c r="G18" i="3"/>
  <c r="H18" i="3" s="1"/>
  <c r="BN18" i="3" s="1"/>
  <c r="F30" i="3"/>
  <c r="G38" i="3"/>
  <c r="H38" i="3" s="1"/>
  <c r="BN38" i="3" s="1"/>
  <c r="F682" i="3"/>
  <c r="G682" i="3"/>
  <c r="H682" i="3" s="1"/>
  <c r="F26" i="3"/>
  <c r="G13" i="3"/>
  <c r="H13" i="3" s="1"/>
  <c r="BN13" i="3" s="1"/>
  <c r="G29" i="3"/>
  <c r="H29" i="3" s="1"/>
  <c r="BN29" i="3" s="1"/>
  <c r="G32" i="3"/>
  <c r="H32" i="3" s="1"/>
  <c r="BN32" i="3" s="1"/>
  <c r="F20" i="3"/>
  <c r="BM20" i="3" s="1"/>
  <c r="G22" i="3"/>
  <c r="H22" i="3" s="1"/>
  <c r="BN22" i="3" s="1"/>
  <c r="F13" i="3"/>
  <c r="BM13" i="3" s="1"/>
  <c r="G20" i="3"/>
  <c r="H20" i="3" s="1"/>
  <c r="BN20" i="3" s="1"/>
  <c r="F19" i="3"/>
  <c r="BM19" i="3" s="1"/>
  <c r="F21" i="3"/>
  <c r="BM21" i="3" s="1"/>
  <c r="G19" i="3"/>
  <c r="H19" i="3" s="1"/>
  <c r="BN19" i="3" s="1"/>
  <c r="G28" i="3"/>
  <c r="H28" i="3" s="1"/>
  <c r="BN28" i="3" s="1"/>
  <c r="F34" i="3"/>
  <c r="BM34" i="3" s="1"/>
  <c r="G10" i="3"/>
  <c r="H10" i="3" s="1"/>
  <c r="BN10" i="3" s="1"/>
  <c r="G21" i="3"/>
  <c r="H21" i="3" s="1"/>
  <c r="BN21" i="3" s="1"/>
  <c r="G25" i="3"/>
  <c r="H25" i="3" s="1"/>
  <c r="BN25" i="3" s="1"/>
  <c r="F12" i="3"/>
  <c r="BM12" i="3" s="1"/>
  <c r="F9" i="3"/>
  <c r="BM9" i="3" s="1"/>
  <c r="F17" i="3"/>
  <c r="BM17" i="3" s="1"/>
  <c r="F14" i="3"/>
  <c r="BM14" i="3" s="1"/>
  <c r="G15" i="3"/>
  <c r="H15" i="3" s="1"/>
  <c r="BN15" i="3" s="1"/>
  <c r="F10" i="3"/>
  <c r="BM10" i="3" s="1"/>
  <c r="G35" i="3"/>
  <c r="H35" i="3" s="1"/>
  <c r="BN35" i="3" s="1"/>
  <c r="F33" i="3"/>
  <c r="F31" i="3"/>
  <c r="BM31" i="3" s="1"/>
  <c r="F29" i="3"/>
  <c r="BN17" i="3"/>
  <c r="F28" i="3"/>
  <c r="BM28" i="3" s="1"/>
  <c r="F36" i="3"/>
  <c r="BM36" i="3" s="1"/>
  <c r="G9" i="3"/>
  <c r="H9" i="3" s="1"/>
  <c r="G37" i="3"/>
  <c r="H37" i="3" s="1"/>
  <c r="G30" i="3"/>
  <c r="H30" i="3" s="1"/>
  <c r="BN30" i="3" s="1"/>
  <c r="F23" i="3"/>
  <c r="E64" i="1"/>
  <c r="BN14" i="4"/>
  <c r="BQ14" i="4"/>
  <c r="BK14" i="4"/>
  <c r="BJ14" i="4"/>
  <c r="BI14" i="4"/>
  <c r="BH14" i="4"/>
  <c r="BP14" i="4"/>
  <c r="BL14" i="4"/>
  <c r="BM14" i="4"/>
  <c r="BO14" i="4"/>
  <c r="BI15" i="4"/>
  <c r="BM15" i="4"/>
  <c r="BP15" i="4"/>
  <c r="BQ15" i="4"/>
  <c r="BJ15" i="4"/>
  <c r="BO15" i="4"/>
  <c r="BN15" i="4"/>
  <c r="BK15" i="4"/>
  <c r="BL15" i="4"/>
  <c r="BH15" i="4"/>
  <c r="BM9" i="4"/>
  <c r="BJ9" i="4"/>
  <c r="BL9" i="4"/>
  <c r="BH9" i="4"/>
  <c r="BO9" i="4"/>
  <c r="BQ9" i="4"/>
  <c r="BK9" i="4"/>
  <c r="BP9" i="4"/>
  <c r="BN9" i="4"/>
  <c r="BI9" i="4"/>
  <c r="BK16" i="4"/>
  <c r="BQ16" i="4"/>
  <c r="BI16" i="4"/>
  <c r="BO16" i="4"/>
  <c r="BP16" i="4"/>
  <c r="BM16" i="4"/>
  <c r="BL16" i="4"/>
  <c r="BJ16" i="4"/>
  <c r="BH16" i="4"/>
  <c r="BN16" i="4"/>
  <c r="BJ11" i="4"/>
  <c r="BN11" i="4"/>
  <c r="BQ11" i="4"/>
  <c r="BO11" i="4"/>
  <c r="BL11" i="4"/>
  <c r="BM11" i="4"/>
  <c r="BI11" i="4"/>
  <c r="BK11" i="4"/>
  <c r="BP11" i="4"/>
  <c r="BH11" i="4"/>
  <c r="BL12" i="4"/>
  <c r="BJ12" i="4"/>
  <c r="BI12" i="4"/>
  <c r="BN12" i="4"/>
  <c r="BH12" i="4"/>
  <c r="BM12" i="4"/>
  <c r="BQ12" i="4"/>
  <c r="BO12" i="4"/>
  <c r="BP12" i="4"/>
  <c r="BK12" i="4"/>
  <c r="BO13" i="4"/>
  <c r="BI13" i="4"/>
  <c r="BH13" i="4"/>
  <c r="BJ13" i="4"/>
  <c r="BQ13" i="4"/>
  <c r="BK13" i="4"/>
  <c r="BN13" i="4"/>
  <c r="BP13" i="4"/>
  <c r="BL13" i="4"/>
  <c r="BM13" i="4"/>
  <c r="BK17" i="4"/>
  <c r="BP17" i="4"/>
  <c r="BM17" i="4"/>
  <c r="BO17" i="4"/>
  <c r="BN17" i="4"/>
  <c r="BL17" i="4"/>
  <c r="BH17" i="4"/>
  <c r="BQ17" i="4"/>
  <c r="BI17" i="4"/>
  <c r="BJ17" i="4"/>
  <c r="N17" i="4"/>
  <c r="O17" i="4" s="1"/>
  <c r="Q17" i="4" s="1"/>
  <c r="R17" i="4"/>
  <c r="S17" i="4" s="1"/>
  <c r="T17" i="4" s="1"/>
  <c r="X17" i="4"/>
  <c r="Y17" i="4" s="1"/>
  <c r="AD17" i="4"/>
  <c r="J65" i="4"/>
  <c r="K65" i="4" s="1"/>
  <c r="AD47" i="4"/>
  <c r="R47" i="4"/>
  <c r="S47" i="4" s="1"/>
  <c r="T47" i="4" s="1"/>
  <c r="U47" i="4"/>
  <c r="V47" i="4" s="1"/>
  <c r="W47" i="4" s="1"/>
  <c r="N47" i="4"/>
  <c r="O47" i="4" s="1"/>
  <c r="Q47" i="4" s="1"/>
  <c r="R101" i="4"/>
  <c r="S101" i="4" s="1"/>
  <c r="T101" i="4" s="1"/>
  <c r="N101" i="4"/>
  <c r="O101" i="4" s="1"/>
  <c r="Q101" i="4" s="1"/>
  <c r="U101" i="4"/>
  <c r="V101" i="4" s="1"/>
  <c r="W101" i="4" s="1"/>
  <c r="X101" i="4"/>
  <c r="Y101" i="4" s="1"/>
  <c r="N100" i="4"/>
  <c r="O100" i="4" s="1"/>
  <c r="Q100" i="4" s="1"/>
  <c r="AD100" i="4"/>
  <c r="R100" i="4"/>
  <c r="S100" i="4" s="1"/>
  <c r="T100" i="4" s="1"/>
  <c r="X100" i="4"/>
  <c r="Y100" i="4" s="1"/>
  <c r="AD80" i="4"/>
  <c r="X80" i="4"/>
  <c r="Y80" i="4" s="1"/>
  <c r="N80" i="4"/>
  <c r="O80" i="4" s="1"/>
  <c r="Q80" i="4" s="1"/>
  <c r="R80" i="4"/>
  <c r="S80" i="4" s="1"/>
  <c r="T80" i="4" s="1"/>
  <c r="X15" i="4"/>
  <c r="Y15" i="4" s="1"/>
  <c r="N15" i="4"/>
  <c r="O15" i="4" s="1"/>
  <c r="Q15" i="4" s="1"/>
  <c r="R15" i="4"/>
  <c r="S15" i="4" s="1"/>
  <c r="T15" i="4" s="1"/>
  <c r="U15" i="4"/>
  <c r="V15" i="4" s="1"/>
  <c r="W15" i="4" s="1"/>
  <c r="U80" i="4"/>
  <c r="V80" i="4" s="1"/>
  <c r="W80" i="4" s="1"/>
  <c r="U29" i="4"/>
  <c r="V29" i="4" s="1"/>
  <c r="W29" i="4" s="1"/>
  <c r="U89" i="4"/>
  <c r="V89" i="4" s="1"/>
  <c r="W89" i="4" s="1"/>
  <c r="AD40" i="4"/>
  <c r="X88" i="4"/>
  <c r="Y88" i="4" s="1"/>
  <c r="X71" i="4"/>
  <c r="Y71" i="4" s="1"/>
  <c r="U28" i="4"/>
  <c r="V28" i="4" s="1"/>
  <c r="W28" i="4" s="1"/>
  <c r="AD74" i="4"/>
  <c r="AD26" i="4"/>
  <c r="X56" i="4"/>
  <c r="Y56" i="4" s="1"/>
  <c r="U92" i="4"/>
  <c r="V92" i="4" s="1"/>
  <c r="W92" i="4" s="1"/>
  <c r="X103" i="4"/>
  <c r="Y103" i="4" s="1"/>
  <c r="X89" i="4"/>
  <c r="Y89" i="4" s="1"/>
  <c r="U81" i="4"/>
  <c r="V81" i="4" s="1"/>
  <c r="W81" i="4" s="1"/>
  <c r="AD103" i="4"/>
  <c r="U91" i="4"/>
  <c r="V91" i="4" s="1"/>
  <c r="W91" i="4" s="1"/>
  <c r="U21" i="4"/>
  <c r="V21" i="4" s="1"/>
  <c r="W21" i="4" s="1"/>
  <c r="U71" i="4"/>
  <c r="V71" i="4" s="1"/>
  <c r="W71" i="4" s="1"/>
  <c r="X28" i="4"/>
  <c r="Y28" i="4" s="1"/>
  <c r="U74" i="4"/>
  <c r="V74" i="4" s="1"/>
  <c r="W74" i="4" s="1"/>
  <c r="X26" i="4"/>
  <c r="Y26" i="4" s="1"/>
  <c r="U56" i="4"/>
  <c r="V56" i="4" s="1"/>
  <c r="W56" i="4" s="1"/>
  <c r="X83" i="4"/>
  <c r="Y83" i="4" s="1"/>
  <c r="U51" i="4"/>
  <c r="V51" i="4" s="1"/>
  <c r="W51" i="4" s="1"/>
  <c r="N71" i="4"/>
  <c r="O71" i="4" s="1"/>
  <c r="Q71" i="4" s="1"/>
  <c r="R71" i="4"/>
  <c r="S71" i="4" s="1"/>
  <c r="T71" i="4" s="1"/>
  <c r="N28" i="4"/>
  <c r="O28" i="4" s="1"/>
  <c r="Q28" i="4" s="1"/>
  <c r="R28" i="4"/>
  <c r="S28" i="4" s="1"/>
  <c r="T28" i="4" s="1"/>
  <c r="R74" i="4"/>
  <c r="S74" i="4" s="1"/>
  <c r="T74" i="4" s="1"/>
  <c r="N74" i="4"/>
  <c r="O74" i="4" s="1"/>
  <c r="Q74" i="4" s="1"/>
  <c r="R26" i="4"/>
  <c r="S26" i="4" s="1"/>
  <c r="T26" i="4" s="1"/>
  <c r="N26" i="4"/>
  <c r="O26" i="4" s="1"/>
  <c r="Q26" i="4" s="1"/>
  <c r="R56" i="4"/>
  <c r="S56" i="4" s="1"/>
  <c r="T56" i="4" s="1"/>
  <c r="N56" i="4"/>
  <c r="O56" i="4" s="1"/>
  <c r="Q56" i="4" s="1"/>
  <c r="R92" i="4"/>
  <c r="S92" i="4" s="1"/>
  <c r="T92" i="4" s="1"/>
  <c r="N92" i="4"/>
  <c r="O92" i="4" s="1"/>
  <c r="Q92" i="4" s="1"/>
  <c r="X92" i="4"/>
  <c r="Y92" i="4" s="1"/>
  <c r="N103" i="4"/>
  <c r="O103" i="4" s="1"/>
  <c r="Q103" i="4" s="1"/>
  <c r="R103" i="4"/>
  <c r="S103" i="4" s="1"/>
  <c r="T103" i="4" s="1"/>
  <c r="X29" i="4"/>
  <c r="Y29" i="4" s="1"/>
  <c r="U40" i="4"/>
  <c r="V40" i="4" s="1"/>
  <c r="W40" i="4" s="1"/>
  <c r="U88" i="4"/>
  <c r="V88" i="4" s="1"/>
  <c r="W88" i="4" s="1"/>
  <c r="X21" i="4"/>
  <c r="Y21" i="4" s="1"/>
  <c r="AD91" i="4"/>
  <c r="AD83" i="4"/>
  <c r="X51" i="4"/>
  <c r="Y51" i="4" s="1"/>
  <c r="R40" i="4"/>
  <c r="S40" i="4" s="1"/>
  <c r="T40" i="4" s="1"/>
  <c r="N40" i="4"/>
  <c r="O40" i="4" s="1"/>
  <c r="Q40" i="4" s="1"/>
  <c r="R88" i="4"/>
  <c r="S88" i="4" s="1"/>
  <c r="T88" i="4" s="1"/>
  <c r="N88" i="4"/>
  <c r="O88" i="4" s="1"/>
  <c r="Q88" i="4" s="1"/>
  <c r="R21" i="4"/>
  <c r="S21" i="4" s="1"/>
  <c r="T21" i="4" s="1"/>
  <c r="N21" i="4"/>
  <c r="O21" i="4" s="1"/>
  <c r="Q21" i="4" s="1"/>
  <c r="R20" i="4"/>
  <c r="S20" i="4" s="1"/>
  <c r="T20" i="4" s="1"/>
  <c r="N20" i="4"/>
  <c r="O20" i="4" s="1"/>
  <c r="Q20" i="4" s="1"/>
  <c r="X20" i="4"/>
  <c r="Y20" i="4" s="1"/>
  <c r="R91" i="4"/>
  <c r="S91" i="4" s="1"/>
  <c r="T91" i="4" s="1"/>
  <c r="N91" i="4"/>
  <c r="O91" i="4" s="1"/>
  <c r="Q91" i="4" s="1"/>
  <c r="AQ39" i="3"/>
  <c r="AR39" i="3"/>
  <c r="B39" i="3"/>
  <c r="A40" i="3"/>
  <c r="D39" i="3"/>
  <c r="C39" i="3"/>
  <c r="G39" i="3"/>
  <c r="H39" i="3" s="1"/>
  <c r="F39" i="3"/>
  <c r="X85" i="4"/>
  <c r="Y85" i="4" s="1"/>
  <c r="R85" i="4"/>
  <c r="S85" i="4" s="1"/>
  <c r="T85" i="4" s="1"/>
  <c r="N85" i="4"/>
  <c r="O85" i="4" s="1"/>
  <c r="Q85" i="4" s="1"/>
  <c r="AD85" i="4"/>
  <c r="N83" i="4"/>
  <c r="O83" i="4" s="1"/>
  <c r="Q83" i="4" s="1"/>
  <c r="R83" i="4"/>
  <c r="S83" i="4" s="1"/>
  <c r="T83" i="4" s="1"/>
  <c r="N51" i="4"/>
  <c r="O51" i="4" s="1"/>
  <c r="Q51" i="4" s="1"/>
  <c r="R51" i="4"/>
  <c r="S51" i="4" s="1"/>
  <c r="T51" i="4" s="1"/>
  <c r="AD20" i="4"/>
  <c r="N96" i="4"/>
  <c r="O96" i="4" s="1"/>
  <c r="Q96" i="4" s="1"/>
  <c r="R96" i="4"/>
  <c r="S96" i="4" s="1"/>
  <c r="T96" i="4" s="1"/>
  <c r="N48" i="4"/>
  <c r="O48" i="4" s="1"/>
  <c r="Q48" i="4" s="1"/>
  <c r="R48" i="4"/>
  <c r="S48" i="4" s="1"/>
  <c r="T48" i="4" s="1"/>
  <c r="N29" i="4"/>
  <c r="O29" i="4" s="1"/>
  <c r="Q29" i="4" s="1"/>
  <c r="R29" i="4"/>
  <c r="S29" i="4" s="1"/>
  <c r="T29" i="4" s="1"/>
  <c r="N89" i="4"/>
  <c r="O89" i="4" s="1"/>
  <c r="Q89" i="4" s="1"/>
  <c r="R89" i="4"/>
  <c r="S89" i="4" s="1"/>
  <c r="T89" i="4" s="1"/>
  <c r="AD23" i="4"/>
  <c r="U22" i="4"/>
  <c r="V22" i="4" s="1"/>
  <c r="W22" i="4" s="1"/>
  <c r="AD93" i="4"/>
  <c r="AD96" i="4"/>
  <c r="X96" i="4"/>
  <c r="Y96" i="4" s="1"/>
  <c r="X23" i="4"/>
  <c r="Y23" i="4" s="1"/>
  <c r="X22" i="4"/>
  <c r="Y22" i="4" s="1"/>
  <c r="X48" i="4"/>
  <c r="Y48" i="4" s="1"/>
  <c r="AD48" i="4"/>
  <c r="X93" i="4"/>
  <c r="Y93" i="4" s="1"/>
  <c r="X81" i="4"/>
  <c r="Y81" i="4" s="1"/>
  <c r="R23" i="4"/>
  <c r="S23" i="4" s="1"/>
  <c r="T23" i="4" s="1"/>
  <c r="N23" i="4"/>
  <c r="O23" i="4" s="1"/>
  <c r="Q23" i="4" s="1"/>
  <c r="N22" i="4"/>
  <c r="O22" i="4" s="1"/>
  <c r="Q22" i="4" s="1"/>
  <c r="R22" i="4"/>
  <c r="S22" i="4" s="1"/>
  <c r="T22" i="4" s="1"/>
  <c r="R93" i="4"/>
  <c r="S93" i="4" s="1"/>
  <c r="T93" i="4" s="1"/>
  <c r="N93" i="4"/>
  <c r="O93" i="4" s="1"/>
  <c r="Q93" i="4" s="1"/>
  <c r="R81" i="4"/>
  <c r="S81" i="4" s="1"/>
  <c r="T81" i="4" s="1"/>
  <c r="N81" i="4"/>
  <c r="O81" i="4" s="1"/>
  <c r="Q81" i="4" s="1"/>
  <c r="U48" i="4"/>
  <c r="V48" i="4" s="1"/>
  <c r="W48" i="4" s="1"/>
  <c r="AH184" i="4" l="1"/>
  <c r="AH139" i="4"/>
  <c r="AH141" i="4"/>
  <c r="AH154" i="4"/>
  <c r="AH201" i="4"/>
  <c r="AH127" i="4"/>
  <c r="AH183" i="4"/>
  <c r="AH205" i="4"/>
  <c r="AH125" i="4"/>
  <c r="AH208" i="4"/>
  <c r="AH32" i="4"/>
  <c r="AH179" i="4"/>
  <c r="AH171" i="4"/>
  <c r="AH134" i="4"/>
  <c r="AH150" i="4"/>
  <c r="AH119" i="4"/>
  <c r="AH138" i="4"/>
  <c r="AH200" i="4"/>
  <c r="AH29" i="4"/>
  <c r="AH170" i="4"/>
  <c r="AH192" i="4"/>
  <c r="AH118" i="4"/>
  <c r="AF132" i="4"/>
  <c r="AG132" i="4" s="1"/>
  <c r="AS132" i="4" s="1"/>
  <c r="M132" i="4"/>
  <c r="AA132" i="4" s="1"/>
  <c r="AB132" i="4"/>
  <c r="M201" i="4"/>
  <c r="AA201" i="4" s="1"/>
  <c r="Z201" i="4"/>
  <c r="AB201" i="4"/>
  <c r="Z184" i="4"/>
  <c r="AB166" i="4"/>
  <c r="M184" i="4"/>
  <c r="AA184" i="4" s="1"/>
  <c r="M192" i="4"/>
  <c r="AA192" i="4" s="1"/>
  <c r="Z192" i="4"/>
  <c r="AF184" i="4"/>
  <c r="AG184" i="4" s="1"/>
  <c r="AS184" i="4" s="1"/>
  <c r="AF192" i="4"/>
  <c r="AG192" i="4" s="1"/>
  <c r="AS192" i="4" s="1"/>
  <c r="M166" i="4"/>
  <c r="AA166" i="4" s="1"/>
  <c r="Z166" i="4"/>
  <c r="AB170" i="4"/>
  <c r="AB121" i="4"/>
  <c r="Z121" i="4"/>
  <c r="AF121" i="4"/>
  <c r="AG121" i="4" s="1"/>
  <c r="AS121" i="4" s="1"/>
  <c r="AB198" i="4"/>
  <c r="AB125" i="4"/>
  <c r="AF198" i="4"/>
  <c r="AG198" i="4" s="1"/>
  <c r="AS198" i="4" s="1"/>
  <c r="M198" i="4"/>
  <c r="AA198" i="4" s="1"/>
  <c r="M125" i="4"/>
  <c r="AA125" i="4" s="1"/>
  <c r="Z125" i="4"/>
  <c r="AF186" i="4"/>
  <c r="AG186" i="4" s="1"/>
  <c r="AS186" i="4" s="1"/>
  <c r="AB186" i="4"/>
  <c r="M154" i="4"/>
  <c r="AA154" i="4" s="1"/>
  <c r="Z186" i="4"/>
  <c r="Z138" i="4"/>
  <c r="AB183" i="4"/>
  <c r="Z183" i="4"/>
  <c r="AF154" i="4"/>
  <c r="AG154" i="4" s="1"/>
  <c r="AS154" i="4" s="1"/>
  <c r="AB138" i="4"/>
  <c r="Z200" i="4"/>
  <c r="AF200" i="4"/>
  <c r="AG200" i="4" s="1"/>
  <c r="AS200" i="4" s="1"/>
  <c r="M208" i="4"/>
  <c r="AA208" i="4" s="1"/>
  <c r="AF170" i="4"/>
  <c r="AG170" i="4" s="1"/>
  <c r="AS170" i="4" s="1"/>
  <c r="AB200" i="4"/>
  <c r="AB139" i="4"/>
  <c r="AF208" i="4"/>
  <c r="AG208" i="4" s="1"/>
  <c r="AS208" i="4" s="1"/>
  <c r="M127" i="4"/>
  <c r="AA127" i="4" s="1"/>
  <c r="Z208" i="4"/>
  <c r="AF141" i="4"/>
  <c r="AG141" i="4" s="1"/>
  <c r="AS141" i="4" s="1"/>
  <c r="M170" i="4"/>
  <c r="AA170" i="4" s="1"/>
  <c r="AB127" i="4"/>
  <c r="AF183" i="4"/>
  <c r="AG183" i="4" s="1"/>
  <c r="AS183" i="4" s="1"/>
  <c r="Z154" i="4"/>
  <c r="M141" i="4"/>
  <c r="AA141" i="4" s="1"/>
  <c r="AF138" i="4"/>
  <c r="AG138" i="4" s="1"/>
  <c r="AS138" i="4" s="1"/>
  <c r="Z127" i="4"/>
  <c r="AB141" i="4"/>
  <c r="M150" i="4"/>
  <c r="AA150" i="4" s="1"/>
  <c r="AB188" i="4"/>
  <c r="Z188" i="4"/>
  <c r="Z139" i="4"/>
  <c r="AB134" i="4"/>
  <c r="AF139" i="4"/>
  <c r="AG139" i="4" s="1"/>
  <c r="AS139" i="4" s="1"/>
  <c r="AG150" i="4"/>
  <c r="AS150" i="4" s="1"/>
  <c r="Z179" i="4"/>
  <c r="M179" i="4"/>
  <c r="AA179" i="4" s="1"/>
  <c r="AB150" i="4"/>
  <c r="Z150" i="4"/>
  <c r="M134" i="4"/>
  <c r="AA134" i="4" s="1"/>
  <c r="M118" i="4"/>
  <c r="AA118" i="4" s="1"/>
  <c r="AF188" i="4"/>
  <c r="AG188" i="4" s="1"/>
  <c r="AS188" i="4" s="1"/>
  <c r="AF134" i="4"/>
  <c r="AG134" i="4" s="1"/>
  <c r="AS134" i="4" s="1"/>
  <c r="Z118" i="4"/>
  <c r="AF171" i="4"/>
  <c r="AG171" i="4" s="1"/>
  <c r="AS171" i="4" s="1"/>
  <c r="Z119" i="4"/>
  <c r="AB119" i="4"/>
  <c r="M119" i="4"/>
  <c r="AA119" i="4" s="1"/>
  <c r="AG205" i="4"/>
  <c r="AS205" i="4" s="1"/>
  <c r="AG179" i="4"/>
  <c r="AS179" i="4" s="1"/>
  <c r="AF118" i="4"/>
  <c r="AG118" i="4" s="1"/>
  <c r="AS118" i="4" s="1"/>
  <c r="AB179" i="4"/>
  <c r="Z171" i="4"/>
  <c r="M171" i="4"/>
  <c r="AA171" i="4" s="1"/>
  <c r="AG127" i="4"/>
  <c r="AS127" i="4" s="1"/>
  <c r="AE204" i="4"/>
  <c r="AG204" i="4" s="1"/>
  <c r="AS204" i="4" s="1"/>
  <c r="AH71" i="4"/>
  <c r="AG119" i="4"/>
  <c r="AS119" i="4" s="1"/>
  <c r="AH89" i="4"/>
  <c r="AH81" i="4"/>
  <c r="AH51" i="4"/>
  <c r="AH108" i="4"/>
  <c r="AH92" i="4"/>
  <c r="AH56" i="4"/>
  <c r="AH88" i="4"/>
  <c r="M204" i="4"/>
  <c r="AA204" i="4" s="1"/>
  <c r="Z147" i="4"/>
  <c r="AH22" i="4"/>
  <c r="Z204" i="4"/>
  <c r="AH37" i="4"/>
  <c r="AH27" i="4"/>
  <c r="AF196" i="4"/>
  <c r="AH99" i="4"/>
  <c r="AH15" i="4"/>
  <c r="AH28" i="4"/>
  <c r="AH16" i="4"/>
  <c r="Z193" i="4"/>
  <c r="AB147" i="4"/>
  <c r="AH72" i="4"/>
  <c r="AG166" i="4"/>
  <c r="AS166" i="4" s="1"/>
  <c r="AE177" i="4"/>
  <c r="AH177" i="4"/>
  <c r="AE160" i="4"/>
  <c r="AH160" i="4"/>
  <c r="AE155" i="4"/>
  <c r="AG155" i="4" s="1"/>
  <c r="AS155" i="4" s="1"/>
  <c r="AH155" i="4"/>
  <c r="AE187" i="4"/>
  <c r="AG187" i="4" s="1"/>
  <c r="AS187" i="4" s="1"/>
  <c r="AH187" i="4"/>
  <c r="AH33" i="4"/>
  <c r="AH95" i="4"/>
  <c r="AH55" i="4"/>
  <c r="AH21" i="4"/>
  <c r="AE161" i="4"/>
  <c r="AH161" i="4"/>
  <c r="AE122" i="4"/>
  <c r="AH122" i="4"/>
  <c r="AE128" i="4"/>
  <c r="AH128" i="4"/>
  <c r="AE182" i="4"/>
  <c r="AH182" i="4"/>
  <c r="AE144" i="4"/>
  <c r="AH144" i="4"/>
  <c r="AE133" i="4"/>
  <c r="AH133" i="4"/>
  <c r="AE176" i="4"/>
  <c r="AH176" i="4"/>
  <c r="AE190" i="4"/>
  <c r="AH190" i="4"/>
  <c r="AE168" i="4"/>
  <c r="AH168" i="4"/>
  <c r="AE162" i="4"/>
  <c r="AH162" i="4"/>
  <c r="AE202" i="4"/>
  <c r="AH202" i="4"/>
  <c r="AE111" i="4"/>
  <c r="AG111" i="4" s="1"/>
  <c r="AS111" i="4" s="1"/>
  <c r="AH111" i="4"/>
  <c r="AE191" i="4"/>
  <c r="AH191" i="4"/>
  <c r="AE135" i="4"/>
  <c r="AH135" i="4"/>
  <c r="AE158" i="4"/>
  <c r="AH158" i="4"/>
  <c r="AE203" i="4"/>
  <c r="AH203" i="4"/>
  <c r="AE120" i="4"/>
  <c r="AH120" i="4"/>
  <c r="Z196" i="4"/>
  <c r="AE123" i="4"/>
  <c r="AH123" i="4"/>
  <c r="AG201" i="4"/>
  <c r="AS201" i="4" s="1"/>
  <c r="AE163" i="4"/>
  <c r="AH163" i="4"/>
  <c r="AG125" i="4"/>
  <c r="AS125" i="4" s="1"/>
  <c r="AE145" i="4"/>
  <c r="AH145" i="4"/>
  <c r="AE197" i="4"/>
  <c r="AH197" i="4"/>
  <c r="AE199" i="4"/>
  <c r="AG199" i="4" s="1"/>
  <c r="AS199" i="4" s="1"/>
  <c r="AH199" i="4"/>
  <c r="AE189" i="4"/>
  <c r="AH189" i="4"/>
  <c r="AE196" i="4"/>
  <c r="AH196" i="4"/>
  <c r="AE113" i="4"/>
  <c r="AH113" i="4"/>
  <c r="AE157" i="4"/>
  <c r="AH157" i="4"/>
  <c r="AE209" i="4"/>
  <c r="AH209" i="4"/>
  <c r="AE137" i="4"/>
  <c r="AH137" i="4"/>
  <c r="AE207" i="4"/>
  <c r="AH207" i="4"/>
  <c r="AH52" i="4"/>
  <c r="AH101" i="4"/>
  <c r="AH42" i="4"/>
  <c r="AH30" i="4"/>
  <c r="AE126" i="4"/>
  <c r="AH126" i="4"/>
  <c r="AE164" i="4"/>
  <c r="AH164" i="4"/>
  <c r="AE172" i="4"/>
  <c r="AH172" i="4"/>
  <c r="AE167" i="4"/>
  <c r="AH167" i="4"/>
  <c r="AE194" i="4"/>
  <c r="AH194" i="4"/>
  <c r="AE173" i="4"/>
  <c r="AH173" i="4"/>
  <c r="AE169" i="4"/>
  <c r="AH169" i="4"/>
  <c r="AE142" i="4"/>
  <c r="AH142" i="4"/>
  <c r="AE149" i="4"/>
  <c r="AH149" i="4"/>
  <c r="AE185" i="4"/>
  <c r="AH185" i="4"/>
  <c r="AE195" i="4"/>
  <c r="AH195" i="4"/>
  <c r="AE112" i="4"/>
  <c r="AH112" i="4"/>
  <c r="AF178" i="4"/>
  <c r="AE206" i="4"/>
  <c r="AH206" i="4"/>
  <c r="AE129" i="4"/>
  <c r="AH129" i="4"/>
  <c r="AE178" i="4"/>
  <c r="AH178" i="4"/>
  <c r="AE153" i="4"/>
  <c r="AH153" i="4"/>
  <c r="AE115" i="4"/>
  <c r="AH115" i="4"/>
  <c r="AE181" i="4"/>
  <c r="AH181" i="4"/>
  <c r="AE152" i="4"/>
  <c r="AH152" i="4"/>
  <c r="AE117" i="4"/>
  <c r="AH117" i="4"/>
  <c r="AE174" i="4"/>
  <c r="AH174" i="4"/>
  <c r="AE131" i="4"/>
  <c r="AH131" i="4"/>
  <c r="AE147" i="4"/>
  <c r="AH147" i="4"/>
  <c r="AH10" i="4"/>
  <c r="AH107" i="4"/>
  <c r="AH75" i="4"/>
  <c r="AH87" i="4"/>
  <c r="AE165" i="4"/>
  <c r="AH165" i="4"/>
  <c r="AE110" i="4"/>
  <c r="AH110" i="4"/>
  <c r="AE159" i="4"/>
  <c r="AH159" i="4"/>
  <c r="AE116" i="4"/>
  <c r="AH116" i="4"/>
  <c r="AE124" i="4"/>
  <c r="AH124" i="4"/>
  <c r="AE114" i="4"/>
  <c r="AH114" i="4"/>
  <c r="AE130" i="4"/>
  <c r="AH130" i="4"/>
  <c r="AE180" i="4"/>
  <c r="AH180" i="4"/>
  <c r="AE175" i="4"/>
  <c r="AH175" i="4"/>
  <c r="AE146" i="4"/>
  <c r="AH146" i="4"/>
  <c r="AE143" i="4"/>
  <c r="AH143" i="4"/>
  <c r="AE148" i="4"/>
  <c r="AH148" i="4"/>
  <c r="AE151" i="4"/>
  <c r="AH151" i="4"/>
  <c r="AE140" i="4"/>
  <c r="AH140" i="4"/>
  <c r="AE156" i="4"/>
  <c r="AH156" i="4"/>
  <c r="AE193" i="4"/>
  <c r="AG193" i="4" s="1"/>
  <c r="AS193" i="4" s="1"/>
  <c r="AH193" i="4"/>
  <c r="AE136" i="4"/>
  <c r="AH136" i="4"/>
  <c r="M178" i="4"/>
  <c r="AA178" i="4" s="1"/>
  <c r="Z178" i="4"/>
  <c r="Z187" i="4"/>
  <c r="M205" i="4"/>
  <c r="AA205" i="4" s="1"/>
  <c r="AB205" i="4"/>
  <c r="AB189" i="4"/>
  <c r="Z205" i="4"/>
  <c r="AB204" i="4"/>
  <c r="AB187" i="4"/>
  <c r="M187" i="4"/>
  <c r="AA187" i="4" s="1"/>
  <c r="Z136" i="4"/>
  <c r="M136" i="4"/>
  <c r="AA136" i="4" s="1"/>
  <c r="M196" i="4"/>
  <c r="AA196" i="4" s="1"/>
  <c r="AF147" i="4"/>
  <c r="M193" i="4"/>
  <c r="AA193" i="4" s="1"/>
  <c r="AF136" i="4"/>
  <c r="AF189" i="4"/>
  <c r="M189" i="4"/>
  <c r="AA189" i="4" s="1"/>
  <c r="AF206" i="4"/>
  <c r="M206" i="4"/>
  <c r="AA206" i="4" s="1"/>
  <c r="AB193" i="4"/>
  <c r="Z199" i="4"/>
  <c r="Z129" i="4"/>
  <c r="M129" i="4"/>
  <c r="AA129" i="4" s="1"/>
  <c r="AF129" i="4"/>
  <c r="AF197" i="4"/>
  <c r="M197" i="4"/>
  <c r="AA197" i="4" s="1"/>
  <c r="AB199" i="4"/>
  <c r="AB206" i="4"/>
  <c r="M199" i="4"/>
  <c r="AA199" i="4" s="1"/>
  <c r="Z155" i="4"/>
  <c r="AB174" i="4"/>
  <c r="AF174" i="4"/>
  <c r="AB155" i="4"/>
  <c r="Z174" i="4"/>
  <c r="M155" i="4"/>
  <c r="AA155" i="4" s="1"/>
  <c r="Z197" i="4"/>
  <c r="M21" i="4"/>
  <c r="AA21" i="4" s="1"/>
  <c r="AB21" i="4"/>
  <c r="AF21" i="4"/>
  <c r="AG21" i="4" s="1"/>
  <c r="AS21" i="4" s="1"/>
  <c r="Z21" i="4"/>
  <c r="M103" i="4"/>
  <c r="AA103" i="4" s="1"/>
  <c r="AB103" i="4"/>
  <c r="AF103" i="4"/>
  <c r="Z103" i="4"/>
  <c r="M95" i="4"/>
  <c r="AA95" i="4" s="1"/>
  <c r="AB95" i="4"/>
  <c r="Z95" i="4"/>
  <c r="AF95" i="4"/>
  <c r="AG95" i="4" s="1"/>
  <c r="AS95" i="4" s="1"/>
  <c r="M68" i="4"/>
  <c r="AA68" i="4" s="1"/>
  <c r="AB68" i="4"/>
  <c r="AF68" i="4"/>
  <c r="Z68" i="4"/>
  <c r="M27" i="4"/>
  <c r="AA27" i="4" s="1"/>
  <c r="AF27" i="4"/>
  <c r="AG27" i="4" s="1"/>
  <c r="AS27" i="4" s="1"/>
  <c r="AB27" i="4"/>
  <c r="Z27" i="4"/>
  <c r="M109" i="4"/>
  <c r="AA109" i="4" s="1"/>
  <c r="AB109" i="4"/>
  <c r="AF109" i="4"/>
  <c r="Z109" i="4"/>
  <c r="M36" i="4"/>
  <c r="AA36" i="4" s="1"/>
  <c r="AB36" i="4"/>
  <c r="AF36" i="4"/>
  <c r="Z36" i="4"/>
  <c r="M94" i="4"/>
  <c r="AA94" i="4" s="1"/>
  <c r="AF94" i="4"/>
  <c r="AB94" i="4"/>
  <c r="Z94" i="4"/>
  <c r="M97" i="4"/>
  <c r="AA97" i="4" s="1"/>
  <c r="AB97" i="4"/>
  <c r="AF97" i="4"/>
  <c r="Z97" i="4"/>
  <c r="M56" i="4"/>
  <c r="AA56" i="4" s="1"/>
  <c r="AB56" i="4"/>
  <c r="AF56" i="4"/>
  <c r="AG56" i="4" s="1"/>
  <c r="AS56" i="4" s="1"/>
  <c r="Z56" i="4"/>
  <c r="M104" i="4"/>
  <c r="AA104" i="4" s="1"/>
  <c r="AB104" i="4"/>
  <c r="AF104" i="4"/>
  <c r="Z104" i="4"/>
  <c r="M9" i="4"/>
  <c r="AA9" i="4" s="1"/>
  <c r="AF9" i="4"/>
  <c r="AB9" i="4"/>
  <c r="Z9" i="4"/>
  <c r="M102" i="4"/>
  <c r="AA102" i="4" s="1"/>
  <c r="AF102" i="4"/>
  <c r="AB102" i="4"/>
  <c r="Z102" i="4"/>
  <c r="M49" i="4"/>
  <c r="AA49" i="4" s="1"/>
  <c r="AB49" i="4"/>
  <c r="AF49" i="4"/>
  <c r="Z49" i="4"/>
  <c r="M84" i="4"/>
  <c r="AA84" i="4" s="1"/>
  <c r="AF84" i="4"/>
  <c r="AB84" i="4"/>
  <c r="Z84" i="4"/>
  <c r="M100" i="4"/>
  <c r="AA100" i="4" s="1"/>
  <c r="AB100" i="4"/>
  <c r="AF100" i="4"/>
  <c r="Z100" i="4"/>
  <c r="M85" i="4"/>
  <c r="AA85" i="4" s="1"/>
  <c r="AB85" i="4"/>
  <c r="AF85" i="4"/>
  <c r="Z85" i="4"/>
  <c r="M66" i="4"/>
  <c r="AA66" i="4" s="1"/>
  <c r="AF66" i="4"/>
  <c r="AB66" i="4"/>
  <c r="Z66" i="4"/>
  <c r="M157" i="4"/>
  <c r="AA157" i="4" s="1"/>
  <c r="Z157" i="4"/>
  <c r="AB157" i="4"/>
  <c r="AF157" i="4"/>
  <c r="M145" i="4"/>
  <c r="AA145" i="4" s="1"/>
  <c r="AB145" i="4"/>
  <c r="AF145" i="4"/>
  <c r="Z145" i="4"/>
  <c r="M177" i="4"/>
  <c r="AA177" i="4" s="1"/>
  <c r="AF177" i="4"/>
  <c r="AB177" i="4"/>
  <c r="Z177" i="4"/>
  <c r="M116" i="4"/>
  <c r="AA116" i="4" s="1"/>
  <c r="AB116" i="4"/>
  <c r="Z116" i="4"/>
  <c r="AF116" i="4"/>
  <c r="M173" i="4"/>
  <c r="AA173" i="4" s="1"/>
  <c r="AF173" i="4"/>
  <c r="Z173" i="4"/>
  <c r="AB173" i="4"/>
  <c r="M169" i="4"/>
  <c r="AA169" i="4" s="1"/>
  <c r="AB169" i="4"/>
  <c r="Z169" i="4"/>
  <c r="AF169" i="4"/>
  <c r="M161" i="4"/>
  <c r="AA161" i="4" s="1"/>
  <c r="AF161" i="4"/>
  <c r="AB161" i="4"/>
  <c r="Z161" i="4"/>
  <c r="M164" i="4"/>
  <c r="AA164" i="4" s="1"/>
  <c r="AF164" i="4"/>
  <c r="AB164" i="4"/>
  <c r="Z164" i="4"/>
  <c r="M148" i="4"/>
  <c r="AA148" i="4" s="1"/>
  <c r="AF148" i="4"/>
  <c r="Z148" i="4"/>
  <c r="AB148" i="4"/>
  <c r="M114" i="4"/>
  <c r="AA114" i="4" s="1"/>
  <c r="AF114" i="4"/>
  <c r="AB114" i="4"/>
  <c r="Z114" i="4"/>
  <c r="M28" i="4"/>
  <c r="AA28" i="4" s="1"/>
  <c r="AB28" i="4"/>
  <c r="AF28" i="4"/>
  <c r="AG28" i="4" s="1"/>
  <c r="AS28" i="4" s="1"/>
  <c r="Z28" i="4"/>
  <c r="M32" i="4"/>
  <c r="AA32" i="4" s="1"/>
  <c r="AF32" i="4"/>
  <c r="AG32" i="4" s="1"/>
  <c r="AS32" i="4" s="1"/>
  <c r="AB32" i="4"/>
  <c r="Z32" i="4"/>
  <c r="M122" i="4"/>
  <c r="AA122" i="4" s="1"/>
  <c r="AF122" i="4"/>
  <c r="AB122" i="4"/>
  <c r="Z122" i="4"/>
  <c r="M137" i="4"/>
  <c r="AA137" i="4" s="1"/>
  <c r="AB137" i="4"/>
  <c r="Z137" i="4"/>
  <c r="AF137" i="4"/>
  <c r="M113" i="4"/>
  <c r="AA113" i="4" s="1"/>
  <c r="AB113" i="4"/>
  <c r="AF113" i="4"/>
  <c r="Z113" i="4"/>
  <c r="M128" i="4"/>
  <c r="AA128" i="4" s="1"/>
  <c r="AF128" i="4"/>
  <c r="AB128" i="4"/>
  <c r="Z128" i="4"/>
  <c r="M142" i="4"/>
  <c r="AA142" i="4" s="1"/>
  <c r="AF142" i="4"/>
  <c r="AB142" i="4"/>
  <c r="Z142" i="4"/>
  <c r="M149" i="4"/>
  <c r="AA149" i="4" s="1"/>
  <c r="AF149" i="4"/>
  <c r="AB149" i="4"/>
  <c r="Z149" i="4"/>
  <c r="M156" i="4"/>
  <c r="AA156" i="4" s="1"/>
  <c r="AF156" i="4"/>
  <c r="AB156" i="4"/>
  <c r="Z156" i="4"/>
  <c r="M80" i="4"/>
  <c r="AA80" i="4" s="1"/>
  <c r="AF80" i="4"/>
  <c r="AB80" i="4"/>
  <c r="Z80" i="4"/>
  <c r="M163" i="4"/>
  <c r="AA163" i="4" s="1"/>
  <c r="AB163" i="4"/>
  <c r="AF163" i="4"/>
  <c r="Z163" i="4"/>
  <c r="M30" i="4"/>
  <c r="AA30" i="4" s="1"/>
  <c r="AF30" i="4"/>
  <c r="AG30" i="4" s="1"/>
  <c r="AS30" i="4" s="1"/>
  <c r="AB30" i="4"/>
  <c r="Z30" i="4"/>
  <c r="M93" i="4"/>
  <c r="AA93" i="4" s="1"/>
  <c r="AB93" i="4"/>
  <c r="Z93" i="4"/>
  <c r="AF93" i="4"/>
  <c r="M39" i="4"/>
  <c r="AA39" i="4" s="1"/>
  <c r="AB39" i="4"/>
  <c r="AF39" i="4"/>
  <c r="Z39" i="4"/>
  <c r="M69" i="4"/>
  <c r="AA69" i="4" s="1"/>
  <c r="AB69" i="4"/>
  <c r="AF69" i="4"/>
  <c r="Z69" i="4"/>
  <c r="M34" i="4"/>
  <c r="AA34" i="4" s="1"/>
  <c r="AF34" i="4"/>
  <c r="AB34" i="4"/>
  <c r="Z34" i="4"/>
  <c r="M38" i="4"/>
  <c r="AA38" i="4" s="1"/>
  <c r="AF38" i="4"/>
  <c r="AB38" i="4"/>
  <c r="Z38" i="4"/>
  <c r="M108" i="4"/>
  <c r="AA108" i="4" s="1"/>
  <c r="AB108" i="4"/>
  <c r="AF108" i="4"/>
  <c r="AG108" i="4" s="1"/>
  <c r="AS108" i="4" s="1"/>
  <c r="Z108" i="4"/>
  <c r="M72" i="4"/>
  <c r="AA72" i="4" s="1"/>
  <c r="AB72" i="4"/>
  <c r="Z72" i="4"/>
  <c r="AF72" i="4"/>
  <c r="AG72" i="4" s="1"/>
  <c r="AS72" i="4" s="1"/>
  <c r="M92" i="4"/>
  <c r="AA92" i="4" s="1"/>
  <c r="AB92" i="4"/>
  <c r="AF92" i="4"/>
  <c r="AG92" i="4" s="1"/>
  <c r="AS92" i="4" s="1"/>
  <c r="Z92" i="4"/>
  <c r="M63" i="4"/>
  <c r="AA63" i="4" s="1"/>
  <c r="Z63" i="4"/>
  <c r="AF63" i="4"/>
  <c r="AB63" i="4"/>
  <c r="M45" i="4"/>
  <c r="AA45" i="4" s="1"/>
  <c r="AB45" i="4"/>
  <c r="AF45" i="4"/>
  <c r="Z45" i="4"/>
  <c r="M18" i="4"/>
  <c r="AA18" i="4" s="1"/>
  <c r="AF18" i="4"/>
  <c r="AB18" i="4"/>
  <c r="Z18" i="4"/>
  <c r="M13" i="4"/>
  <c r="AA13" i="4" s="1"/>
  <c r="AB13" i="4"/>
  <c r="AF13" i="4"/>
  <c r="Z13" i="4"/>
  <c r="M60" i="4"/>
  <c r="AA60" i="4" s="1"/>
  <c r="AB60" i="4"/>
  <c r="AF60" i="4"/>
  <c r="Z60" i="4"/>
  <c r="M29" i="4"/>
  <c r="AA29" i="4" s="1"/>
  <c r="AB29" i="4"/>
  <c r="Z29" i="4"/>
  <c r="AF29" i="4"/>
  <c r="AG29" i="4" s="1"/>
  <c r="AS29" i="4" s="1"/>
  <c r="M33" i="4"/>
  <c r="AA33" i="4" s="1"/>
  <c r="AB33" i="4"/>
  <c r="AF33" i="4"/>
  <c r="AG33" i="4" s="1"/>
  <c r="AS33" i="4" s="1"/>
  <c r="Z33" i="4"/>
  <c r="M53" i="4"/>
  <c r="AA53" i="4" s="1"/>
  <c r="AB53" i="4"/>
  <c r="AF53" i="4"/>
  <c r="Z53" i="4"/>
  <c r="M14" i="4"/>
  <c r="AA14" i="4" s="1"/>
  <c r="AF14" i="4"/>
  <c r="AB14" i="4"/>
  <c r="Z14" i="4"/>
  <c r="M31" i="4"/>
  <c r="AA31" i="4" s="1"/>
  <c r="AB31" i="4"/>
  <c r="Z31" i="4"/>
  <c r="AF31" i="4"/>
  <c r="M43" i="4"/>
  <c r="AA43" i="4" s="1"/>
  <c r="AF43" i="4"/>
  <c r="Z43" i="4"/>
  <c r="AB43" i="4"/>
  <c r="M24" i="4"/>
  <c r="AA24" i="4" s="1"/>
  <c r="AB24" i="4"/>
  <c r="AF24" i="4"/>
  <c r="Z24" i="4"/>
  <c r="M35" i="4"/>
  <c r="AA35" i="4" s="1"/>
  <c r="AB35" i="4"/>
  <c r="AF35" i="4"/>
  <c r="Z35" i="4"/>
  <c r="M23" i="4"/>
  <c r="AA23" i="4" s="1"/>
  <c r="AB23" i="4"/>
  <c r="AF23" i="4"/>
  <c r="Z23" i="4"/>
  <c r="M26" i="4"/>
  <c r="AA26" i="4" s="1"/>
  <c r="AF26" i="4"/>
  <c r="AB26" i="4"/>
  <c r="Z26" i="4"/>
  <c r="M70" i="4"/>
  <c r="AA70" i="4" s="1"/>
  <c r="AF70" i="4"/>
  <c r="AB70" i="4"/>
  <c r="Z70" i="4"/>
  <c r="M82" i="4"/>
  <c r="AA82" i="4" s="1"/>
  <c r="AF82" i="4"/>
  <c r="AB82" i="4"/>
  <c r="Z82" i="4"/>
  <c r="M131" i="4"/>
  <c r="AA131" i="4" s="1"/>
  <c r="AB131" i="4"/>
  <c r="AF131" i="4"/>
  <c r="Z131" i="4"/>
  <c r="M185" i="4"/>
  <c r="AA185" i="4" s="1"/>
  <c r="AF185" i="4"/>
  <c r="AB185" i="4"/>
  <c r="Z185" i="4"/>
  <c r="M130" i="4"/>
  <c r="AA130" i="4" s="1"/>
  <c r="AF130" i="4"/>
  <c r="AB130" i="4"/>
  <c r="Z130" i="4"/>
  <c r="M207" i="4"/>
  <c r="AA207" i="4" s="1"/>
  <c r="AB207" i="4"/>
  <c r="AF207" i="4"/>
  <c r="Z207" i="4"/>
  <c r="M194" i="4"/>
  <c r="AA194" i="4" s="1"/>
  <c r="AF194" i="4"/>
  <c r="AB194" i="4"/>
  <c r="Z194" i="4"/>
  <c r="M165" i="4"/>
  <c r="AA165" i="4" s="1"/>
  <c r="AF165" i="4"/>
  <c r="Z165" i="4"/>
  <c r="AB165" i="4"/>
  <c r="M176" i="4"/>
  <c r="AA176" i="4" s="1"/>
  <c r="AF176" i="4"/>
  <c r="AB176" i="4"/>
  <c r="Z176" i="4"/>
  <c r="M117" i="4"/>
  <c r="AA117" i="4" s="1"/>
  <c r="AB117" i="4"/>
  <c r="AF117" i="4"/>
  <c r="Z117" i="4"/>
  <c r="M209" i="4"/>
  <c r="AA209" i="4" s="1"/>
  <c r="AF209" i="4"/>
  <c r="AB209" i="4"/>
  <c r="Z209" i="4"/>
  <c r="M143" i="4"/>
  <c r="AA143" i="4" s="1"/>
  <c r="AB143" i="4"/>
  <c r="AF143" i="4"/>
  <c r="Z143" i="4"/>
  <c r="M181" i="4"/>
  <c r="AA181" i="4" s="1"/>
  <c r="AF181" i="4"/>
  <c r="Z181" i="4"/>
  <c r="AB181" i="4"/>
  <c r="Z111" i="4"/>
  <c r="AC111" i="4" s="1"/>
  <c r="M57" i="4"/>
  <c r="AA57" i="4" s="1"/>
  <c r="AB57" i="4"/>
  <c r="Z57" i="4"/>
  <c r="AF57" i="4"/>
  <c r="M22" i="4"/>
  <c r="AA22" i="4" s="1"/>
  <c r="AF22" i="4"/>
  <c r="AG22" i="4" s="1"/>
  <c r="AS22" i="4" s="1"/>
  <c r="Z22" i="4"/>
  <c r="AB22" i="4"/>
  <c r="M107" i="4"/>
  <c r="AA107" i="4" s="1"/>
  <c r="AF107" i="4"/>
  <c r="AG107" i="4" s="1"/>
  <c r="AS107" i="4" s="1"/>
  <c r="Z107" i="4"/>
  <c r="AB107" i="4"/>
  <c r="M52" i="4"/>
  <c r="AA52" i="4" s="1"/>
  <c r="AB52" i="4"/>
  <c r="AF52" i="4"/>
  <c r="AG52" i="4" s="1"/>
  <c r="AS52" i="4" s="1"/>
  <c r="Z52" i="4"/>
  <c r="M106" i="4"/>
  <c r="AA106" i="4" s="1"/>
  <c r="AF106" i="4"/>
  <c r="Z106" i="4"/>
  <c r="AB106" i="4"/>
  <c r="M42" i="4"/>
  <c r="AA42" i="4" s="1"/>
  <c r="AF42" i="4"/>
  <c r="AG42" i="4" s="1"/>
  <c r="AS42" i="4" s="1"/>
  <c r="Z42" i="4"/>
  <c r="AB42" i="4"/>
  <c r="M61" i="4"/>
  <c r="AA61" i="4" s="1"/>
  <c r="AB61" i="4"/>
  <c r="Z61" i="4"/>
  <c r="AF61" i="4"/>
  <c r="M101" i="4"/>
  <c r="AA101" i="4" s="1"/>
  <c r="AB101" i="4"/>
  <c r="AF101" i="4"/>
  <c r="AG101" i="4" s="1"/>
  <c r="AS101" i="4" s="1"/>
  <c r="Z101" i="4"/>
  <c r="M67" i="4"/>
  <c r="AA67" i="4" s="1"/>
  <c r="AB67" i="4"/>
  <c r="AF67" i="4"/>
  <c r="Z67" i="4"/>
  <c r="M78" i="4"/>
  <c r="AA78" i="4" s="1"/>
  <c r="AF78" i="4"/>
  <c r="AB78" i="4"/>
  <c r="Z78" i="4"/>
  <c r="M59" i="4"/>
  <c r="AA59" i="4" s="1"/>
  <c r="AF59" i="4"/>
  <c r="AB59" i="4"/>
  <c r="Z59" i="4"/>
  <c r="M180" i="4"/>
  <c r="AA180" i="4" s="1"/>
  <c r="Z180" i="4"/>
  <c r="AF180" i="4"/>
  <c r="AB180" i="4"/>
  <c r="M172" i="4"/>
  <c r="AA172" i="4" s="1"/>
  <c r="AF172" i="4"/>
  <c r="AB172" i="4"/>
  <c r="Z172" i="4"/>
  <c r="M126" i="4"/>
  <c r="AA126" i="4" s="1"/>
  <c r="AF126" i="4"/>
  <c r="AB126" i="4"/>
  <c r="Z126" i="4"/>
  <c r="M123" i="4"/>
  <c r="AA123" i="4" s="1"/>
  <c r="AF123" i="4"/>
  <c r="AB123" i="4"/>
  <c r="Z123" i="4"/>
  <c r="M160" i="4"/>
  <c r="AA160" i="4" s="1"/>
  <c r="AF160" i="4"/>
  <c r="AB160" i="4"/>
  <c r="Z160" i="4"/>
  <c r="M135" i="4"/>
  <c r="AA135" i="4" s="1"/>
  <c r="AB135" i="4"/>
  <c r="AF135" i="4"/>
  <c r="Z135" i="4"/>
  <c r="M20" i="4"/>
  <c r="AA20" i="4" s="1"/>
  <c r="AF20" i="4"/>
  <c r="Z20" i="4"/>
  <c r="AB20" i="4"/>
  <c r="M55" i="4"/>
  <c r="AA55" i="4" s="1"/>
  <c r="AB55" i="4"/>
  <c r="AF55" i="4"/>
  <c r="AG55" i="4" s="1"/>
  <c r="AS55" i="4" s="1"/>
  <c r="Z55" i="4"/>
  <c r="M96" i="4"/>
  <c r="AA96" i="4" s="1"/>
  <c r="AF96" i="4"/>
  <c r="AB96" i="4"/>
  <c r="Z96" i="4"/>
  <c r="M76" i="4"/>
  <c r="AA76" i="4" s="1"/>
  <c r="AB76" i="4"/>
  <c r="AF76" i="4"/>
  <c r="Z76" i="4"/>
  <c r="M89" i="4"/>
  <c r="AA89" i="4" s="1"/>
  <c r="AB89" i="4"/>
  <c r="Z89" i="4"/>
  <c r="AF89" i="4"/>
  <c r="AG89" i="4" s="1"/>
  <c r="AS89" i="4" s="1"/>
  <c r="M15" i="4"/>
  <c r="AA15" i="4" s="1"/>
  <c r="AB15" i="4"/>
  <c r="AF15" i="4"/>
  <c r="AG15" i="4" s="1"/>
  <c r="AS15" i="4" s="1"/>
  <c r="Z15" i="4"/>
  <c r="M105" i="4"/>
  <c r="AA105" i="4" s="1"/>
  <c r="AB105" i="4"/>
  <c r="AF105" i="4"/>
  <c r="Z105" i="4"/>
  <c r="M16" i="4"/>
  <c r="AA16" i="4" s="1"/>
  <c r="AF16" i="4"/>
  <c r="AG16" i="4" s="1"/>
  <c r="AS16" i="4" s="1"/>
  <c r="AB16" i="4"/>
  <c r="Z16" i="4"/>
  <c r="M74" i="4"/>
  <c r="AA74" i="4" s="1"/>
  <c r="AF74" i="4"/>
  <c r="Z74" i="4"/>
  <c r="AB74" i="4"/>
  <c r="M77" i="4"/>
  <c r="AA77" i="4" s="1"/>
  <c r="AB77" i="4"/>
  <c r="AF77" i="4"/>
  <c r="Z77" i="4"/>
  <c r="M19" i="4"/>
  <c r="AA19" i="4" s="1"/>
  <c r="AB19" i="4"/>
  <c r="AF19" i="4"/>
  <c r="Z19" i="4"/>
  <c r="M17" i="4"/>
  <c r="AA17" i="4" s="1"/>
  <c r="AB17" i="4"/>
  <c r="AF17" i="4"/>
  <c r="Z17" i="4"/>
  <c r="M40" i="4"/>
  <c r="AA40" i="4" s="1"/>
  <c r="AB40" i="4"/>
  <c r="AF40" i="4"/>
  <c r="Z40" i="4"/>
  <c r="M79" i="4"/>
  <c r="AA79" i="4" s="1"/>
  <c r="AB79" i="4"/>
  <c r="AF79" i="4"/>
  <c r="Z79" i="4"/>
  <c r="M88" i="4"/>
  <c r="AA88" i="4" s="1"/>
  <c r="AB88" i="4"/>
  <c r="AF88" i="4"/>
  <c r="AG88" i="4" s="1"/>
  <c r="AS88" i="4" s="1"/>
  <c r="Z88" i="4"/>
  <c r="M25" i="4"/>
  <c r="AA25" i="4" s="1"/>
  <c r="AB25" i="4"/>
  <c r="Z25" i="4"/>
  <c r="AF25" i="4"/>
  <c r="M83" i="4"/>
  <c r="AA83" i="4" s="1"/>
  <c r="AB83" i="4"/>
  <c r="AF83" i="4"/>
  <c r="Z83" i="4"/>
  <c r="M47" i="4"/>
  <c r="AA47" i="4" s="1"/>
  <c r="AB47" i="4"/>
  <c r="AF47" i="4"/>
  <c r="Z47" i="4"/>
  <c r="M140" i="4"/>
  <c r="AA140" i="4" s="1"/>
  <c r="AB140" i="4"/>
  <c r="AF140" i="4"/>
  <c r="Z140" i="4"/>
  <c r="M120" i="4"/>
  <c r="AA120" i="4" s="1"/>
  <c r="AB120" i="4"/>
  <c r="AF120" i="4"/>
  <c r="Z120" i="4"/>
  <c r="M202" i="4"/>
  <c r="AA202" i="4" s="1"/>
  <c r="AF202" i="4"/>
  <c r="AB202" i="4"/>
  <c r="Z202" i="4"/>
  <c r="M159" i="4"/>
  <c r="AA159" i="4" s="1"/>
  <c r="AB159" i="4"/>
  <c r="AF159" i="4"/>
  <c r="Z159" i="4"/>
  <c r="M153" i="4"/>
  <c r="AA153" i="4" s="1"/>
  <c r="AF153" i="4"/>
  <c r="AB153" i="4"/>
  <c r="Z153" i="4"/>
  <c r="M110" i="4"/>
  <c r="AA110" i="4" s="1"/>
  <c r="AF110" i="4"/>
  <c r="AB110" i="4"/>
  <c r="Z110" i="4"/>
  <c r="M175" i="4"/>
  <c r="AA175" i="4" s="1"/>
  <c r="AB175" i="4"/>
  <c r="AF175" i="4"/>
  <c r="Z175" i="4"/>
  <c r="M146" i="4"/>
  <c r="AA146" i="4" s="1"/>
  <c r="AF146" i="4"/>
  <c r="AB146" i="4"/>
  <c r="Z146" i="4"/>
  <c r="M112" i="4"/>
  <c r="AA112" i="4" s="1"/>
  <c r="AF112" i="4"/>
  <c r="AB112" i="4"/>
  <c r="Z112" i="4"/>
  <c r="M37" i="4"/>
  <c r="AA37" i="4" s="1"/>
  <c r="AB37" i="4"/>
  <c r="AF37" i="4"/>
  <c r="AG37" i="4" s="1"/>
  <c r="AS37" i="4" s="1"/>
  <c r="Z37" i="4"/>
  <c r="M75" i="4"/>
  <c r="AA75" i="4" s="1"/>
  <c r="AF75" i="4"/>
  <c r="AG75" i="4" s="1"/>
  <c r="AS75" i="4" s="1"/>
  <c r="AB75" i="4"/>
  <c r="Z75" i="4"/>
  <c r="M91" i="4"/>
  <c r="AA91" i="4" s="1"/>
  <c r="AF91" i="4"/>
  <c r="AB91" i="4"/>
  <c r="Z91" i="4"/>
  <c r="M87" i="4"/>
  <c r="AA87" i="4" s="1"/>
  <c r="AB87" i="4"/>
  <c r="AF87" i="4"/>
  <c r="AG87" i="4" s="1"/>
  <c r="AS87" i="4" s="1"/>
  <c r="Z87" i="4"/>
  <c r="M81" i="4"/>
  <c r="AA81" i="4" s="1"/>
  <c r="AB81" i="4"/>
  <c r="AF81" i="4"/>
  <c r="AG81" i="4" s="1"/>
  <c r="AS81" i="4" s="1"/>
  <c r="Z81" i="4"/>
  <c r="M86" i="4"/>
  <c r="AA86" i="4" s="1"/>
  <c r="AF86" i="4"/>
  <c r="Z86" i="4"/>
  <c r="AB86" i="4"/>
  <c r="M98" i="4"/>
  <c r="AA98" i="4" s="1"/>
  <c r="AF98" i="4"/>
  <c r="AB98" i="4"/>
  <c r="Z98" i="4"/>
  <c r="M44" i="4"/>
  <c r="AA44" i="4" s="1"/>
  <c r="AB44" i="4"/>
  <c r="AF44" i="4"/>
  <c r="Z44" i="4"/>
  <c r="M50" i="4"/>
  <c r="AA50" i="4" s="1"/>
  <c r="AF50" i="4"/>
  <c r="AB50" i="4"/>
  <c r="Z50" i="4"/>
  <c r="M51" i="4"/>
  <c r="AA51" i="4" s="1"/>
  <c r="AB51" i="4"/>
  <c r="Z51" i="4"/>
  <c r="AF51" i="4"/>
  <c r="AG51" i="4" s="1"/>
  <c r="AS51" i="4" s="1"/>
  <c r="M99" i="4"/>
  <c r="AA99" i="4" s="1"/>
  <c r="AB99" i="4"/>
  <c r="AF99" i="4"/>
  <c r="AG99" i="4" s="1"/>
  <c r="AS99" i="4" s="1"/>
  <c r="Z99" i="4"/>
  <c r="M10" i="4"/>
  <c r="AA10" i="4" s="1"/>
  <c r="AF10" i="4"/>
  <c r="AG10" i="4" s="1"/>
  <c r="AS10" i="4" s="1"/>
  <c r="Z10" i="4"/>
  <c r="AB10" i="4"/>
  <c r="M58" i="4"/>
  <c r="AA58" i="4" s="1"/>
  <c r="AF58" i="4"/>
  <c r="AB58" i="4"/>
  <c r="Z58" i="4"/>
  <c r="M54" i="4"/>
  <c r="AA54" i="4" s="1"/>
  <c r="AF54" i="4"/>
  <c r="Z54" i="4"/>
  <c r="AB54" i="4"/>
  <c r="M90" i="4"/>
  <c r="AA90" i="4" s="1"/>
  <c r="AF90" i="4"/>
  <c r="AB90" i="4"/>
  <c r="Z90" i="4"/>
  <c r="M71" i="4"/>
  <c r="AA71" i="4" s="1"/>
  <c r="AB71" i="4"/>
  <c r="AF71" i="4"/>
  <c r="AG71" i="4" s="1"/>
  <c r="AS71" i="4" s="1"/>
  <c r="Z71" i="4"/>
  <c r="M46" i="4"/>
  <c r="AA46" i="4" s="1"/>
  <c r="AF46" i="4"/>
  <c r="AB46" i="4"/>
  <c r="Z46" i="4"/>
  <c r="M11" i="4"/>
  <c r="AA11" i="4" s="1"/>
  <c r="AF11" i="4"/>
  <c r="AB11" i="4"/>
  <c r="Z11" i="4"/>
  <c r="M62" i="4"/>
  <c r="AA62" i="4" s="1"/>
  <c r="AF62" i="4"/>
  <c r="AB62" i="4"/>
  <c r="Z62" i="4"/>
  <c r="M12" i="4"/>
  <c r="AA12" i="4" s="1"/>
  <c r="AB12" i="4"/>
  <c r="AF12" i="4"/>
  <c r="Z12" i="4"/>
  <c r="M41" i="4"/>
  <c r="AA41" i="4" s="1"/>
  <c r="AB41" i="4"/>
  <c r="Z41" i="4"/>
  <c r="AF41" i="4"/>
  <c r="M73" i="4"/>
  <c r="AA73" i="4" s="1"/>
  <c r="AB73" i="4"/>
  <c r="Z73" i="4"/>
  <c r="AF73" i="4"/>
  <c r="M64" i="4"/>
  <c r="AA64" i="4" s="1"/>
  <c r="AF64" i="4"/>
  <c r="Z64" i="4"/>
  <c r="AB64" i="4"/>
  <c r="M151" i="4"/>
  <c r="AA151" i="4" s="1"/>
  <c r="AF151" i="4"/>
  <c r="AB151" i="4"/>
  <c r="Z151" i="4"/>
  <c r="M152" i="4"/>
  <c r="AA152" i="4" s="1"/>
  <c r="AF152" i="4"/>
  <c r="AB152" i="4"/>
  <c r="Z152" i="4"/>
  <c r="M190" i="4"/>
  <c r="AA190" i="4" s="1"/>
  <c r="AF190" i="4"/>
  <c r="AB190" i="4"/>
  <c r="Z190" i="4"/>
  <c r="M182" i="4"/>
  <c r="AA182" i="4" s="1"/>
  <c r="AF182" i="4"/>
  <c r="AB182" i="4"/>
  <c r="Z182" i="4"/>
  <c r="M124" i="4"/>
  <c r="AA124" i="4" s="1"/>
  <c r="AB124" i="4"/>
  <c r="AF124" i="4"/>
  <c r="Z124" i="4"/>
  <c r="M133" i="4"/>
  <c r="AA133" i="4" s="1"/>
  <c r="AB133" i="4"/>
  <c r="AF133" i="4"/>
  <c r="Z133" i="4"/>
  <c r="M168" i="4"/>
  <c r="AA168" i="4" s="1"/>
  <c r="AB168" i="4"/>
  <c r="AF168" i="4"/>
  <c r="Z168" i="4"/>
  <c r="M167" i="4"/>
  <c r="AA167" i="4" s="1"/>
  <c r="AF167" i="4"/>
  <c r="AB167" i="4"/>
  <c r="Z167" i="4"/>
  <c r="M191" i="4"/>
  <c r="AA191" i="4" s="1"/>
  <c r="AB191" i="4"/>
  <c r="AF191" i="4"/>
  <c r="Z191" i="4"/>
  <c r="M144" i="4"/>
  <c r="AA144" i="4" s="1"/>
  <c r="AF144" i="4"/>
  <c r="AB144" i="4"/>
  <c r="Z144" i="4"/>
  <c r="M115" i="4"/>
  <c r="AA115" i="4" s="1"/>
  <c r="AB115" i="4"/>
  <c r="Z115" i="4"/>
  <c r="AF115" i="4"/>
  <c r="M195" i="4"/>
  <c r="AA195" i="4" s="1"/>
  <c r="AB195" i="4"/>
  <c r="AF195" i="4"/>
  <c r="Z195" i="4"/>
  <c r="M158" i="4"/>
  <c r="AA158" i="4" s="1"/>
  <c r="AF158" i="4"/>
  <c r="AB158" i="4"/>
  <c r="Z158" i="4"/>
  <c r="M162" i="4"/>
  <c r="AA162" i="4" s="1"/>
  <c r="AF162" i="4"/>
  <c r="AB162" i="4"/>
  <c r="Z162" i="4"/>
  <c r="M48" i="4"/>
  <c r="AA48" i="4" s="1"/>
  <c r="AF48" i="4"/>
  <c r="AB48" i="4"/>
  <c r="Z48" i="4"/>
  <c r="M203" i="4"/>
  <c r="AA203" i="4" s="1"/>
  <c r="AF203" i="4"/>
  <c r="AB203" i="4"/>
  <c r="Z203" i="4"/>
  <c r="X65" i="4"/>
  <c r="Y65" i="4" s="1"/>
  <c r="L65" i="4"/>
  <c r="AE23" i="4"/>
  <c r="AH23" i="4"/>
  <c r="AE60" i="4"/>
  <c r="AH60" i="4"/>
  <c r="AE31" i="4"/>
  <c r="AH31" i="4"/>
  <c r="AE9" i="4"/>
  <c r="AH9" i="4"/>
  <c r="AE26" i="4"/>
  <c r="AH26" i="4"/>
  <c r="AE80" i="4"/>
  <c r="AH80" i="4"/>
  <c r="AE100" i="4"/>
  <c r="AH100" i="4"/>
  <c r="AE41" i="4"/>
  <c r="AH41" i="4"/>
  <c r="AE18" i="4"/>
  <c r="AH18" i="4"/>
  <c r="AE105" i="4"/>
  <c r="AH105" i="4"/>
  <c r="AE35" i="4"/>
  <c r="AH35" i="4"/>
  <c r="AE24" i="4"/>
  <c r="AH24" i="4"/>
  <c r="AE69" i="4"/>
  <c r="AH69" i="4"/>
  <c r="AE57" i="4"/>
  <c r="AH57" i="4"/>
  <c r="AE54" i="4"/>
  <c r="AH54" i="4"/>
  <c r="AE82" i="4"/>
  <c r="AH82" i="4"/>
  <c r="AE104" i="4"/>
  <c r="AH104" i="4"/>
  <c r="AE48" i="4"/>
  <c r="AH48" i="4"/>
  <c r="AE47" i="4"/>
  <c r="AH47" i="4"/>
  <c r="AE25" i="4"/>
  <c r="AH25" i="4"/>
  <c r="AE109" i="4"/>
  <c r="AH109" i="4"/>
  <c r="AE62" i="4"/>
  <c r="AH62" i="4"/>
  <c r="AE59" i="4"/>
  <c r="AH59" i="4"/>
  <c r="AE50" i="4"/>
  <c r="AH50" i="4"/>
  <c r="AE76" i="4"/>
  <c r="AH76" i="4"/>
  <c r="AE36" i="4"/>
  <c r="AH36" i="4"/>
  <c r="AE93" i="4"/>
  <c r="AH93" i="4"/>
  <c r="AE40" i="4"/>
  <c r="AH40" i="4"/>
  <c r="AE17" i="4"/>
  <c r="AH17" i="4"/>
  <c r="AE106" i="4"/>
  <c r="AH106" i="4"/>
  <c r="AE44" i="4"/>
  <c r="AH44" i="4"/>
  <c r="AE11" i="4"/>
  <c r="AH11" i="4"/>
  <c r="AE43" i="4"/>
  <c r="AH43" i="4"/>
  <c r="AE97" i="4"/>
  <c r="AH97" i="4"/>
  <c r="AE98" i="4"/>
  <c r="AH98" i="4"/>
  <c r="AE84" i="4"/>
  <c r="AH84" i="4"/>
  <c r="AE67" i="4"/>
  <c r="AH67" i="4"/>
  <c r="AE49" i="4"/>
  <c r="AH49" i="4"/>
  <c r="AE102" i="4"/>
  <c r="AH102" i="4"/>
  <c r="AE61" i="4"/>
  <c r="AH61" i="4"/>
  <c r="AE39" i="4"/>
  <c r="AH39" i="4"/>
  <c r="AE14" i="4"/>
  <c r="AH14" i="4"/>
  <c r="AE64" i="4"/>
  <c r="AH64" i="4"/>
  <c r="AE77" i="4"/>
  <c r="AH77" i="4"/>
  <c r="AE85" i="4"/>
  <c r="AH85" i="4"/>
  <c r="AE79" i="4"/>
  <c r="AH79" i="4"/>
  <c r="AE38" i="4"/>
  <c r="AH38" i="4"/>
  <c r="AE86" i="4"/>
  <c r="AH86" i="4"/>
  <c r="AE53" i="4"/>
  <c r="AH53" i="4"/>
  <c r="AE94" i="4"/>
  <c r="AH94" i="4"/>
  <c r="AE58" i="4"/>
  <c r="AH58" i="4"/>
  <c r="AE96" i="4"/>
  <c r="AH96" i="4"/>
  <c r="AE20" i="4"/>
  <c r="AH20" i="4"/>
  <c r="AE83" i="4"/>
  <c r="AH83" i="4"/>
  <c r="AE74" i="4"/>
  <c r="AH74" i="4"/>
  <c r="AE91" i="4"/>
  <c r="AH91" i="4"/>
  <c r="AE103" i="4"/>
  <c r="AH103" i="4"/>
  <c r="AE66" i="4"/>
  <c r="AH66" i="4"/>
  <c r="AE13" i="4"/>
  <c r="AH13" i="4"/>
  <c r="AE46" i="4"/>
  <c r="AH46" i="4"/>
  <c r="AE70" i="4"/>
  <c r="AH70" i="4"/>
  <c r="AE78" i="4"/>
  <c r="AH78" i="4"/>
  <c r="AE34" i="4"/>
  <c r="AH34" i="4"/>
  <c r="AE90" i="4"/>
  <c r="AH90" i="4"/>
  <c r="AE63" i="4"/>
  <c r="AH63" i="4"/>
  <c r="AE73" i="4"/>
  <c r="AH73" i="4"/>
  <c r="AE19" i="4"/>
  <c r="AH19" i="4"/>
  <c r="AE68" i="4"/>
  <c r="AH68" i="4"/>
  <c r="AE12" i="4"/>
  <c r="AH12" i="4"/>
  <c r="AE45" i="4"/>
  <c r="AH45" i="4"/>
  <c r="B55" i="2"/>
  <c r="B64" i="2" s="1"/>
  <c r="B59" i="2"/>
  <c r="R22" i="8" s="1"/>
  <c r="S22" i="8" s="1"/>
  <c r="B60" i="2" s="1"/>
  <c r="C52" i="16"/>
  <c r="D52" i="16" s="1"/>
  <c r="A259" i="2"/>
  <c r="C57" i="16"/>
  <c r="D57" i="16" s="1"/>
  <c r="BM39" i="3"/>
  <c r="R9" i="8"/>
  <c r="S9" i="8" s="1"/>
  <c r="S30" i="8" s="1"/>
  <c r="C77" i="1" s="1"/>
  <c r="D77" i="1" s="1"/>
  <c r="BN14" i="3"/>
  <c r="B75" i="1"/>
  <c r="BM30" i="3"/>
  <c r="BM18" i="3"/>
  <c r="C225" i="2"/>
  <c r="B225" i="2" s="1"/>
  <c r="B226" i="2" s="1"/>
  <c r="C79" i="4"/>
  <c r="B79" i="4" s="1"/>
  <c r="B80" i="4" s="1"/>
  <c r="B70" i="4"/>
  <c r="BM29" i="3"/>
  <c r="B77" i="1"/>
  <c r="C3" i="8"/>
  <c r="C159" i="8" s="1"/>
  <c r="C158" i="8" s="1"/>
  <c r="C157" i="8" s="1"/>
  <c r="C156" i="8" s="1"/>
  <c r="C155" i="8" s="1"/>
  <c r="C154" i="8" s="1"/>
  <c r="C153" i="8" s="1"/>
  <c r="C152" i="8" s="1"/>
  <c r="C151" i="8" s="1"/>
  <c r="C150" i="8" s="1"/>
  <c r="C149" i="8" s="1"/>
  <c r="C148" i="8" s="1"/>
  <c r="C147" i="8" s="1"/>
  <c r="C146" i="8" s="1"/>
  <c r="C145" i="8" s="1"/>
  <c r="C144" i="8" s="1"/>
  <c r="C143" i="8" s="1"/>
  <c r="C142" i="8" s="1"/>
  <c r="C141" i="8" s="1"/>
  <c r="C140" i="8" s="1"/>
  <c r="C139" i="8" s="1"/>
  <c r="C138" i="8" s="1"/>
  <c r="C137" i="8" s="1"/>
  <c r="C136" i="8" s="1"/>
  <c r="C135" i="8" s="1"/>
  <c r="C134" i="8" s="1"/>
  <c r="C133" i="8" s="1"/>
  <c r="C132" i="8" s="1"/>
  <c r="C131" i="8" s="1"/>
  <c r="C130" i="8" s="1"/>
  <c r="C129" i="8" s="1"/>
  <c r="C128" i="8" s="1"/>
  <c r="C127" i="8" s="1"/>
  <c r="C126" i="8" s="1"/>
  <c r="C125" i="8" s="1"/>
  <c r="C124" i="8" s="1"/>
  <c r="C123" i="8" s="1"/>
  <c r="C122" i="8" s="1"/>
  <c r="C121" i="8" s="1"/>
  <c r="C120" i="8" s="1"/>
  <c r="C119" i="8" s="1"/>
  <c r="C118" i="8" s="1"/>
  <c r="C117" i="8" s="1"/>
  <c r="C116" i="8" s="1"/>
  <c r="C115" i="8" s="1"/>
  <c r="C114" i="8" s="1"/>
  <c r="C113" i="8" s="1"/>
  <c r="C112" i="8" s="1"/>
  <c r="C111" i="8" s="1"/>
  <c r="C110" i="8" s="1"/>
  <c r="C109" i="8" s="1"/>
  <c r="C108" i="8" s="1"/>
  <c r="C107" i="8" s="1"/>
  <c r="C106" i="8" s="1"/>
  <c r="C105" i="8" s="1"/>
  <c r="C104" i="8" s="1"/>
  <c r="C103" i="8" s="1"/>
  <c r="C102" i="8" s="1"/>
  <c r="C101" i="8" s="1"/>
  <c r="C100" i="8" s="1"/>
  <c r="C99" i="8" s="1"/>
  <c r="C98" i="8" s="1"/>
  <c r="C97" i="8" s="1"/>
  <c r="C96" i="8" s="1"/>
  <c r="C95" i="8" s="1"/>
  <c r="C94" i="8" s="1"/>
  <c r="C93" i="8" s="1"/>
  <c r="C92" i="8" s="1"/>
  <c r="C91" i="8" s="1"/>
  <c r="C90" i="8" s="1"/>
  <c r="C89" i="8" s="1"/>
  <c r="C88" i="8" s="1"/>
  <c r="C87" i="8" s="1"/>
  <c r="C86" i="8" s="1"/>
  <c r="C85" i="8" s="1"/>
  <c r="C84" i="8" s="1"/>
  <c r="C83" i="8" s="1"/>
  <c r="C82" i="8" s="1"/>
  <c r="C81" i="8" s="1"/>
  <c r="C80" i="8" s="1"/>
  <c r="C79" i="8" s="1"/>
  <c r="C78" i="8" s="1"/>
  <c r="C77" i="8" s="1"/>
  <c r="C76" i="8" s="1"/>
  <c r="C75" i="8" s="1"/>
  <c r="C74" i="8" s="1"/>
  <c r="C73" i="8" s="1"/>
  <c r="C72" i="8" s="1"/>
  <c r="C71" i="8" s="1"/>
  <c r="C70" i="8" s="1"/>
  <c r="C69" i="8" s="1"/>
  <c r="C68" i="8" s="1"/>
  <c r="C67" i="8" s="1"/>
  <c r="C66" i="8" s="1"/>
  <c r="C65" i="8" s="1"/>
  <c r="C64" i="8" s="1"/>
  <c r="C63" i="8" s="1"/>
  <c r="C62" i="8" s="1"/>
  <c r="C61" i="8" s="1"/>
  <c r="C60" i="8" s="1"/>
  <c r="C59" i="8" s="1"/>
  <c r="C58" i="8" s="1"/>
  <c r="C57" i="8" s="1"/>
  <c r="C56" i="8" s="1"/>
  <c r="C55" i="8" s="1"/>
  <c r="C54" i="8" s="1"/>
  <c r="C53" i="8" s="1"/>
  <c r="C52" i="8" s="1"/>
  <c r="C51" i="8" s="1"/>
  <c r="C50" i="8" s="1"/>
  <c r="C49" i="8" s="1"/>
  <c r="C48" i="8" s="1"/>
  <c r="C47" i="8" s="1"/>
  <c r="C46" i="8" s="1"/>
  <c r="C45" i="8" s="1"/>
  <c r="C44" i="8" s="1"/>
  <c r="C43" i="8" s="1"/>
  <c r="C42" i="8" s="1"/>
  <c r="C41" i="8" s="1"/>
  <c r="C40" i="8" s="1"/>
  <c r="C39" i="8" s="1"/>
  <c r="C38" i="8" s="1"/>
  <c r="C37" i="8" s="1"/>
  <c r="C36" i="8" s="1"/>
  <c r="C35" i="8" s="1"/>
  <c r="C34" i="8" s="1"/>
  <c r="C33" i="8" s="1"/>
  <c r="C32" i="8" s="1"/>
  <c r="C31" i="8" s="1"/>
  <c r="C30" i="8" s="1"/>
  <c r="C29" i="8" s="1"/>
  <c r="C28" i="8" s="1"/>
  <c r="C27" i="8" s="1"/>
  <c r="C26" i="8" s="1"/>
  <c r="C25" i="8" s="1"/>
  <c r="C24" i="8" s="1"/>
  <c r="C23" i="8" s="1"/>
  <c r="C22" i="8" s="1"/>
  <c r="C21" i="8" s="1"/>
  <c r="C20" i="8" s="1"/>
  <c r="C19" i="8" s="1"/>
  <c r="C18" i="8" s="1"/>
  <c r="C17" i="8" s="1"/>
  <c r="C16" i="8" s="1"/>
  <c r="C15" i="8" s="1"/>
  <c r="C14" i="8" s="1"/>
  <c r="C13" i="8" s="1"/>
  <c r="C12" i="8" s="1"/>
  <c r="C11" i="8" s="1"/>
  <c r="C10" i="8" s="1"/>
  <c r="C9" i="8" s="1"/>
  <c r="C8" i="8" s="1"/>
  <c r="C7" i="8" s="1"/>
  <c r="C6" i="8" s="1"/>
  <c r="C4" i="8" s="1"/>
  <c r="S28" i="8" s="1"/>
  <c r="C75" i="1" s="1"/>
  <c r="D75" i="1" s="1"/>
  <c r="R27" i="8"/>
  <c r="BM33" i="3"/>
  <c r="BN37" i="3"/>
  <c r="BM23" i="3"/>
  <c r="BM26" i="3"/>
  <c r="BN9" i="3"/>
  <c r="AD65" i="4"/>
  <c r="U65" i="4"/>
  <c r="V65" i="4" s="1"/>
  <c r="W65" i="4" s="1"/>
  <c r="N65" i="4"/>
  <c r="O65" i="4" s="1"/>
  <c r="Q65" i="4" s="1"/>
  <c r="R65" i="4"/>
  <c r="S65" i="4" s="1"/>
  <c r="T65" i="4" s="1"/>
  <c r="AR40" i="3"/>
  <c r="B40" i="3"/>
  <c r="AQ40" i="3"/>
  <c r="A41" i="3"/>
  <c r="D40" i="3"/>
  <c r="C40" i="3"/>
  <c r="G40" i="3"/>
  <c r="H40" i="3" s="1"/>
  <c r="F40" i="3"/>
  <c r="BN39" i="3"/>
  <c r="AC139" i="4" l="1"/>
  <c r="AR139" i="4" s="1"/>
  <c r="AC132" i="4"/>
  <c r="AO132" i="4" s="1"/>
  <c r="AQ132" i="4" s="1"/>
  <c r="AU132" i="4" s="1"/>
  <c r="AC201" i="4"/>
  <c r="AO201" i="4" s="1"/>
  <c r="AQ201" i="4" s="1"/>
  <c r="AU201" i="4" s="1"/>
  <c r="AC184" i="4"/>
  <c r="AR184" i="4" s="1"/>
  <c r="AC192" i="4"/>
  <c r="AR192" i="4" s="1"/>
  <c r="AC166" i="4"/>
  <c r="AR166" i="4" s="1"/>
  <c r="AC170" i="4"/>
  <c r="AR170" i="4" s="1"/>
  <c r="AC121" i="4"/>
  <c r="AO121" i="4" s="1"/>
  <c r="AQ121" i="4" s="1"/>
  <c r="AU121" i="4" s="1"/>
  <c r="AC198" i="4"/>
  <c r="AO198" i="4" s="1"/>
  <c r="AQ198" i="4" s="1"/>
  <c r="AU198" i="4" s="1"/>
  <c r="AC125" i="4"/>
  <c r="AR125" i="4" s="1"/>
  <c r="AC154" i="4"/>
  <c r="AR154" i="4" s="1"/>
  <c r="AC138" i="4"/>
  <c r="AR138" i="4" s="1"/>
  <c r="AC186" i="4"/>
  <c r="AR186" i="4" s="1"/>
  <c r="AC183" i="4"/>
  <c r="AR183" i="4" s="1"/>
  <c r="AC200" i="4"/>
  <c r="AO200" i="4" s="1"/>
  <c r="AQ200" i="4" s="1"/>
  <c r="AU200" i="4" s="1"/>
  <c r="AC188" i="4"/>
  <c r="AR188" i="4" s="1"/>
  <c r="AC127" i="4"/>
  <c r="AO127" i="4" s="1"/>
  <c r="AQ127" i="4" s="1"/>
  <c r="AU127" i="4" s="1"/>
  <c r="AC208" i="4"/>
  <c r="AR208" i="4" s="1"/>
  <c r="AC141" i="4"/>
  <c r="AR141" i="4" s="1"/>
  <c r="AC118" i="4"/>
  <c r="AR118" i="4" s="1"/>
  <c r="AC134" i="4"/>
  <c r="AR134" i="4" s="1"/>
  <c r="AC150" i="4"/>
  <c r="AR150" i="4" s="1"/>
  <c r="AC179" i="4"/>
  <c r="AO179" i="4" s="1"/>
  <c r="AQ179" i="4" s="1"/>
  <c r="AU179" i="4" s="1"/>
  <c r="AC119" i="4"/>
  <c r="AR119" i="4" s="1"/>
  <c r="AG124" i="4"/>
  <c r="AS124" i="4" s="1"/>
  <c r="AG175" i="4"/>
  <c r="AS175" i="4" s="1"/>
  <c r="AG159" i="4"/>
  <c r="AS159" i="4" s="1"/>
  <c r="AG129" i="4"/>
  <c r="AS129" i="4" s="1"/>
  <c r="AC171" i="4"/>
  <c r="AO171" i="4" s="1"/>
  <c r="AQ171" i="4" s="1"/>
  <c r="AU171" i="4" s="1"/>
  <c r="AG195" i="4"/>
  <c r="AS195" i="4" s="1"/>
  <c r="AG117" i="4"/>
  <c r="AS117" i="4" s="1"/>
  <c r="AG153" i="4"/>
  <c r="AS153" i="4" s="1"/>
  <c r="AG143" i="4"/>
  <c r="AS143" i="4" s="1"/>
  <c r="AG196" i="4"/>
  <c r="AS196" i="4" s="1"/>
  <c r="AG131" i="4"/>
  <c r="AS131" i="4" s="1"/>
  <c r="AG181" i="4"/>
  <c r="AS181" i="4" s="1"/>
  <c r="AG209" i="4"/>
  <c r="AS209" i="4" s="1"/>
  <c r="AG165" i="4"/>
  <c r="AS165" i="4" s="1"/>
  <c r="AG130" i="4"/>
  <c r="AS130" i="4" s="1"/>
  <c r="AG185" i="4"/>
  <c r="AS185" i="4" s="1"/>
  <c r="AG142" i="4"/>
  <c r="AS142" i="4" s="1"/>
  <c r="AG122" i="4"/>
  <c r="AS122" i="4" s="1"/>
  <c r="AG164" i="4"/>
  <c r="AS164" i="4" s="1"/>
  <c r="AG173" i="4"/>
  <c r="AS173" i="4" s="1"/>
  <c r="AG174" i="4"/>
  <c r="AS174" i="4" s="1"/>
  <c r="AG152" i="4"/>
  <c r="AS152" i="4" s="1"/>
  <c r="AG146" i="4"/>
  <c r="AS146" i="4" s="1"/>
  <c r="AG110" i="4"/>
  <c r="AS110" i="4" s="1"/>
  <c r="AG123" i="4"/>
  <c r="AS123" i="4" s="1"/>
  <c r="AG163" i="4"/>
  <c r="AS163" i="4" s="1"/>
  <c r="AG162" i="4"/>
  <c r="AS162" i="4" s="1"/>
  <c r="AG197" i="4"/>
  <c r="AS197" i="4" s="1"/>
  <c r="AC147" i="4"/>
  <c r="AR147" i="4" s="1"/>
  <c r="AG133" i="4"/>
  <c r="AS133" i="4" s="1"/>
  <c r="AG120" i="4"/>
  <c r="AS120" i="4" s="1"/>
  <c r="AC196" i="4"/>
  <c r="AR196" i="4" s="1"/>
  <c r="AG140" i="4"/>
  <c r="AS140" i="4" s="1"/>
  <c r="AG135" i="4"/>
  <c r="AS135" i="4" s="1"/>
  <c r="AG167" i="4"/>
  <c r="AS167" i="4" s="1"/>
  <c r="AG182" i="4"/>
  <c r="AS182" i="4" s="1"/>
  <c r="AG190" i="4"/>
  <c r="AS190" i="4" s="1"/>
  <c r="AG112" i="4"/>
  <c r="AS112" i="4" s="1"/>
  <c r="AG160" i="4"/>
  <c r="AS160" i="4" s="1"/>
  <c r="AG207" i="4"/>
  <c r="AS207" i="4" s="1"/>
  <c r="AG113" i="4"/>
  <c r="AS113" i="4" s="1"/>
  <c r="AG189" i="4"/>
  <c r="AS189" i="4" s="1"/>
  <c r="AG203" i="4"/>
  <c r="AS203" i="4" s="1"/>
  <c r="AG158" i="4"/>
  <c r="AS158" i="4" s="1"/>
  <c r="AG156" i="4"/>
  <c r="AS156" i="4" s="1"/>
  <c r="AG114" i="4"/>
  <c r="AS114" i="4" s="1"/>
  <c r="AG148" i="4"/>
  <c r="AS148" i="4" s="1"/>
  <c r="AG147" i="4"/>
  <c r="AS147" i="4" s="1"/>
  <c r="AG115" i="4"/>
  <c r="AS115" i="4" s="1"/>
  <c r="AG191" i="4"/>
  <c r="AS191" i="4" s="1"/>
  <c r="AG168" i="4"/>
  <c r="AS168" i="4" s="1"/>
  <c r="AG180" i="4"/>
  <c r="AS180" i="4" s="1"/>
  <c r="AG137" i="4"/>
  <c r="AS137" i="4" s="1"/>
  <c r="AG169" i="4"/>
  <c r="AS169" i="4" s="1"/>
  <c r="AG116" i="4"/>
  <c r="AS116" i="4" s="1"/>
  <c r="AG157" i="4"/>
  <c r="AS157" i="4" s="1"/>
  <c r="AG206" i="4"/>
  <c r="AS206" i="4" s="1"/>
  <c r="AG136" i="4"/>
  <c r="AS136" i="4" s="1"/>
  <c r="AC204" i="4"/>
  <c r="AR204" i="4" s="1"/>
  <c r="AC178" i="4"/>
  <c r="AR178" i="4" s="1"/>
  <c r="AG178" i="4"/>
  <c r="AS178" i="4" s="1"/>
  <c r="AG144" i="4"/>
  <c r="AS144" i="4" s="1"/>
  <c r="AG151" i="4"/>
  <c r="AS151" i="4" s="1"/>
  <c r="AG202" i="4"/>
  <c r="AS202" i="4" s="1"/>
  <c r="AG126" i="4"/>
  <c r="AS126" i="4" s="1"/>
  <c r="AG172" i="4"/>
  <c r="AS172" i="4" s="1"/>
  <c r="AG145" i="4"/>
  <c r="AS145" i="4" s="1"/>
  <c r="AG176" i="4"/>
  <c r="AS176" i="4" s="1"/>
  <c r="AG194" i="4"/>
  <c r="AS194" i="4" s="1"/>
  <c r="AG149" i="4"/>
  <c r="AS149" i="4" s="1"/>
  <c r="AG128" i="4"/>
  <c r="AS128" i="4" s="1"/>
  <c r="AG161" i="4"/>
  <c r="AS161" i="4" s="1"/>
  <c r="AG177" i="4"/>
  <c r="AS177" i="4" s="1"/>
  <c r="AC205" i="4"/>
  <c r="AR205" i="4" s="1"/>
  <c r="AC189" i="4"/>
  <c r="AR189" i="4" s="1"/>
  <c r="AC187" i="4"/>
  <c r="AR187" i="4" s="1"/>
  <c r="AC193" i="4"/>
  <c r="AO193" i="4" s="1"/>
  <c r="AQ193" i="4" s="1"/>
  <c r="AU193" i="4" s="1"/>
  <c r="AC136" i="4"/>
  <c r="AC206" i="4"/>
  <c r="AR206" i="4" s="1"/>
  <c r="AC129" i="4"/>
  <c r="AC199" i="4"/>
  <c r="AR199" i="4" s="1"/>
  <c r="AC197" i="4"/>
  <c r="AR197" i="4" s="1"/>
  <c r="AG20" i="4"/>
  <c r="AS20" i="4" s="1"/>
  <c r="AG58" i="4"/>
  <c r="AS58" i="4" s="1"/>
  <c r="AG64" i="4"/>
  <c r="AS64" i="4" s="1"/>
  <c r="AG98" i="4"/>
  <c r="AS98" i="4" s="1"/>
  <c r="AG54" i="4"/>
  <c r="AS54" i="4" s="1"/>
  <c r="AG74" i="4"/>
  <c r="AS74" i="4" s="1"/>
  <c r="AG59" i="4"/>
  <c r="AS59" i="4" s="1"/>
  <c r="AC155" i="4"/>
  <c r="AR155" i="4" s="1"/>
  <c r="AG66" i="4"/>
  <c r="AS66" i="4" s="1"/>
  <c r="AG94" i="4"/>
  <c r="AS94" i="4" s="1"/>
  <c r="AG14" i="4"/>
  <c r="AS14" i="4" s="1"/>
  <c r="AG84" i="4"/>
  <c r="AS84" i="4" s="1"/>
  <c r="AG48" i="4"/>
  <c r="AS48" i="4" s="1"/>
  <c r="AG82" i="4"/>
  <c r="AS82" i="4" s="1"/>
  <c r="AG80" i="4"/>
  <c r="AS80" i="4" s="1"/>
  <c r="AG9" i="4"/>
  <c r="AS9" i="4" s="1"/>
  <c r="AC190" i="4"/>
  <c r="AR190" i="4" s="1"/>
  <c r="AC53" i="4"/>
  <c r="AC174" i="4"/>
  <c r="AR174" i="4" s="1"/>
  <c r="AG31" i="4"/>
  <c r="AS31" i="4" s="1"/>
  <c r="AG45" i="4"/>
  <c r="AS45" i="4" s="1"/>
  <c r="AG68" i="4"/>
  <c r="AS68" i="4" s="1"/>
  <c r="AG78" i="4"/>
  <c r="AS78" i="4" s="1"/>
  <c r="AG96" i="4"/>
  <c r="AS96" i="4" s="1"/>
  <c r="AG49" i="4"/>
  <c r="AS49" i="4" s="1"/>
  <c r="AG97" i="4"/>
  <c r="AS97" i="4" s="1"/>
  <c r="AG106" i="4"/>
  <c r="AS106" i="4" s="1"/>
  <c r="AG36" i="4"/>
  <c r="AS36" i="4" s="1"/>
  <c r="AG24" i="4"/>
  <c r="AS24" i="4" s="1"/>
  <c r="AG60" i="4"/>
  <c r="AS60" i="4" s="1"/>
  <c r="AC83" i="4"/>
  <c r="AR83" i="4" s="1"/>
  <c r="AC143" i="4"/>
  <c r="AC209" i="4"/>
  <c r="AR209" i="4" s="1"/>
  <c r="AC70" i="4"/>
  <c r="AC24" i="4"/>
  <c r="AC72" i="4"/>
  <c r="AC108" i="4"/>
  <c r="AR108" i="4" s="1"/>
  <c r="AC30" i="4"/>
  <c r="AC163" i="4"/>
  <c r="AR163" i="4" s="1"/>
  <c r="AC142" i="4"/>
  <c r="AR142" i="4" s="1"/>
  <c r="AC114" i="4"/>
  <c r="AR114" i="4" s="1"/>
  <c r="AC85" i="4"/>
  <c r="AR85" i="4" s="1"/>
  <c r="AC102" i="4"/>
  <c r="AR102" i="4" s="1"/>
  <c r="AC94" i="4"/>
  <c r="AR94" i="4" s="1"/>
  <c r="AC27" i="4"/>
  <c r="AC103" i="4"/>
  <c r="AR103" i="4" s="1"/>
  <c r="AG93" i="4"/>
  <c r="AS93" i="4" s="1"/>
  <c r="AC162" i="4"/>
  <c r="AR162" i="4" s="1"/>
  <c r="AC48" i="4"/>
  <c r="AC158" i="4"/>
  <c r="AC46" i="4"/>
  <c r="AC43" i="4"/>
  <c r="AG19" i="4"/>
  <c r="AS19" i="4" s="1"/>
  <c r="AG67" i="4"/>
  <c r="AS67" i="4" s="1"/>
  <c r="AG17" i="4"/>
  <c r="AG76" i="4"/>
  <c r="AS76" i="4" s="1"/>
  <c r="AG47" i="4"/>
  <c r="AS47" i="4" s="1"/>
  <c r="AC148" i="4"/>
  <c r="AR148" i="4" s="1"/>
  <c r="AG90" i="4"/>
  <c r="AS90" i="4" s="1"/>
  <c r="AG46" i="4"/>
  <c r="AS46" i="4" s="1"/>
  <c r="AG91" i="4"/>
  <c r="AS91" i="4" s="1"/>
  <c r="AC181" i="4"/>
  <c r="AR181" i="4" s="1"/>
  <c r="AC51" i="4"/>
  <c r="AG83" i="4"/>
  <c r="AS83" i="4" s="1"/>
  <c r="AG86" i="4"/>
  <c r="AS86" i="4" s="1"/>
  <c r="AG79" i="4"/>
  <c r="AS79" i="4" s="1"/>
  <c r="AG61" i="4"/>
  <c r="AS61" i="4" s="1"/>
  <c r="AG11" i="4"/>
  <c r="AS11" i="4" s="1"/>
  <c r="AG62" i="4"/>
  <c r="AS62" i="4" s="1"/>
  <c r="AG57" i="4"/>
  <c r="AS57" i="4" s="1"/>
  <c r="AG105" i="4"/>
  <c r="AS105" i="4" s="1"/>
  <c r="AC64" i="4"/>
  <c r="AC12" i="4"/>
  <c r="AC71" i="4"/>
  <c r="AC90" i="4"/>
  <c r="AR90" i="4" s="1"/>
  <c r="AC54" i="4"/>
  <c r="AC10" i="4"/>
  <c r="AC99" i="4"/>
  <c r="AR99" i="4" s="1"/>
  <c r="AC50" i="4"/>
  <c r="AC44" i="4"/>
  <c r="AC86" i="4"/>
  <c r="AR86" i="4" s="1"/>
  <c r="AC81" i="4"/>
  <c r="AR81" i="4" s="1"/>
  <c r="AC87" i="4"/>
  <c r="AR87" i="4" s="1"/>
  <c r="AC91" i="4"/>
  <c r="AR91" i="4" s="1"/>
  <c r="AC75" i="4"/>
  <c r="AC37" i="4"/>
  <c r="AC146" i="4"/>
  <c r="AR146" i="4" s="1"/>
  <c r="AC47" i="4"/>
  <c r="AC25" i="4"/>
  <c r="AC88" i="4"/>
  <c r="AR88" i="4" s="1"/>
  <c r="AC79" i="4"/>
  <c r="AC40" i="4"/>
  <c r="AC17" i="4"/>
  <c r="AC19" i="4"/>
  <c r="AC77" i="4"/>
  <c r="AC16" i="4"/>
  <c r="AC105" i="4"/>
  <c r="AR105" i="4" s="1"/>
  <c r="AC89" i="4"/>
  <c r="AR89" i="4" s="1"/>
  <c r="AC76" i="4"/>
  <c r="AC96" i="4"/>
  <c r="AR96" i="4" s="1"/>
  <c r="AC55" i="4"/>
  <c r="AC135" i="4"/>
  <c r="AR135" i="4" s="1"/>
  <c r="AC160" i="4"/>
  <c r="AR160" i="4" s="1"/>
  <c r="AC59" i="4"/>
  <c r="AC78" i="4"/>
  <c r="AC67" i="4"/>
  <c r="AC101" i="4"/>
  <c r="AR101" i="4" s="1"/>
  <c r="AC61" i="4"/>
  <c r="AC42" i="4"/>
  <c r="AC52" i="4"/>
  <c r="AC107" i="4"/>
  <c r="AR107" i="4" s="1"/>
  <c r="AC22" i="4"/>
  <c r="AC57" i="4"/>
  <c r="AC117" i="4"/>
  <c r="AR117" i="4" s="1"/>
  <c r="AC23" i="4"/>
  <c r="AC35" i="4"/>
  <c r="AC33" i="4"/>
  <c r="AC29" i="4"/>
  <c r="AC60" i="4"/>
  <c r="AC13" i="4"/>
  <c r="AC45" i="4"/>
  <c r="AC63" i="4"/>
  <c r="AC92" i="4"/>
  <c r="AR92" i="4" s="1"/>
  <c r="AC69" i="4"/>
  <c r="AC39" i="4"/>
  <c r="AC93" i="4"/>
  <c r="AR93" i="4" s="1"/>
  <c r="AC28" i="4"/>
  <c r="AC36" i="4"/>
  <c r="AG77" i="4"/>
  <c r="AS77" i="4" s="1"/>
  <c r="AG40" i="4"/>
  <c r="AS40" i="4" s="1"/>
  <c r="AG50" i="4"/>
  <c r="AS50" i="4" s="1"/>
  <c r="AG25" i="4"/>
  <c r="AS25" i="4" s="1"/>
  <c r="AC175" i="4"/>
  <c r="AC15" i="4"/>
  <c r="AG73" i="4"/>
  <c r="AS73" i="4" s="1"/>
  <c r="AG41" i="4"/>
  <c r="AS41" i="4" s="1"/>
  <c r="AC176" i="4"/>
  <c r="AR176" i="4" s="1"/>
  <c r="AC82" i="4"/>
  <c r="AR82" i="4" s="1"/>
  <c r="AC26" i="4"/>
  <c r="AC31" i="4"/>
  <c r="AC14" i="4"/>
  <c r="AC18" i="4"/>
  <c r="AC38" i="4"/>
  <c r="AC34" i="4"/>
  <c r="AC80" i="4"/>
  <c r="AC156" i="4"/>
  <c r="AR156" i="4" s="1"/>
  <c r="AC149" i="4"/>
  <c r="AC32" i="4"/>
  <c r="AC66" i="4"/>
  <c r="AC84" i="4"/>
  <c r="AR84" i="4" s="1"/>
  <c r="AC95" i="4"/>
  <c r="AR95" i="4" s="1"/>
  <c r="AC73" i="4"/>
  <c r="AC62" i="4"/>
  <c r="AC112" i="4"/>
  <c r="AR112" i="4" s="1"/>
  <c r="AC74" i="4"/>
  <c r="AC106" i="4"/>
  <c r="AR106" i="4" s="1"/>
  <c r="AG102" i="4"/>
  <c r="AS102" i="4" s="1"/>
  <c r="AC195" i="4"/>
  <c r="AR195" i="4" s="1"/>
  <c r="AC144" i="4"/>
  <c r="AR144" i="4" s="1"/>
  <c r="AC41" i="4"/>
  <c r="AC11" i="4"/>
  <c r="AC58" i="4"/>
  <c r="AC98" i="4"/>
  <c r="AR98" i="4" s="1"/>
  <c r="AC20" i="4"/>
  <c r="AC180" i="4"/>
  <c r="AR180" i="4" s="1"/>
  <c r="AC203" i="4"/>
  <c r="AR203" i="4" s="1"/>
  <c r="AC100" i="4"/>
  <c r="AR100" i="4" s="1"/>
  <c r="AC49" i="4"/>
  <c r="AC9" i="4"/>
  <c r="AC104" i="4"/>
  <c r="AR104" i="4" s="1"/>
  <c r="AC56" i="4"/>
  <c r="AC97" i="4"/>
  <c r="AR97" i="4" s="1"/>
  <c r="AC109" i="4"/>
  <c r="AR109" i="4" s="1"/>
  <c r="AC68" i="4"/>
  <c r="AC21" i="4"/>
  <c r="AG12" i="4"/>
  <c r="AS12" i="4" s="1"/>
  <c r="AG63" i="4"/>
  <c r="AS63" i="4" s="1"/>
  <c r="AG34" i="4"/>
  <c r="AS34" i="4" s="1"/>
  <c r="AG70" i="4"/>
  <c r="AS70" i="4" s="1"/>
  <c r="AG13" i="4"/>
  <c r="AS13" i="4" s="1"/>
  <c r="AG103" i="4"/>
  <c r="AS103" i="4" s="1"/>
  <c r="AG53" i="4"/>
  <c r="AS53" i="4" s="1"/>
  <c r="AG38" i="4"/>
  <c r="AS38" i="4" s="1"/>
  <c r="AG85" i="4"/>
  <c r="AS85" i="4" s="1"/>
  <c r="AG39" i="4"/>
  <c r="AS39" i="4" s="1"/>
  <c r="AG43" i="4"/>
  <c r="AS43" i="4" s="1"/>
  <c r="AG44" i="4"/>
  <c r="AS44" i="4" s="1"/>
  <c r="AG109" i="4"/>
  <c r="AS109" i="4" s="1"/>
  <c r="AG104" i="4"/>
  <c r="AS104" i="4" s="1"/>
  <c r="AG69" i="4"/>
  <c r="AS69" i="4" s="1"/>
  <c r="AG35" i="4"/>
  <c r="AS35" i="4" s="1"/>
  <c r="AG18" i="4"/>
  <c r="AS18" i="4" s="1"/>
  <c r="AG100" i="4"/>
  <c r="AS100" i="4" s="1"/>
  <c r="AG26" i="4"/>
  <c r="AS26" i="4" s="1"/>
  <c r="AG23" i="4"/>
  <c r="AS23" i="4" s="1"/>
  <c r="M65" i="4"/>
  <c r="AA65" i="4" s="1"/>
  <c r="AB65" i="4"/>
  <c r="AF65" i="4"/>
  <c r="Z65" i="4"/>
  <c r="AC145" i="4"/>
  <c r="AR145" i="4" s="1"/>
  <c r="AC133" i="4"/>
  <c r="AR133" i="4" s="1"/>
  <c r="AC110" i="4"/>
  <c r="AR110" i="4" s="1"/>
  <c r="AC191" i="4"/>
  <c r="AR191" i="4" s="1"/>
  <c r="AC159" i="4"/>
  <c r="AC164" i="4"/>
  <c r="AC152" i="4"/>
  <c r="AC177" i="4"/>
  <c r="AR177" i="4" s="1"/>
  <c r="AC128" i="4"/>
  <c r="AR128" i="4" s="1"/>
  <c r="AC167" i="4"/>
  <c r="AC173" i="4"/>
  <c r="AR173" i="4" s="1"/>
  <c r="AC120" i="4"/>
  <c r="AC153" i="4"/>
  <c r="AR153" i="4" s="1"/>
  <c r="AC137" i="4"/>
  <c r="AC172" i="4"/>
  <c r="AR172" i="4" s="1"/>
  <c r="AC131" i="4"/>
  <c r="AC185" i="4"/>
  <c r="AC116" i="4"/>
  <c r="AR116" i="4" s="1"/>
  <c r="AC124" i="4"/>
  <c r="AR124" i="4" s="1"/>
  <c r="AC122" i="4"/>
  <c r="AR122" i="4" s="1"/>
  <c r="AC151" i="4"/>
  <c r="AR151" i="4" s="1"/>
  <c r="AC207" i="4"/>
  <c r="AR207" i="4" s="1"/>
  <c r="AC115" i="4"/>
  <c r="AR115" i="4" s="1"/>
  <c r="AC157" i="4"/>
  <c r="AR157" i="4" s="1"/>
  <c r="AC169" i="4"/>
  <c r="AR169" i="4" s="1"/>
  <c r="AC182" i="4"/>
  <c r="AR182" i="4" s="1"/>
  <c r="AC202" i="4"/>
  <c r="AC123" i="4"/>
  <c r="AC140" i="4"/>
  <c r="AR140" i="4" s="1"/>
  <c r="AC113" i="4"/>
  <c r="AC130" i="4"/>
  <c r="AC126" i="4"/>
  <c r="AC161" i="4"/>
  <c r="AC165" i="4"/>
  <c r="AR111" i="4"/>
  <c r="AO111" i="4"/>
  <c r="AQ111" i="4" s="1"/>
  <c r="AU111" i="4" s="1"/>
  <c r="AC168" i="4"/>
  <c r="AC194" i="4"/>
  <c r="A265" i="2"/>
  <c r="AE65" i="4"/>
  <c r="AH65" i="4"/>
  <c r="R6" i="8"/>
  <c r="R5" i="8"/>
  <c r="S5" i="8" s="1"/>
  <c r="B265" i="2"/>
  <c r="C265" i="2"/>
  <c r="BM40" i="3"/>
  <c r="C53" i="16"/>
  <c r="D53" i="16" s="1"/>
  <c r="B139" i="2"/>
  <c r="A253" i="2" s="1"/>
  <c r="C39" i="16"/>
  <c r="D39" i="16" s="1"/>
  <c r="A237" i="2"/>
  <c r="B237" i="2"/>
  <c r="B142" i="2"/>
  <c r="A256" i="2" s="1"/>
  <c r="B78" i="1"/>
  <c r="E3" i="8"/>
  <c r="E159" i="8" s="1"/>
  <c r="E158" i="8" s="1"/>
  <c r="E157" i="8" s="1"/>
  <c r="E156" i="8" s="1"/>
  <c r="E155" i="8" s="1"/>
  <c r="E154" i="8" s="1"/>
  <c r="E153" i="8" s="1"/>
  <c r="E152" i="8" s="1"/>
  <c r="E151" i="8" s="1"/>
  <c r="E150" i="8" s="1"/>
  <c r="E149" i="8" s="1"/>
  <c r="E148" i="8" s="1"/>
  <c r="E147" i="8" s="1"/>
  <c r="E146" i="8" s="1"/>
  <c r="E145" i="8" s="1"/>
  <c r="E144" i="8" s="1"/>
  <c r="E143" i="8" s="1"/>
  <c r="E142" i="8" s="1"/>
  <c r="E141" i="8" s="1"/>
  <c r="E140" i="8" s="1"/>
  <c r="E139" i="8" s="1"/>
  <c r="E138" i="8" s="1"/>
  <c r="E137" i="8" s="1"/>
  <c r="E136" i="8" s="1"/>
  <c r="E135" i="8" s="1"/>
  <c r="E134" i="8" s="1"/>
  <c r="E133" i="8" s="1"/>
  <c r="E132" i="8" s="1"/>
  <c r="E131" i="8" s="1"/>
  <c r="E130" i="8" s="1"/>
  <c r="E129" i="8" s="1"/>
  <c r="E128" i="8" s="1"/>
  <c r="E127" i="8" s="1"/>
  <c r="E126" i="8" s="1"/>
  <c r="E125" i="8" s="1"/>
  <c r="E124" i="8" s="1"/>
  <c r="E123" i="8" s="1"/>
  <c r="E122" i="8" s="1"/>
  <c r="E121" i="8" s="1"/>
  <c r="E120" i="8" s="1"/>
  <c r="E119" i="8" s="1"/>
  <c r="E118" i="8" s="1"/>
  <c r="E117" i="8" s="1"/>
  <c r="E116" i="8" s="1"/>
  <c r="E115" i="8" s="1"/>
  <c r="E114" i="8" s="1"/>
  <c r="E113" i="8" s="1"/>
  <c r="E112" i="8" s="1"/>
  <c r="E111" i="8" s="1"/>
  <c r="E110" i="8" s="1"/>
  <c r="E109" i="8" s="1"/>
  <c r="E108" i="8" s="1"/>
  <c r="E107" i="8" s="1"/>
  <c r="E106" i="8" s="1"/>
  <c r="E105" i="8" s="1"/>
  <c r="E104" i="8" s="1"/>
  <c r="E103" i="8" s="1"/>
  <c r="E102" i="8" s="1"/>
  <c r="E101" i="8" s="1"/>
  <c r="E100" i="8" s="1"/>
  <c r="E99" i="8" s="1"/>
  <c r="E98" i="8" s="1"/>
  <c r="E97" i="8" s="1"/>
  <c r="E96" i="8" s="1"/>
  <c r="E95" i="8" s="1"/>
  <c r="E94" i="8" s="1"/>
  <c r="E93" i="8" s="1"/>
  <c r="E92" i="8" s="1"/>
  <c r="E91" i="8" s="1"/>
  <c r="E90" i="8" s="1"/>
  <c r="E89" i="8" s="1"/>
  <c r="E88" i="8" s="1"/>
  <c r="E87" i="8" s="1"/>
  <c r="E86" i="8" s="1"/>
  <c r="E85" i="8" s="1"/>
  <c r="E84" i="8" s="1"/>
  <c r="E83" i="8" s="1"/>
  <c r="E82" i="8" s="1"/>
  <c r="E81" i="8" s="1"/>
  <c r="E80" i="8" s="1"/>
  <c r="E79" i="8" s="1"/>
  <c r="E78" i="8" s="1"/>
  <c r="E77" i="8" s="1"/>
  <c r="E76" i="8" s="1"/>
  <c r="E75" i="8" s="1"/>
  <c r="E74" i="8" s="1"/>
  <c r="E73" i="8" s="1"/>
  <c r="E72" i="8" s="1"/>
  <c r="E71" i="8" s="1"/>
  <c r="E70" i="8" s="1"/>
  <c r="E69" i="8" s="1"/>
  <c r="E68" i="8" s="1"/>
  <c r="E67" i="8" s="1"/>
  <c r="E66" i="8" s="1"/>
  <c r="E65" i="8" s="1"/>
  <c r="E64" i="8" s="1"/>
  <c r="E63" i="8" s="1"/>
  <c r="E62" i="8" s="1"/>
  <c r="E61" i="8" s="1"/>
  <c r="E60" i="8" s="1"/>
  <c r="E59" i="8" s="1"/>
  <c r="E58" i="8" s="1"/>
  <c r="E57" i="8" s="1"/>
  <c r="E56" i="8" s="1"/>
  <c r="E55" i="8" s="1"/>
  <c r="E54" i="8" s="1"/>
  <c r="E53" i="8" s="1"/>
  <c r="E52" i="8" s="1"/>
  <c r="E51" i="8" s="1"/>
  <c r="E50" i="8" s="1"/>
  <c r="E49" i="8" s="1"/>
  <c r="E48" i="8" s="1"/>
  <c r="E47" i="8" s="1"/>
  <c r="E46" i="8" s="1"/>
  <c r="E45" i="8" s="1"/>
  <c r="E44" i="8" s="1"/>
  <c r="E43" i="8" s="1"/>
  <c r="E42" i="8" s="1"/>
  <c r="E41" i="8" s="1"/>
  <c r="E40" i="8" s="1"/>
  <c r="E39" i="8" s="1"/>
  <c r="E38" i="8" s="1"/>
  <c r="E37" i="8" s="1"/>
  <c r="E36" i="8" s="1"/>
  <c r="E35" i="8" s="1"/>
  <c r="E34" i="8" s="1"/>
  <c r="E33" i="8" s="1"/>
  <c r="E32" i="8" s="1"/>
  <c r="E31" i="8" s="1"/>
  <c r="E30" i="8" s="1"/>
  <c r="E29" i="8" s="1"/>
  <c r="E28" i="8" s="1"/>
  <c r="E27" i="8" s="1"/>
  <c r="E26" i="8" s="1"/>
  <c r="E25" i="8" s="1"/>
  <c r="E24" i="8" s="1"/>
  <c r="E23" i="8" s="1"/>
  <c r="E22" i="8" s="1"/>
  <c r="E21" i="8" s="1"/>
  <c r="E20" i="8" s="1"/>
  <c r="E19" i="8" s="1"/>
  <c r="E18" i="8" s="1"/>
  <c r="E17" i="8" s="1"/>
  <c r="E16" i="8" s="1"/>
  <c r="E15" i="8" s="1"/>
  <c r="E14" i="8" s="1"/>
  <c r="E13" i="8" s="1"/>
  <c r="E12" i="8" s="1"/>
  <c r="E11" i="8" s="1"/>
  <c r="E10" i="8" s="1"/>
  <c r="E9" i="8" s="1"/>
  <c r="E8" i="8" s="1"/>
  <c r="E7" i="8" s="1"/>
  <c r="E6" i="8" s="1"/>
  <c r="E4" i="8" s="1"/>
  <c r="S31" i="8" s="1"/>
  <c r="C78" i="1" s="1"/>
  <c r="D78" i="1" s="1"/>
  <c r="B76" i="1"/>
  <c r="D3" i="8"/>
  <c r="D159" i="8" s="1"/>
  <c r="D158" i="8" s="1"/>
  <c r="D157" i="8" s="1"/>
  <c r="D156" i="8" s="1"/>
  <c r="D155" i="8" s="1"/>
  <c r="D154" i="8" s="1"/>
  <c r="D153" i="8" s="1"/>
  <c r="D152" i="8" s="1"/>
  <c r="D151" i="8" s="1"/>
  <c r="D150" i="8" s="1"/>
  <c r="D149" i="8" s="1"/>
  <c r="D148" i="8" s="1"/>
  <c r="D147" i="8" s="1"/>
  <c r="D146" i="8" s="1"/>
  <c r="D145" i="8" s="1"/>
  <c r="D144" i="8" s="1"/>
  <c r="D143" i="8" s="1"/>
  <c r="D142" i="8" s="1"/>
  <c r="D141" i="8" s="1"/>
  <c r="D140" i="8" s="1"/>
  <c r="D139" i="8" s="1"/>
  <c r="D138" i="8" s="1"/>
  <c r="D137" i="8" s="1"/>
  <c r="D136" i="8" s="1"/>
  <c r="D135" i="8" s="1"/>
  <c r="D134" i="8" s="1"/>
  <c r="D133" i="8" s="1"/>
  <c r="D132" i="8" s="1"/>
  <c r="D131" i="8" s="1"/>
  <c r="D130" i="8" s="1"/>
  <c r="D129" i="8" s="1"/>
  <c r="D128" i="8" s="1"/>
  <c r="D127" i="8" s="1"/>
  <c r="D126" i="8" s="1"/>
  <c r="D125" i="8" s="1"/>
  <c r="D124" i="8" s="1"/>
  <c r="D123" i="8" s="1"/>
  <c r="D122" i="8" s="1"/>
  <c r="D121" i="8" s="1"/>
  <c r="D120" i="8" s="1"/>
  <c r="D119" i="8" s="1"/>
  <c r="D118" i="8" s="1"/>
  <c r="D117" i="8" s="1"/>
  <c r="D116" i="8" s="1"/>
  <c r="D115" i="8" s="1"/>
  <c r="D114" i="8" s="1"/>
  <c r="D113" i="8" s="1"/>
  <c r="D112" i="8" s="1"/>
  <c r="D111" i="8" s="1"/>
  <c r="D110" i="8" s="1"/>
  <c r="D109" i="8" s="1"/>
  <c r="D108" i="8" s="1"/>
  <c r="D107" i="8" s="1"/>
  <c r="D106" i="8" s="1"/>
  <c r="D105" i="8" s="1"/>
  <c r="D104" i="8" s="1"/>
  <c r="D103" i="8" s="1"/>
  <c r="D102" i="8" s="1"/>
  <c r="D101" i="8" s="1"/>
  <c r="D100" i="8" s="1"/>
  <c r="D99" i="8" s="1"/>
  <c r="D98" i="8" s="1"/>
  <c r="D97" i="8" s="1"/>
  <c r="D96" i="8" s="1"/>
  <c r="D95" i="8" s="1"/>
  <c r="D94" i="8" s="1"/>
  <c r="D93" i="8" s="1"/>
  <c r="D92" i="8" s="1"/>
  <c r="D91" i="8" s="1"/>
  <c r="D90" i="8" s="1"/>
  <c r="D89" i="8" s="1"/>
  <c r="D88" i="8" s="1"/>
  <c r="D87" i="8" s="1"/>
  <c r="D86" i="8" s="1"/>
  <c r="D85" i="8" s="1"/>
  <c r="D84" i="8" s="1"/>
  <c r="D83" i="8" s="1"/>
  <c r="D82" i="8" s="1"/>
  <c r="D81" i="8" s="1"/>
  <c r="D80" i="8" s="1"/>
  <c r="D79" i="8" s="1"/>
  <c r="D78" i="8" s="1"/>
  <c r="D77" i="8" s="1"/>
  <c r="D76" i="8" s="1"/>
  <c r="D75" i="8" s="1"/>
  <c r="D74" i="8" s="1"/>
  <c r="D73" i="8" s="1"/>
  <c r="D72" i="8" s="1"/>
  <c r="D71" i="8" s="1"/>
  <c r="D70" i="8" s="1"/>
  <c r="D69" i="8" s="1"/>
  <c r="D68" i="8" s="1"/>
  <c r="D67" i="8" s="1"/>
  <c r="D66" i="8" s="1"/>
  <c r="D65" i="8" s="1"/>
  <c r="D64" i="8" s="1"/>
  <c r="D63" i="8" s="1"/>
  <c r="D62" i="8" s="1"/>
  <c r="D61" i="8" s="1"/>
  <c r="D60" i="8" s="1"/>
  <c r="D59" i="8" s="1"/>
  <c r="D58" i="8" s="1"/>
  <c r="D57" i="8" s="1"/>
  <c r="D56" i="8" s="1"/>
  <c r="D55" i="8" s="1"/>
  <c r="D54" i="8" s="1"/>
  <c r="D53" i="8" s="1"/>
  <c r="D52" i="8" s="1"/>
  <c r="D51" i="8" s="1"/>
  <c r="D50" i="8" s="1"/>
  <c r="D49" i="8" s="1"/>
  <c r="D48" i="8" s="1"/>
  <c r="D47" i="8" s="1"/>
  <c r="D46" i="8" s="1"/>
  <c r="D45" i="8" s="1"/>
  <c r="D44" i="8" s="1"/>
  <c r="D43" i="8" s="1"/>
  <c r="D42" i="8" s="1"/>
  <c r="D41" i="8" s="1"/>
  <c r="D40" i="8" s="1"/>
  <c r="D39" i="8" s="1"/>
  <c r="D38" i="8" s="1"/>
  <c r="D37" i="8" s="1"/>
  <c r="D36" i="8" s="1"/>
  <c r="D35" i="8" s="1"/>
  <c r="D34" i="8" s="1"/>
  <c r="D33" i="8" s="1"/>
  <c r="D32" i="8" s="1"/>
  <c r="D31" i="8" s="1"/>
  <c r="D30" i="8" s="1"/>
  <c r="D29" i="8" s="1"/>
  <c r="D28" i="8" s="1"/>
  <c r="D27" i="8" s="1"/>
  <c r="D26" i="8" s="1"/>
  <c r="D25" i="8" s="1"/>
  <c r="D24" i="8" s="1"/>
  <c r="D23" i="8" s="1"/>
  <c r="D22" i="8" s="1"/>
  <c r="D21" i="8" s="1"/>
  <c r="D20" i="8" s="1"/>
  <c r="D19" i="8" s="1"/>
  <c r="D18" i="8" s="1"/>
  <c r="D17" i="8" s="1"/>
  <c r="D16" i="8" s="1"/>
  <c r="D15" i="8" s="1"/>
  <c r="D14" i="8" s="1"/>
  <c r="D13" i="8" s="1"/>
  <c r="D12" i="8" s="1"/>
  <c r="D11" i="8" s="1"/>
  <c r="D10" i="8" s="1"/>
  <c r="D9" i="8" s="1"/>
  <c r="D8" i="8" s="1"/>
  <c r="D7" i="8" s="1"/>
  <c r="D6" i="8" s="1"/>
  <c r="D4" i="8" s="1"/>
  <c r="S29" i="8" s="1"/>
  <c r="C76" i="1" s="1"/>
  <c r="D76" i="1" s="1"/>
  <c r="R30" i="8"/>
  <c r="R28" i="8"/>
  <c r="AQ41" i="3"/>
  <c r="AR41" i="3"/>
  <c r="A42" i="3"/>
  <c r="B41" i="3"/>
  <c r="D41" i="3"/>
  <c r="C41" i="3"/>
  <c r="G41" i="3"/>
  <c r="H41" i="3" s="1"/>
  <c r="F41" i="3"/>
  <c r="BN40" i="3"/>
  <c r="AO139" i="4" l="1"/>
  <c r="AQ139" i="4" s="1"/>
  <c r="AU139" i="4" s="1"/>
  <c r="AR132" i="4"/>
  <c r="AO79" i="4"/>
  <c r="AQ79" i="4" s="1"/>
  <c r="AU79" i="4" s="1"/>
  <c r="AR14" i="4"/>
  <c r="AO14" i="4"/>
  <c r="AQ14" i="4" s="1"/>
  <c r="AU14" i="4" s="1"/>
  <c r="AO42" i="4"/>
  <c r="AQ42" i="4" s="1"/>
  <c r="AU42" i="4" s="1"/>
  <c r="AR20" i="4"/>
  <c r="AO20" i="4"/>
  <c r="AQ20" i="4" s="1"/>
  <c r="AU20" i="4" s="1"/>
  <c r="AR32" i="4"/>
  <c r="AO32" i="4"/>
  <c r="AQ32" i="4" s="1"/>
  <c r="AU32" i="4" s="1"/>
  <c r="AR31" i="4"/>
  <c r="AO31" i="4"/>
  <c r="AQ31" i="4" s="1"/>
  <c r="AU31" i="4" s="1"/>
  <c r="AR69" i="4"/>
  <c r="AO69" i="4"/>
  <c r="AQ69" i="4" s="1"/>
  <c r="AU69" i="4" s="1"/>
  <c r="AR35" i="4"/>
  <c r="AO35" i="4"/>
  <c r="AQ35" i="4" s="1"/>
  <c r="AU35" i="4" s="1"/>
  <c r="AR61" i="4"/>
  <c r="AO61" i="4"/>
  <c r="AQ61" i="4" s="1"/>
  <c r="AU61" i="4" s="1"/>
  <c r="AR40" i="4"/>
  <c r="AO40" i="4"/>
  <c r="AQ40" i="4" s="1"/>
  <c r="AU40" i="4" s="1"/>
  <c r="AR54" i="4"/>
  <c r="AO54" i="4"/>
  <c r="AQ54" i="4" s="1"/>
  <c r="AU54" i="4" s="1"/>
  <c r="AR43" i="4"/>
  <c r="AO43" i="4"/>
  <c r="AQ43" i="4" s="1"/>
  <c r="AU43" i="4" s="1"/>
  <c r="AR72" i="4"/>
  <c r="AO72" i="4"/>
  <c r="AQ72" i="4" s="1"/>
  <c r="AU72" i="4" s="1"/>
  <c r="AR33" i="4"/>
  <c r="AO33" i="4"/>
  <c r="AQ33" i="4" s="1"/>
  <c r="AU33" i="4" s="1"/>
  <c r="AR10" i="4"/>
  <c r="AO10" i="4"/>
  <c r="AQ10" i="4" s="1"/>
  <c r="AU10" i="4" s="1"/>
  <c r="AR56" i="4"/>
  <c r="AO56" i="4"/>
  <c r="AQ56" i="4" s="1"/>
  <c r="AU56" i="4" s="1"/>
  <c r="AR74" i="4"/>
  <c r="AO74" i="4"/>
  <c r="AQ74" i="4" s="1"/>
  <c r="AU74" i="4" s="1"/>
  <c r="AR26" i="4"/>
  <c r="AO26" i="4"/>
  <c r="AQ26" i="4" s="1"/>
  <c r="AU26" i="4" s="1"/>
  <c r="AR23" i="4"/>
  <c r="AO23" i="4"/>
  <c r="AQ23" i="4" s="1"/>
  <c r="AU23" i="4" s="1"/>
  <c r="AR76" i="4"/>
  <c r="AO76" i="4"/>
  <c r="AQ76" i="4" s="1"/>
  <c r="AU76" i="4" s="1"/>
  <c r="AR46" i="4"/>
  <c r="AO46" i="4"/>
  <c r="AQ46" i="4" s="1"/>
  <c r="AU46" i="4" s="1"/>
  <c r="AR24" i="4"/>
  <c r="AO24" i="4"/>
  <c r="AQ24" i="4" s="1"/>
  <c r="AU24" i="4" s="1"/>
  <c r="AR66" i="4"/>
  <c r="AO66" i="4"/>
  <c r="AQ66" i="4" s="1"/>
  <c r="AU66" i="4" s="1"/>
  <c r="AR75" i="4"/>
  <c r="AO75" i="4"/>
  <c r="AQ75" i="4" s="1"/>
  <c r="AU75" i="4" s="1"/>
  <c r="AR27" i="4"/>
  <c r="AO27" i="4"/>
  <c r="AQ27" i="4" s="1"/>
  <c r="AU27" i="4" s="1"/>
  <c r="AR58" i="4"/>
  <c r="AO58" i="4"/>
  <c r="AQ58" i="4" s="1"/>
  <c r="AU58" i="4" s="1"/>
  <c r="AR63" i="4"/>
  <c r="AO63" i="4"/>
  <c r="AQ63" i="4" s="1"/>
  <c r="AU63" i="4" s="1"/>
  <c r="AR67" i="4"/>
  <c r="AO67" i="4"/>
  <c r="AQ67" i="4" s="1"/>
  <c r="AU67" i="4" s="1"/>
  <c r="AR71" i="4"/>
  <c r="AO71" i="4"/>
  <c r="AQ71" i="4" s="1"/>
  <c r="AU71" i="4" s="1"/>
  <c r="AR70" i="4"/>
  <c r="AO70" i="4"/>
  <c r="AQ70" i="4" s="1"/>
  <c r="AU70" i="4" s="1"/>
  <c r="AR53" i="4"/>
  <c r="AO53" i="4"/>
  <c r="AQ53" i="4" s="1"/>
  <c r="AU53" i="4" s="1"/>
  <c r="AR9" i="4"/>
  <c r="AO9" i="4"/>
  <c r="AQ9" i="4" s="1"/>
  <c r="AU9" i="4" s="1"/>
  <c r="AR11" i="4"/>
  <c r="AO11" i="4"/>
  <c r="AQ11" i="4" s="1"/>
  <c r="AU11" i="4" s="1"/>
  <c r="AR62" i="4"/>
  <c r="AO62" i="4"/>
  <c r="AQ62" i="4" s="1"/>
  <c r="AU62" i="4" s="1"/>
  <c r="AR80" i="4"/>
  <c r="AO80" i="4"/>
  <c r="AQ80" i="4" s="1"/>
  <c r="AU80" i="4" s="1"/>
  <c r="AR45" i="4"/>
  <c r="AO45" i="4"/>
  <c r="AQ45" i="4" s="1"/>
  <c r="AU45" i="4" s="1"/>
  <c r="AR57" i="4"/>
  <c r="AO57" i="4"/>
  <c r="AQ57" i="4" s="1"/>
  <c r="AU57" i="4" s="1"/>
  <c r="AR78" i="4"/>
  <c r="AO78" i="4"/>
  <c r="AQ78" i="4" s="1"/>
  <c r="AU78" i="4" s="1"/>
  <c r="AR25" i="4"/>
  <c r="AO25" i="4"/>
  <c r="AQ25" i="4" s="1"/>
  <c r="AU25" i="4" s="1"/>
  <c r="AR12" i="4"/>
  <c r="AO12" i="4"/>
  <c r="AQ12" i="4" s="1"/>
  <c r="AU12" i="4" s="1"/>
  <c r="AR48" i="4"/>
  <c r="AO48" i="4"/>
  <c r="AQ48" i="4" s="1"/>
  <c r="AU48" i="4" s="1"/>
  <c r="AR17" i="4"/>
  <c r="AO17" i="4"/>
  <c r="AQ17" i="4" s="1"/>
  <c r="AU17" i="4" s="1"/>
  <c r="AR49" i="4"/>
  <c r="AO49" i="4"/>
  <c r="AQ49" i="4" s="1"/>
  <c r="AU49" i="4" s="1"/>
  <c r="AR41" i="4"/>
  <c r="AO41" i="4"/>
  <c r="AQ41" i="4" s="1"/>
  <c r="AU41" i="4" s="1"/>
  <c r="AR73" i="4"/>
  <c r="AO73" i="4"/>
  <c r="AQ73" i="4" s="1"/>
  <c r="AU73" i="4" s="1"/>
  <c r="AR34" i="4"/>
  <c r="AO34" i="4"/>
  <c r="AQ34" i="4" s="1"/>
  <c r="AU34" i="4" s="1"/>
  <c r="AR36" i="4"/>
  <c r="AO36" i="4"/>
  <c r="AQ36" i="4" s="1"/>
  <c r="AU36" i="4" s="1"/>
  <c r="AR13" i="4"/>
  <c r="AO13" i="4"/>
  <c r="AQ13" i="4" s="1"/>
  <c r="AU13" i="4" s="1"/>
  <c r="AR22" i="4"/>
  <c r="AO22" i="4"/>
  <c r="AQ22" i="4" s="1"/>
  <c r="AU22" i="4" s="1"/>
  <c r="AR59" i="4"/>
  <c r="AO59" i="4"/>
  <c r="AQ59" i="4" s="1"/>
  <c r="AU59" i="4" s="1"/>
  <c r="AR16" i="4"/>
  <c r="AO16" i="4"/>
  <c r="AQ16" i="4" s="1"/>
  <c r="AU16" i="4" s="1"/>
  <c r="AR47" i="4"/>
  <c r="AO47" i="4"/>
  <c r="AQ47" i="4" s="1"/>
  <c r="AU47" i="4" s="1"/>
  <c r="AR44" i="4"/>
  <c r="AO44" i="4"/>
  <c r="AQ44" i="4" s="1"/>
  <c r="AU44" i="4" s="1"/>
  <c r="AR64" i="4"/>
  <c r="AO64" i="4"/>
  <c r="AQ64" i="4" s="1"/>
  <c r="AU64" i="4" s="1"/>
  <c r="AR21" i="4"/>
  <c r="AO21" i="4"/>
  <c r="AQ21" i="4" s="1"/>
  <c r="AU21" i="4" s="1"/>
  <c r="AR38" i="4"/>
  <c r="AO38" i="4"/>
  <c r="AQ38" i="4" s="1"/>
  <c r="AU38" i="4" s="1"/>
  <c r="AR28" i="4"/>
  <c r="AO28" i="4"/>
  <c r="AQ28" i="4" s="1"/>
  <c r="AU28" i="4" s="1"/>
  <c r="AR60" i="4"/>
  <c r="AO60" i="4"/>
  <c r="AQ60" i="4" s="1"/>
  <c r="AU60" i="4" s="1"/>
  <c r="AR77" i="4"/>
  <c r="AO77" i="4"/>
  <c r="AQ77" i="4" s="1"/>
  <c r="AU77" i="4" s="1"/>
  <c r="AR50" i="4"/>
  <c r="AO50" i="4"/>
  <c r="AQ50" i="4" s="1"/>
  <c r="AU50" i="4" s="1"/>
  <c r="AR51" i="4"/>
  <c r="AO51" i="4"/>
  <c r="AQ51" i="4" s="1"/>
  <c r="AU51" i="4" s="1"/>
  <c r="AR39" i="4"/>
  <c r="AO39" i="4"/>
  <c r="AQ39" i="4" s="1"/>
  <c r="AU39" i="4" s="1"/>
  <c r="AR55" i="4"/>
  <c r="AO55" i="4"/>
  <c r="AQ55" i="4" s="1"/>
  <c r="AU55" i="4" s="1"/>
  <c r="AR68" i="4"/>
  <c r="AO68" i="4"/>
  <c r="AQ68" i="4" s="1"/>
  <c r="AU68" i="4" s="1"/>
  <c r="AR18" i="4"/>
  <c r="AO18" i="4"/>
  <c r="AQ18" i="4" s="1"/>
  <c r="AU18" i="4" s="1"/>
  <c r="AR15" i="4"/>
  <c r="AO15" i="4"/>
  <c r="AQ15" i="4" s="1"/>
  <c r="AU15" i="4" s="1"/>
  <c r="AR29" i="4"/>
  <c r="AO29" i="4"/>
  <c r="AQ29" i="4" s="1"/>
  <c r="AU29" i="4" s="1"/>
  <c r="AR52" i="4"/>
  <c r="AO52" i="4"/>
  <c r="AQ52" i="4" s="1"/>
  <c r="AU52" i="4" s="1"/>
  <c r="AR19" i="4"/>
  <c r="AO19" i="4"/>
  <c r="AQ19" i="4" s="1"/>
  <c r="AU19" i="4" s="1"/>
  <c r="AR37" i="4"/>
  <c r="AO37" i="4"/>
  <c r="AQ37" i="4" s="1"/>
  <c r="AU37" i="4" s="1"/>
  <c r="AR30" i="4"/>
  <c r="AO30" i="4"/>
  <c r="AQ30" i="4" s="1"/>
  <c r="AU30" i="4" s="1"/>
  <c r="AO136" i="4"/>
  <c r="AQ136" i="4" s="1"/>
  <c r="AU136" i="4" s="1"/>
  <c r="AO184" i="4"/>
  <c r="AQ184" i="4" s="1"/>
  <c r="AU184" i="4" s="1"/>
  <c r="AR201" i="4"/>
  <c r="AO166" i="4"/>
  <c r="AQ166" i="4" s="1"/>
  <c r="AU166" i="4" s="1"/>
  <c r="AO149" i="4"/>
  <c r="AQ149" i="4" s="1"/>
  <c r="AU149" i="4" s="1"/>
  <c r="AO192" i="4"/>
  <c r="AQ192" i="4" s="1"/>
  <c r="AU192" i="4" s="1"/>
  <c r="AR121" i="4"/>
  <c r="AO170" i="4"/>
  <c r="AQ170" i="4" s="1"/>
  <c r="AU170" i="4" s="1"/>
  <c r="AR198" i="4"/>
  <c r="AO125" i="4"/>
  <c r="AQ125" i="4" s="1"/>
  <c r="AU125" i="4" s="1"/>
  <c r="AO186" i="4"/>
  <c r="AQ186" i="4" s="1"/>
  <c r="AU186" i="4" s="1"/>
  <c r="AO138" i="4"/>
  <c r="AQ138" i="4" s="1"/>
  <c r="AU138" i="4" s="1"/>
  <c r="AO188" i="4"/>
  <c r="AQ188" i="4" s="1"/>
  <c r="AU188" i="4" s="1"/>
  <c r="AO154" i="4"/>
  <c r="AQ154" i="4" s="1"/>
  <c r="AU154" i="4" s="1"/>
  <c r="AO183" i="4"/>
  <c r="AQ183" i="4" s="1"/>
  <c r="AU183" i="4" s="1"/>
  <c r="AR200" i="4"/>
  <c r="AO141" i="4"/>
  <c r="AQ141" i="4" s="1"/>
  <c r="AU141" i="4" s="1"/>
  <c r="AR127" i="4"/>
  <c r="AO150" i="4"/>
  <c r="AQ150" i="4" s="1"/>
  <c r="AU150" i="4" s="1"/>
  <c r="AO208" i="4"/>
  <c r="AQ208" i="4" s="1"/>
  <c r="AU208" i="4" s="1"/>
  <c r="AO118" i="4"/>
  <c r="AQ118" i="4" s="1"/>
  <c r="AU118" i="4" s="1"/>
  <c r="AO134" i="4"/>
  <c r="AQ134" i="4" s="1"/>
  <c r="AU134" i="4" s="1"/>
  <c r="AR179" i="4"/>
  <c r="AO119" i="4"/>
  <c r="AQ119" i="4" s="1"/>
  <c r="AU119" i="4" s="1"/>
  <c r="AO175" i="4"/>
  <c r="AQ175" i="4" s="1"/>
  <c r="AU175" i="4" s="1"/>
  <c r="AO129" i="4"/>
  <c r="AQ129" i="4" s="1"/>
  <c r="AU129" i="4" s="1"/>
  <c r="AO131" i="4"/>
  <c r="AQ131" i="4" s="1"/>
  <c r="AU131" i="4" s="1"/>
  <c r="AO202" i="4"/>
  <c r="AQ202" i="4" s="1"/>
  <c r="AU202" i="4" s="1"/>
  <c r="AO185" i="4"/>
  <c r="AQ185" i="4" s="1"/>
  <c r="AU185" i="4" s="1"/>
  <c r="AR171" i="4"/>
  <c r="AO164" i="4"/>
  <c r="AQ164" i="4" s="1"/>
  <c r="AU164" i="4" s="1"/>
  <c r="AO205" i="4"/>
  <c r="AQ205" i="4" s="1"/>
  <c r="AU205" i="4" s="1"/>
  <c r="AO152" i="4"/>
  <c r="AQ152" i="4" s="1"/>
  <c r="AU152" i="4" s="1"/>
  <c r="AO137" i="4"/>
  <c r="AQ137" i="4" s="1"/>
  <c r="AU137" i="4" s="1"/>
  <c r="AO196" i="4"/>
  <c r="AQ196" i="4" s="1"/>
  <c r="AU196" i="4" s="1"/>
  <c r="AO143" i="4"/>
  <c r="AQ143" i="4" s="1"/>
  <c r="AU143" i="4" s="1"/>
  <c r="AO204" i="4"/>
  <c r="AQ204" i="4" s="1"/>
  <c r="AU204" i="4" s="1"/>
  <c r="AO167" i="4"/>
  <c r="AQ167" i="4" s="1"/>
  <c r="AU167" i="4" s="1"/>
  <c r="AO120" i="4"/>
  <c r="AQ120" i="4" s="1"/>
  <c r="AU120" i="4" s="1"/>
  <c r="AO189" i="4"/>
  <c r="AQ189" i="4" s="1"/>
  <c r="AU189" i="4" s="1"/>
  <c r="AO147" i="4"/>
  <c r="AQ147" i="4" s="1"/>
  <c r="AU147" i="4" s="1"/>
  <c r="AO187" i="4"/>
  <c r="AQ187" i="4" s="1"/>
  <c r="AU187" i="4" s="1"/>
  <c r="AO160" i="4"/>
  <c r="AQ160" i="4" s="1"/>
  <c r="AU160" i="4" s="1"/>
  <c r="AO158" i="4"/>
  <c r="AQ158" i="4" s="1"/>
  <c r="AU158" i="4" s="1"/>
  <c r="AR136" i="4"/>
  <c r="AR193" i="4"/>
  <c r="AO178" i="4"/>
  <c r="AQ178" i="4" s="1"/>
  <c r="AU178" i="4" s="1"/>
  <c r="AO197" i="4"/>
  <c r="AQ197" i="4" s="1"/>
  <c r="AU197" i="4" s="1"/>
  <c r="AO199" i="4"/>
  <c r="AQ199" i="4" s="1"/>
  <c r="AU199" i="4" s="1"/>
  <c r="AR129" i="4"/>
  <c r="AO206" i="4"/>
  <c r="AQ206" i="4" s="1"/>
  <c r="AU206" i="4" s="1"/>
  <c r="AO142" i="4"/>
  <c r="AQ142" i="4" s="1"/>
  <c r="AU142" i="4" s="1"/>
  <c r="AR143" i="4"/>
  <c r="AO162" i="4"/>
  <c r="AQ162" i="4" s="1"/>
  <c r="AU162" i="4" s="1"/>
  <c r="AR175" i="4"/>
  <c r="AO97" i="4"/>
  <c r="AQ97" i="4" s="1"/>
  <c r="AU97" i="4" s="1"/>
  <c r="AO92" i="4"/>
  <c r="AQ92" i="4" s="1"/>
  <c r="AU92" i="4" s="1"/>
  <c r="AO146" i="4"/>
  <c r="AQ146" i="4" s="1"/>
  <c r="AU146" i="4" s="1"/>
  <c r="AO163" i="4"/>
  <c r="AQ163" i="4" s="1"/>
  <c r="AU163" i="4" s="1"/>
  <c r="AO107" i="4"/>
  <c r="AQ107" i="4" s="1"/>
  <c r="AU107" i="4" s="1"/>
  <c r="AO155" i="4"/>
  <c r="AQ155" i="4" s="1"/>
  <c r="AU155" i="4" s="1"/>
  <c r="AO174" i="4"/>
  <c r="AQ174" i="4" s="1"/>
  <c r="AU174" i="4" s="1"/>
  <c r="AO181" i="4"/>
  <c r="AQ181" i="4" s="1"/>
  <c r="AU181" i="4" s="1"/>
  <c r="AO81" i="4"/>
  <c r="AQ81" i="4" s="1"/>
  <c r="AU81" i="4" s="1"/>
  <c r="AO117" i="4"/>
  <c r="AQ117" i="4" s="1"/>
  <c r="AU117" i="4" s="1"/>
  <c r="AO91" i="4"/>
  <c r="AQ91" i="4" s="1"/>
  <c r="AU91" i="4" s="1"/>
  <c r="AO191" i="4"/>
  <c r="AQ191" i="4" s="1"/>
  <c r="AU191" i="4" s="1"/>
  <c r="AO209" i="4"/>
  <c r="AQ209" i="4" s="1"/>
  <c r="AU209" i="4" s="1"/>
  <c r="B308" i="2" s="1"/>
  <c r="AO114" i="4"/>
  <c r="AQ114" i="4" s="1"/>
  <c r="AU114" i="4" s="1"/>
  <c r="AO94" i="4"/>
  <c r="AQ94" i="4" s="1"/>
  <c r="AU94" i="4" s="1"/>
  <c r="AO190" i="4"/>
  <c r="AQ190" i="4" s="1"/>
  <c r="AU190" i="4" s="1"/>
  <c r="AR42" i="4"/>
  <c r="AO93" i="4"/>
  <c r="AQ93" i="4" s="1"/>
  <c r="AU93" i="4" s="1"/>
  <c r="AO84" i="4"/>
  <c r="AQ84" i="4" s="1"/>
  <c r="AU84" i="4" s="1"/>
  <c r="AR158" i="4"/>
  <c r="AO88" i="4"/>
  <c r="AQ88" i="4" s="1"/>
  <c r="AU88" i="4" s="1"/>
  <c r="AO99" i="4"/>
  <c r="AQ99" i="4" s="1"/>
  <c r="AU99" i="4" s="1"/>
  <c r="AO156" i="4"/>
  <c r="AQ156" i="4" s="1"/>
  <c r="AU156" i="4" s="1"/>
  <c r="AO89" i="4"/>
  <c r="AQ89" i="4" s="1"/>
  <c r="AU89" i="4" s="1"/>
  <c r="AO195" i="4"/>
  <c r="AQ195" i="4" s="1"/>
  <c r="AU195" i="4" s="1"/>
  <c r="AO148" i="4"/>
  <c r="AQ148" i="4" s="1"/>
  <c r="AU148" i="4" s="1"/>
  <c r="AO112" i="4"/>
  <c r="AQ112" i="4" s="1"/>
  <c r="AU112" i="4" s="1"/>
  <c r="AO109" i="4"/>
  <c r="AQ109" i="4" s="1"/>
  <c r="AU109" i="4" s="1"/>
  <c r="B309" i="2" s="1"/>
  <c r="AO85" i="4"/>
  <c r="AQ85" i="4" s="1"/>
  <c r="AU85" i="4" s="1"/>
  <c r="AO108" i="4"/>
  <c r="AQ108" i="4" s="1"/>
  <c r="AU108" i="4" s="1"/>
  <c r="AO82" i="4"/>
  <c r="AQ82" i="4" s="1"/>
  <c r="AU82" i="4" s="1"/>
  <c r="AO86" i="4"/>
  <c r="AQ86" i="4" s="1"/>
  <c r="AU86" i="4" s="1"/>
  <c r="AO180" i="4"/>
  <c r="AQ180" i="4" s="1"/>
  <c r="AU180" i="4" s="1"/>
  <c r="AO135" i="4"/>
  <c r="AQ135" i="4" s="1"/>
  <c r="AU135" i="4" s="1"/>
  <c r="AO203" i="4"/>
  <c r="AQ203" i="4" s="1"/>
  <c r="AU203" i="4" s="1"/>
  <c r="AO98" i="4"/>
  <c r="AQ98" i="4" s="1"/>
  <c r="AU98" i="4" s="1"/>
  <c r="AO90" i="4"/>
  <c r="AQ90" i="4" s="1"/>
  <c r="AU90" i="4" s="1"/>
  <c r="AO105" i="4"/>
  <c r="AQ105" i="4" s="1"/>
  <c r="AU105" i="4" s="1"/>
  <c r="AO101" i="4"/>
  <c r="AQ101" i="4" s="1"/>
  <c r="AU101" i="4" s="1"/>
  <c r="AO144" i="4"/>
  <c r="AQ144" i="4" s="1"/>
  <c r="AU144" i="4" s="1"/>
  <c r="AR149" i="4"/>
  <c r="AO87" i="4"/>
  <c r="AQ87" i="4" s="1"/>
  <c r="AU87" i="4" s="1"/>
  <c r="AS17" i="4"/>
  <c r="AR79" i="4"/>
  <c r="AO95" i="4"/>
  <c r="AQ95" i="4" s="1"/>
  <c r="AU95" i="4" s="1"/>
  <c r="AO83" i="4"/>
  <c r="AQ83" i="4" s="1"/>
  <c r="AU83" i="4" s="1"/>
  <c r="AO106" i="4"/>
  <c r="AQ106" i="4" s="1"/>
  <c r="AU106" i="4" s="1"/>
  <c r="AG65" i="4"/>
  <c r="AS65" i="4" s="1"/>
  <c r="AO145" i="4"/>
  <c r="AQ145" i="4" s="1"/>
  <c r="AU145" i="4" s="1"/>
  <c r="AO96" i="4"/>
  <c r="AQ96" i="4" s="1"/>
  <c r="AU96" i="4" s="1"/>
  <c r="AO102" i="4"/>
  <c r="AQ102" i="4" s="1"/>
  <c r="AU102" i="4" s="1"/>
  <c r="AO176" i="4"/>
  <c r="AQ176" i="4" s="1"/>
  <c r="AU176" i="4" s="1"/>
  <c r="AC65" i="4"/>
  <c r="AO100" i="4"/>
  <c r="AQ100" i="4" s="1"/>
  <c r="AU100" i="4" s="1"/>
  <c r="AR167" i="4"/>
  <c r="AO104" i="4"/>
  <c r="AQ104" i="4" s="1"/>
  <c r="AU104" i="4" s="1"/>
  <c r="AO103" i="4"/>
  <c r="AQ103" i="4" s="1"/>
  <c r="AU103" i="4" s="1"/>
  <c r="AO110" i="4"/>
  <c r="AQ110" i="4" s="1"/>
  <c r="AU110" i="4" s="1"/>
  <c r="AO182" i="4"/>
  <c r="AQ182" i="4" s="1"/>
  <c r="AU182" i="4" s="1"/>
  <c r="AR137" i="4"/>
  <c r="AO133" i="4"/>
  <c r="AQ133" i="4" s="1"/>
  <c r="AU133" i="4" s="1"/>
  <c r="AO177" i="4"/>
  <c r="AQ177" i="4" s="1"/>
  <c r="AU177" i="4" s="1"/>
  <c r="AO173" i="4"/>
  <c r="AQ173" i="4" s="1"/>
  <c r="AU173" i="4" s="1"/>
  <c r="AO122" i="4"/>
  <c r="AQ122" i="4" s="1"/>
  <c r="AU122" i="4" s="1"/>
  <c r="AR164" i="4"/>
  <c r="AR131" i="4"/>
  <c r="AO128" i="4"/>
  <c r="AQ128" i="4" s="1"/>
  <c r="AU128" i="4" s="1"/>
  <c r="AR152" i="4"/>
  <c r="AO140" i="4"/>
  <c r="AQ140" i="4" s="1"/>
  <c r="AU140" i="4" s="1"/>
  <c r="AR185" i="4"/>
  <c r="AR159" i="4"/>
  <c r="AO159" i="4"/>
  <c r="AQ159" i="4" s="1"/>
  <c r="AU159" i="4" s="1"/>
  <c r="AR202" i="4"/>
  <c r="AO115" i="4"/>
  <c r="AQ115" i="4" s="1"/>
  <c r="AU115" i="4" s="1"/>
  <c r="AO169" i="4"/>
  <c r="AQ169" i="4" s="1"/>
  <c r="AU169" i="4" s="1"/>
  <c r="AO172" i="4"/>
  <c r="AQ172" i="4" s="1"/>
  <c r="AU172" i="4" s="1"/>
  <c r="AR120" i="4"/>
  <c r="AO124" i="4"/>
  <c r="AQ124" i="4" s="1"/>
  <c r="AU124" i="4" s="1"/>
  <c r="AO116" i="4"/>
  <c r="AQ116" i="4" s="1"/>
  <c r="AU116" i="4" s="1"/>
  <c r="AO153" i="4"/>
  <c r="AQ153" i="4" s="1"/>
  <c r="AU153" i="4" s="1"/>
  <c r="AO207" i="4"/>
  <c r="AQ207" i="4" s="1"/>
  <c r="AU207" i="4" s="1"/>
  <c r="AO151" i="4"/>
  <c r="AQ151" i="4" s="1"/>
  <c r="AU151" i="4" s="1"/>
  <c r="AO157" i="4"/>
  <c r="AQ157" i="4" s="1"/>
  <c r="AU157" i="4" s="1"/>
  <c r="AR123" i="4"/>
  <c r="AO123" i="4"/>
  <c r="AQ123" i="4" s="1"/>
  <c r="AU123" i="4" s="1"/>
  <c r="AR126" i="4"/>
  <c r="AO126" i="4"/>
  <c r="AQ126" i="4" s="1"/>
  <c r="AU126" i="4" s="1"/>
  <c r="AR168" i="4"/>
  <c r="AO168" i="4"/>
  <c r="AQ168" i="4" s="1"/>
  <c r="AU168" i="4" s="1"/>
  <c r="AR161" i="4"/>
  <c r="AO161" i="4"/>
  <c r="AQ161" i="4" s="1"/>
  <c r="AU161" i="4" s="1"/>
  <c r="AR130" i="4"/>
  <c r="AO130" i="4"/>
  <c r="AQ130" i="4" s="1"/>
  <c r="AU130" i="4" s="1"/>
  <c r="AR194" i="4"/>
  <c r="AO194" i="4"/>
  <c r="AQ194" i="4" s="1"/>
  <c r="AU194" i="4" s="1"/>
  <c r="AR165" i="4"/>
  <c r="AO165" i="4"/>
  <c r="AQ165" i="4" s="1"/>
  <c r="AU165" i="4" s="1"/>
  <c r="AR113" i="4"/>
  <c r="AO113" i="4"/>
  <c r="AQ113" i="4" s="1"/>
  <c r="AU113" i="4" s="1"/>
  <c r="H3" i="8"/>
  <c r="R23" i="8"/>
  <c r="R13" i="8"/>
  <c r="B66" i="2"/>
  <c r="BM41" i="3"/>
  <c r="B253" i="2"/>
  <c r="C41" i="16"/>
  <c r="D41" i="16" s="1"/>
  <c r="C40" i="16"/>
  <c r="D40" i="16" s="1"/>
  <c r="B140" i="2"/>
  <c r="B256" i="2"/>
  <c r="BN41" i="3"/>
  <c r="R29" i="8"/>
  <c r="R31" i="8"/>
  <c r="AQ42" i="3"/>
  <c r="B42" i="3"/>
  <c r="A43" i="3"/>
  <c r="AR42" i="3"/>
  <c r="C42" i="3"/>
  <c r="D42" i="3"/>
  <c r="G42" i="3"/>
  <c r="H42" i="3" s="1"/>
  <c r="F42" i="3"/>
  <c r="AR65" i="4" l="1"/>
  <c r="AO65" i="4"/>
  <c r="AQ65" i="4" s="1"/>
  <c r="AU65" i="4" s="1"/>
  <c r="A254" i="2"/>
  <c r="B254" i="2"/>
  <c r="AD33" i="3"/>
  <c r="B141" i="2"/>
  <c r="AE29" i="3" s="1"/>
  <c r="B143" i="2"/>
  <c r="AK19" i="3" s="1"/>
  <c r="AD22" i="3"/>
  <c r="AD16" i="3"/>
  <c r="AD17" i="3"/>
  <c r="AD34" i="3"/>
  <c r="AD36" i="3"/>
  <c r="AD11" i="3"/>
  <c r="AD42" i="3"/>
  <c r="AD12" i="3"/>
  <c r="AD23" i="3"/>
  <c r="AD14" i="3"/>
  <c r="AD29" i="3"/>
  <c r="AD683" i="3"/>
  <c r="AD25" i="3"/>
  <c r="AD18" i="3"/>
  <c r="AD37" i="3"/>
  <c r="AD9" i="3"/>
  <c r="AD19" i="3"/>
  <c r="AD32" i="3"/>
  <c r="AD31" i="3"/>
  <c r="B149" i="2"/>
  <c r="P41" i="3" s="1"/>
  <c r="AD21" i="3"/>
  <c r="AD20" i="3"/>
  <c r="AD13" i="3"/>
  <c r="AD39" i="3"/>
  <c r="AD35" i="3"/>
  <c r="AD10" i="3"/>
  <c r="AD28" i="3"/>
  <c r="AD24" i="3"/>
  <c r="AD38" i="3"/>
  <c r="AD26" i="3"/>
  <c r="AD682" i="3"/>
  <c r="AD27" i="3"/>
  <c r="AD30" i="3"/>
  <c r="AD15" i="3"/>
  <c r="AD41" i="3"/>
  <c r="AD40" i="3"/>
  <c r="BM42" i="3"/>
  <c r="BN42" i="3"/>
  <c r="AQ43" i="3"/>
  <c r="AR43" i="3"/>
  <c r="A44" i="3"/>
  <c r="B43" i="3"/>
  <c r="C43" i="3"/>
  <c r="D43" i="3"/>
  <c r="AD43" i="3"/>
  <c r="G43" i="3"/>
  <c r="H43" i="3" s="1"/>
  <c r="F43" i="3"/>
  <c r="AK12" i="3" l="1"/>
  <c r="AM42" i="3"/>
  <c r="AF26" i="3"/>
  <c r="AK16" i="3"/>
  <c r="AF35" i="3"/>
  <c r="AF21" i="3"/>
  <c r="O27" i="3"/>
  <c r="AF33" i="3"/>
  <c r="AF30" i="3"/>
  <c r="AE37" i="3"/>
  <c r="AE43" i="3"/>
  <c r="AE41" i="3"/>
  <c r="AF9" i="3"/>
  <c r="O41" i="3"/>
  <c r="O13" i="3"/>
  <c r="P22" i="3"/>
  <c r="O683" i="3"/>
  <c r="M682" i="3"/>
  <c r="P26" i="3"/>
  <c r="P14" i="3"/>
  <c r="P36" i="3"/>
  <c r="A257" i="2"/>
  <c r="AK30" i="3"/>
  <c r="AE12" i="3"/>
  <c r="AF13" i="3"/>
  <c r="AE15" i="3"/>
  <c r="M19" i="3"/>
  <c r="P42" i="3"/>
  <c r="O12" i="3"/>
  <c r="O28" i="3"/>
  <c r="P17" i="3"/>
  <c r="O23" i="3"/>
  <c r="P15" i="3"/>
  <c r="P16" i="3"/>
  <c r="P682" i="3"/>
  <c r="AF38" i="3"/>
  <c r="AF27" i="3"/>
  <c r="AE38" i="3"/>
  <c r="M24" i="3"/>
  <c r="AE10" i="3"/>
  <c r="M26" i="3"/>
  <c r="M43" i="3"/>
  <c r="AE18" i="3"/>
  <c r="AF12" i="3"/>
  <c r="AF23" i="3"/>
  <c r="AF29" i="3"/>
  <c r="AG29" i="3" s="1"/>
  <c r="AF17" i="3"/>
  <c r="AE40" i="3"/>
  <c r="AF22" i="3"/>
  <c r="AF37" i="3"/>
  <c r="AF683" i="3"/>
  <c r="AF24" i="3"/>
  <c r="AF16" i="3"/>
  <c r="B152" i="2"/>
  <c r="V42" i="3" s="1"/>
  <c r="AE23" i="3"/>
  <c r="M25" i="3"/>
  <c r="M31" i="3"/>
  <c r="AE11" i="3"/>
  <c r="M28" i="3"/>
  <c r="M37" i="3"/>
  <c r="M11" i="3"/>
  <c r="M36" i="3"/>
  <c r="AF39" i="3"/>
  <c r="AE27" i="3"/>
  <c r="AE14" i="3"/>
  <c r="M34" i="3"/>
  <c r="AE20" i="3"/>
  <c r="M23" i="3"/>
  <c r="M38" i="3"/>
  <c r="AE42" i="3"/>
  <c r="M27" i="3"/>
  <c r="P20" i="3"/>
  <c r="P21" i="3"/>
  <c r="O32" i="3"/>
  <c r="P24" i="3"/>
  <c r="P35" i="3"/>
  <c r="O38" i="3"/>
  <c r="O10" i="3"/>
  <c r="O30" i="3"/>
  <c r="O35" i="3"/>
  <c r="P40" i="3"/>
  <c r="O24" i="3"/>
  <c r="P37" i="3"/>
  <c r="P23" i="3"/>
  <c r="O9" i="3"/>
  <c r="O37" i="3"/>
  <c r="O36" i="3"/>
  <c r="O16" i="3"/>
  <c r="O25" i="3"/>
  <c r="P13" i="3"/>
  <c r="O42" i="3"/>
  <c r="AM39" i="3"/>
  <c r="B151" i="2"/>
  <c r="T42" i="3" s="1"/>
  <c r="AM29" i="3"/>
  <c r="AM24" i="3"/>
  <c r="AM37" i="3"/>
  <c r="AK43" i="3"/>
  <c r="AM27" i="3"/>
  <c r="AM682" i="3"/>
  <c r="AK11" i="3"/>
  <c r="AK23" i="3"/>
  <c r="AM26" i="3"/>
  <c r="AK32" i="3"/>
  <c r="AM17" i="3"/>
  <c r="AK33" i="3"/>
  <c r="AK29" i="3"/>
  <c r="AK41" i="3"/>
  <c r="AM20" i="3"/>
  <c r="AK21" i="3"/>
  <c r="AM15" i="3"/>
  <c r="AK15" i="3"/>
  <c r="AM31" i="3"/>
  <c r="AM11" i="3"/>
  <c r="AM683" i="3"/>
  <c r="AK17" i="3"/>
  <c r="AK682" i="3"/>
  <c r="AM30" i="3"/>
  <c r="AK14" i="3"/>
  <c r="AK27" i="3"/>
  <c r="AK22" i="3"/>
  <c r="AK26" i="3"/>
  <c r="AK20" i="3"/>
  <c r="AK31" i="3"/>
  <c r="AM28" i="3"/>
  <c r="AK38" i="3"/>
  <c r="AM43" i="3"/>
  <c r="AK39" i="3"/>
  <c r="AM38" i="3"/>
  <c r="AM23" i="3"/>
  <c r="AM16" i="3"/>
  <c r="AM19" i="3"/>
  <c r="AN19" i="3" s="1"/>
  <c r="AK24" i="3"/>
  <c r="AM41" i="3"/>
  <c r="AK28" i="3"/>
  <c r="AK36" i="3"/>
  <c r="AM18" i="3"/>
  <c r="AM13" i="3"/>
  <c r="AK34" i="3"/>
  <c r="B257" i="2"/>
  <c r="AM40" i="3"/>
  <c r="AK683" i="3"/>
  <c r="AM21" i="3"/>
  <c r="AK9" i="3"/>
  <c r="B150" i="2"/>
  <c r="R42" i="3" s="1"/>
  <c r="AM12" i="3"/>
  <c r="AK25" i="3"/>
  <c r="AK13" i="3"/>
  <c r="AK37" i="3"/>
  <c r="AM10" i="3"/>
  <c r="AM9" i="3"/>
  <c r="AM34" i="3"/>
  <c r="AK42" i="3"/>
  <c r="AM33" i="3"/>
  <c r="AK40" i="3"/>
  <c r="AM14" i="3"/>
  <c r="AM22" i="3"/>
  <c r="AK35" i="3"/>
  <c r="AM25" i="3"/>
  <c r="AM32" i="3"/>
  <c r="AM35" i="3"/>
  <c r="AM36" i="3"/>
  <c r="AK10" i="3"/>
  <c r="AK18" i="3"/>
  <c r="AE683" i="3"/>
  <c r="AE24" i="3"/>
  <c r="AE21" i="3"/>
  <c r="AE22" i="3"/>
  <c r="AE9" i="3"/>
  <c r="M41" i="3"/>
  <c r="O39" i="3"/>
  <c r="P43" i="3"/>
  <c r="AF43" i="3"/>
  <c r="O43" i="3"/>
  <c r="AE30" i="3"/>
  <c r="AE31" i="3"/>
  <c r="AF28" i="3"/>
  <c r="B255" i="2"/>
  <c r="AF15" i="3"/>
  <c r="AF11" i="3"/>
  <c r="AF32" i="3"/>
  <c r="AF34" i="3"/>
  <c r="AF18" i="3"/>
  <c r="AF25" i="3"/>
  <c r="AF682" i="3"/>
  <c r="AE682" i="3"/>
  <c r="AE34" i="3"/>
  <c r="AF19" i="3"/>
  <c r="AF14" i="3"/>
  <c r="AF10" i="3"/>
  <c r="AF36" i="3"/>
  <c r="M40" i="3"/>
  <c r="AE26" i="3"/>
  <c r="A255" i="2"/>
  <c r="AF31" i="3"/>
  <c r="AF40" i="3"/>
  <c r="P31" i="3"/>
  <c r="F74" i="1"/>
  <c r="P9" i="3"/>
  <c r="AF20" i="3"/>
  <c r="O29" i="3"/>
  <c r="P19" i="3"/>
  <c r="O22" i="3"/>
  <c r="O21" i="3"/>
  <c r="O20" i="3"/>
  <c r="O19" i="3"/>
  <c r="P11" i="3"/>
  <c r="P27" i="3"/>
  <c r="P28" i="3"/>
  <c r="P32" i="3"/>
  <c r="P18" i="3"/>
  <c r="O15" i="3"/>
  <c r="O11" i="3"/>
  <c r="O31" i="3"/>
  <c r="O682" i="3"/>
  <c r="P683" i="3"/>
  <c r="AE39" i="3"/>
  <c r="AE32" i="3"/>
  <c r="AE17" i="3"/>
  <c r="AE13" i="3"/>
  <c r="AE25" i="3"/>
  <c r="M14" i="3"/>
  <c r="M35" i="3"/>
  <c r="M13" i="3"/>
  <c r="M29" i="3"/>
  <c r="AE16" i="3"/>
  <c r="M39" i="3"/>
  <c r="M15" i="3"/>
  <c r="M22" i="3"/>
  <c r="M10" i="3"/>
  <c r="M21" i="3"/>
  <c r="M42" i="3"/>
  <c r="P29" i="3"/>
  <c r="O33" i="3"/>
  <c r="P10" i="3"/>
  <c r="O14" i="3"/>
  <c r="P30" i="3"/>
  <c r="O17" i="3"/>
  <c r="O18" i="3"/>
  <c r="P12" i="3"/>
  <c r="O26" i="3"/>
  <c r="O40" i="3"/>
  <c r="AE35" i="3"/>
  <c r="AE19" i="3"/>
  <c r="M20" i="3"/>
  <c r="M18" i="3"/>
  <c r="AE28" i="3"/>
  <c r="M9" i="3"/>
  <c r="M12" i="3"/>
  <c r="P25" i="3"/>
  <c r="P38" i="3"/>
  <c r="P33" i="3"/>
  <c r="P39" i="3"/>
  <c r="AE36" i="3"/>
  <c r="M32" i="3"/>
  <c r="M30" i="3"/>
  <c r="P34" i="3"/>
  <c r="O34" i="3"/>
  <c r="M17" i="3"/>
  <c r="M16" i="3"/>
  <c r="M33" i="3"/>
  <c r="M683" i="3"/>
  <c r="AF42" i="3"/>
  <c r="AF41" i="3"/>
  <c r="AE33" i="3"/>
  <c r="AG33" i="3" s="1"/>
  <c r="A684" i="3"/>
  <c r="AF684" i="3" s="1"/>
  <c r="BN43" i="3"/>
  <c r="BM43" i="3"/>
  <c r="AR44" i="3"/>
  <c r="B44" i="3"/>
  <c r="AQ44" i="3"/>
  <c r="A45" i="3"/>
  <c r="C44" i="3"/>
  <c r="AM44" i="3"/>
  <c r="AK44" i="3"/>
  <c r="AD44" i="3"/>
  <c r="O44" i="3"/>
  <c r="AF44" i="3"/>
  <c r="AE44" i="3"/>
  <c r="M44" i="3"/>
  <c r="P44" i="3"/>
  <c r="F44" i="3"/>
  <c r="D44" i="3"/>
  <c r="G44" i="3"/>
  <c r="H44" i="3" s="1"/>
  <c r="AH42" i="3" l="1"/>
  <c r="AG19" i="3"/>
  <c r="AG20" i="3"/>
  <c r="AG16" i="3"/>
  <c r="AH15" i="3"/>
  <c r="AO29" i="3"/>
  <c r="AN25" i="3"/>
  <c r="AN22" i="3"/>
  <c r="AO12" i="3"/>
  <c r="T38" i="3"/>
  <c r="T27" i="3"/>
  <c r="T26" i="3"/>
  <c r="F76" i="1"/>
  <c r="T20" i="3"/>
  <c r="T37" i="3"/>
  <c r="T40" i="3"/>
  <c r="T33" i="3"/>
  <c r="S28" i="3"/>
  <c r="AH9" i="3"/>
  <c r="S44" i="3"/>
  <c r="S10" i="3"/>
  <c r="S13" i="3"/>
  <c r="S17" i="3"/>
  <c r="T18" i="3"/>
  <c r="S11" i="3"/>
  <c r="AG13" i="3"/>
  <c r="AH23" i="3"/>
  <c r="S34" i="3"/>
  <c r="T30" i="3"/>
  <c r="T14" i="3"/>
  <c r="T23" i="3"/>
  <c r="S43" i="3"/>
  <c r="V34" i="3"/>
  <c r="V682" i="3"/>
  <c r="AN43" i="3"/>
  <c r="AO682" i="3"/>
  <c r="AG683" i="3"/>
  <c r="AO24" i="3"/>
  <c r="AN682" i="3"/>
  <c r="R14" i="3"/>
  <c r="R24" i="3"/>
  <c r="Q10" i="3"/>
  <c r="R31" i="3"/>
  <c r="R11" i="3"/>
  <c r="R43" i="3"/>
  <c r="Q41" i="3"/>
  <c r="AN41" i="3"/>
  <c r="AH12" i="3"/>
  <c r="AO16" i="3"/>
  <c r="AN36" i="3"/>
  <c r="Q23" i="3"/>
  <c r="Q21" i="3"/>
  <c r="AO39" i="3"/>
  <c r="AN17" i="3"/>
  <c r="AG38" i="3"/>
  <c r="AH24" i="3"/>
  <c r="AN26" i="3"/>
  <c r="AO11" i="3"/>
  <c r="AG28" i="3"/>
  <c r="AO13" i="3"/>
  <c r="AN27" i="3"/>
  <c r="AO40" i="3"/>
  <c r="AO28" i="3"/>
  <c r="S42" i="3"/>
  <c r="AG23" i="3"/>
  <c r="AO42" i="3"/>
  <c r="U40" i="3"/>
  <c r="V33" i="3"/>
  <c r="V29" i="3"/>
  <c r="V37" i="3"/>
  <c r="AH35" i="3"/>
  <c r="AG26" i="3"/>
  <c r="AH25" i="3"/>
  <c r="AG18" i="3"/>
  <c r="Q684" i="3"/>
  <c r="AN16" i="3"/>
  <c r="Y42" i="3"/>
  <c r="Z42" i="3" s="1"/>
  <c r="AO17" i="3"/>
  <c r="AN9" i="3"/>
  <c r="Q35" i="3"/>
  <c r="R38" i="3"/>
  <c r="Q20" i="3"/>
  <c r="Q683" i="3"/>
  <c r="R10" i="3"/>
  <c r="Q13" i="3"/>
  <c r="R41" i="3"/>
  <c r="Q26" i="3"/>
  <c r="R17" i="3"/>
  <c r="AN35" i="3"/>
  <c r="AN34" i="3"/>
  <c r="AN683" i="3"/>
  <c r="AO23" i="3"/>
  <c r="AO30" i="3"/>
  <c r="AO15" i="3"/>
  <c r="AH29" i="3"/>
  <c r="AU29" i="3" s="1"/>
  <c r="U24" i="3"/>
  <c r="U21" i="3"/>
  <c r="V28" i="3"/>
  <c r="U682" i="3"/>
  <c r="AH38" i="3"/>
  <c r="V31" i="3"/>
  <c r="V15" i="3"/>
  <c r="U26" i="3"/>
  <c r="V10" i="3"/>
  <c r="U20" i="3"/>
  <c r="U28" i="3"/>
  <c r="V32" i="3"/>
  <c r="U10" i="3"/>
  <c r="AD684" i="3"/>
  <c r="AO21" i="3"/>
  <c r="AG37" i="3"/>
  <c r="V44" i="3"/>
  <c r="AH26" i="3"/>
  <c r="U42" i="3"/>
  <c r="V14" i="3"/>
  <c r="V11" i="3"/>
  <c r="U19" i="3"/>
  <c r="V38" i="3"/>
  <c r="V36" i="3"/>
  <c r="U36" i="3"/>
  <c r="U31" i="3"/>
  <c r="V39" i="3"/>
  <c r="V35" i="3"/>
  <c r="U30" i="3"/>
  <c r="U14" i="3"/>
  <c r="U29" i="3"/>
  <c r="V21" i="3"/>
  <c r="V16" i="3"/>
  <c r="V43" i="3"/>
  <c r="U25" i="3"/>
  <c r="AN11" i="3"/>
  <c r="AO19" i="3"/>
  <c r="AN12" i="3"/>
  <c r="V12" i="3"/>
  <c r="AO26" i="3"/>
  <c r="AO27" i="3"/>
  <c r="AH33" i="3"/>
  <c r="AT33" i="3" s="1"/>
  <c r="AO41" i="3"/>
  <c r="AN39" i="3"/>
  <c r="AG12" i="3"/>
  <c r="AH37" i="3"/>
  <c r="U44" i="3"/>
  <c r="V27" i="3"/>
  <c r="U23" i="3"/>
  <c r="U12" i="3"/>
  <c r="U35" i="3"/>
  <c r="U33" i="3"/>
  <c r="V25" i="3"/>
  <c r="U18" i="3"/>
  <c r="U16" i="3"/>
  <c r="A687" i="3"/>
  <c r="AR687" i="3" s="1"/>
  <c r="U13" i="3"/>
  <c r="U27" i="3"/>
  <c r="V22" i="3"/>
  <c r="V18" i="3"/>
  <c r="V20" i="3"/>
  <c r="V26" i="3"/>
  <c r="U32" i="3"/>
  <c r="V683" i="3"/>
  <c r="V41" i="3"/>
  <c r="AG24" i="3"/>
  <c r="V24" i="3"/>
  <c r="U17" i="3"/>
  <c r="U9" i="3"/>
  <c r="U34" i="3"/>
  <c r="V23" i="3"/>
  <c r="U11" i="3"/>
  <c r="V30" i="3"/>
  <c r="U37" i="3"/>
  <c r="V13" i="3"/>
  <c r="U22" i="3"/>
  <c r="U15" i="3"/>
  <c r="U38" i="3"/>
  <c r="V40" i="3"/>
  <c r="AG35" i="3"/>
  <c r="AT35" i="3" s="1"/>
  <c r="V19" i="3"/>
  <c r="V9" i="3"/>
  <c r="U41" i="3"/>
  <c r="U43" i="3"/>
  <c r="V17" i="3"/>
  <c r="U39" i="3"/>
  <c r="F77" i="1"/>
  <c r="U683" i="3"/>
  <c r="AG41" i="3"/>
  <c r="AG40" i="3"/>
  <c r="AH10" i="3"/>
  <c r="AH11" i="3"/>
  <c r="AH21" i="3"/>
  <c r="AN37" i="3"/>
  <c r="AN21" i="3"/>
  <c r="AO18" i="3"/>
  <c r="AO38" i="3"/>
  <c r="AN28" i="3"/>
  <c r="AO22" i="3"/>
  <c r="AN14" i="3"/>
  <c r="AN24" i="3"/>
  <c r="AG14" i="3"/>
  <c r="AH22" i="3"/>
  <c r="AH27" i="3"/>
  <c r="AH43" i="3"/>
  <c r="AH30" i="3"/>
  <c r="AH683" i="3"/>
  <c r="V684" i="3"/>
  <c r="Q16" i="3"/>
  <c r="Q14" i="3"/>
  <c r="R23" i="3"/>
  <c r="R29" i="3"/>
  <c r="Q36" i="3"/>
  <c r="Q12" i="3"/>
  <c r="Q31" i="3"/>
  <c r="A685" i="3"/>
  <c r="G685" i="3" s="1"/>
  <c r="H685" i="3" s="1"/>
  <c r="Q682" i="3"/>
  <c r="R13" i="3"/>
  <c r="Q33" i="3"/>
  <c r="R15" i="3"/>
  <c r="R683" i="3"/>
  <c r="AN42" i="3"/>
  <c r="R19" i="3"/>
  <c r="Q9" i="3"/>
  <c r="AO14" i="3"/>
  <c r="A686" i="3"/>
  <c r="U686" i="3" s="1"/>
  <c r="T22" i="3"/>
  <c r="T12" i="3"/>
  <c r="S36" i="3"/>
  <c r="S38" i="3"/>
  <c r="S18" i="3"/>
  <c r="S23" i="3"/>
  <c r="T21" i="3"/>
  <c r="T683" i="3"/>
  <c r="S32" i="3"/>
  <c r="S37" i="3"/>
  <c r="T32" i="3"/>
  <c r="S26" i="3"/>
  <c r="S40" i="3"/>
  <c r="R18" i="3"/>
  <c r="T10" i="3"/>
  <c r="S9" i="3"/>
  <c r="T682" i="3"/>
  <c r="S41" i="3"/>
  <c r="T9" i="3"/>
  <c r="Q27" i="3"/>
  <c r="AG30" i="3"/>
  <c r="AN30" i="3"/>
  <c r="AG27" i="3"/>
  <c r="AG10" i="3"/>
  <c r="AG17" i="3"/>
  <c r="AG39" i="3"/>
  <c r="AH14" i="3"/>
  <c r="AH18" i="3"/>
  <c r="AG43" i="3"/>
  <c r="AG22" i="3"/>
  <c r="AN40" i="3"/>
  <c r="AN38" i="3"/>
  <c r="AO31" i="3"/>
  <c r="AN20" i="3"/>
  <c r="AN33" i="3"/>
  <c r="AO32" i="3"/>
  <c r="AN23" i="3"/>
  <c r="AO43" i="3"/>
  <c r="S684" i="3"/>
  <c r="G684" i="3"/>
  <c r="H684" i="3" s="1"/>
  <c r="T44" i="3"/>
  <c r="R44" i="3"/>
  <c r="Q44" i="3"/>
  <c r="R20" i="3"/>
  <c r="R12" i="3"/>
  <c r="R36" i="3"/>
  <c r="Q11" i="3"/>
  <c r="Q34" i="3"/>
  <c r="F75" i="1"/>
  <c r="R27" i="3"/>
  <c r="Q29" i="3"/>
  <c r="Q24" i="3"/>
  <c r="R34" i="3"/>
  <c r="Q17" i="3"/>
  <c r="R9" i="3"/>
  <c r="R35" i="3"/>
  <c r="R28" i="3"/>
  <c r="R33" i="3"/>
  <c r="Q38" i="3"/>
  <c r="R39" i="3"/>
  <c r="Q40" i="3"/>
  <c r="Q37" i="3"/>
  <c r="R32" i="3"/>
  <c r="R30" i="3"/>
  <c r="R37" i="3"/>
  <c r="Q15" i="3"/>
  <c r="R22" i="3"/>
  <c r="Q32" i="3"/>
  <c r="Q30" i="3"/>
  <c r="R682" i="3"/>
  <c r="Q43" i="3"/>
  <c r="AO33" i="3"/>
  <c r="Q22" i="3"/>
  <c r="Q19" i="3"/>
  <c r="Q18" i="3"/>
  <c r="R26" i="3"/>
  <c r="R40" i="3"/>
  <c r="AN32" i="3"/>
  <c r="AO37" i="3"/>
  <c r="S20" i="3"/>
  <c r="S29" i="3"/>
  <c r="S21" i="3"/>
  <c r="T24" i="3"/>
  <c r="T29" i="3"/>
  <c r="T25" i="3"/>
  <c r="T13" i="3"/>
  <c r="S19" i="3"/>
  <c r="S35" i="3"/>
  <c r="S31" i="3"/>
  <c r="S24" i="3"/>
  <c r="S12" i="3"/>
  <c r="T17" i="3"/>
  <c r="S16" i="3"/>
  <c r="T28" i="3"/>
  <c r="S682" i="3"/>
  <c r="S39" i="3"/>
  <c r="T41" i="3"/>
  <c r="S33" i="3"/>
  <c r="T34" i="3"/>
  <c r="S15" i="3"/>
  <c r="T16" i="3"/>
  <c r="T15" i="3"/>
  <c r="S30" i="3"/>
  <c r="T31" i="3"/>
  <c r="T36" i="3"/>
  <c r="S683" i="3"/>
  <c r="R21" i="3"/>
  <c r="R16" i="3"/>
  <c r="Q39" i="3"/>
  <c r="S25" i="3"/>
  <c r="S14" i="3"/>
  <c r="T11" i="3"/>
  <c r="T19" i="3"/>
  <c r="T39" i="3"/>
  <c r="S27" i="3"/>
  <c r="S22" i="3"/>
  <c r="T35" i="3"/>
  <c r="R25" i="3"/>
  <c r="T43" i="3"/>
  <c r="Q42" i="3"/>
  <c r="AO683" i="3"/>
  <c r="AO10" i="3"/>
  <c r="Q28" i="3"/>
  <c r="Q25" i="3"/>
  <c r="AG21" i="3"/>
  <c r="AE684" i="3"/>
  <c r="AK684" i="3"/>
  <c r="O684" i="3"/>
  <c r="AG9" i="3"/>
  <c r="AH36" i="3"/>
  <c r="AG15" i="3"/>
  <c r="AH17" i="3"/>
  <c r="AH39" i="3"/>
  <c r="AG42" i="3"/>
  <c r="AG34" i="3"/>
  <c r="AH31" i="3"/>
  <c r="AG31" i="3"/>
  <c r="AH41" i="3"/>
  <c r="AH13" i="3"/>
  <c r="AH40" i="3"/>
  <c r="M684" i="3"/>
  <c r="AH20" i="3"/>
  <c r="AT20" i="3" s="1"/>
  <c r="U684" i="3"/>
  <c r="D684" i="3"/>
  <c r="T684" i="3"/>
  <c r="C684" i="3"/>
  <c r="AH16" i="3"/>
  <c r="P684" i="3"/>
  <c r="AM684" i="3"/>
  <c r="R684" i="3"/>
  <c r="AN29" i="3"/>
  <c r="AN31" i="3"/>
  <c r="AN15" i="3"/>
  <c r="AO20" i="3"/>
  <c r="AO25" i="3"/>
  <c r="AO34" i="3"/>
  <c r="AN18" i="3"/>
  <c r="AO35" i="3"/>
  <c r="AN10" i="3"/>
  <c r="AO9" i="3"/>
  <c r="AN13" i="3"/>
  <c r="AO36" i="3"/>
  <c r="AG32" i="3"/>
  <c r="AH682" i="3"/>
  <c r="AG25" i="3"/>
  <c r="AH34" i="3"/>
  <c r="AH19" i="3"/>
  <c r="AG11" i="3"/>
  <c r="AH32" i="3"/>
  <c r="AG682" i="3"/>
  <c r="AG36" i="3"/>
  <c r="AH28" i="3"/>
  <c r="B684" i="3"/>
  <c r="AR684" i="3"/>
  <c r="F684" i="3"/>
  <c r="AQ684" i="3"/>
  <c r="BM44" i="3"/>
  <c r="AO44" i="3"/>
  <c r="AG44" i="3"/>
  <c r="AH44" i="3"/>
  <c r="AQ45" i="3"/>
  <c r="AR45" i="3"/>
  <c r="A46" i="3"/>
  <c r="B45" i="3"/>
  <c r="AM45" i="3"/>
  <c r="AK45" i="3"/>
  <c r="T45" i="3"/>
  <c r="C45" i="3"/>
  <c r="Q45" i="3"/>
  <c r="P45" i="3"/>
  <c r="R45" i="3"/>
  <c r="AD45" i="3"/>
  <c r="O45" i="3"/>
  <c r="AE45" i="3"/>
  <c r="M45" i="3"/>
  <c r="U45" i="3"/>
  <c r="AF45" i="3"/>
  <c r="V45" i="3"/>
  <c r="D45" i="3"/>
  <c r="G45" i="3"/>
  <c r="H45" i="3" s="1"/>
  <c r="F45" i="3"/>
  <c r="S45" i="3"/>
  <c r="BN44" i="3"/>
  <c r="AN44" i="3"/>
  <c r="AT19" i="3" l="1"/>
  <c r="AT42" i="3"/>
  <c r="AT16" i="3"/>
  <c r="AT15" i="3"/>
  <c r="AU12" i="3"/>
  <c r="X17" i="3"/>
  <c r="X683" i="3"/>
  <c r="Y26" i="3"/>
  <c r="Z26" i="3" s="1"/>
  <c r="X34" i="3"/>
  <c r="Y23" i="3"/>
  <c r="Z23" i="3" s="1"/>
  <c r="AU23" i="3"/>
  <c r="Y40" i="3"/>
  <c r="Z40" i="3" s="1"/>
  <c r="U685" i="3"/>
  <c r="D686" i="3"/>
  <c r="AT683" i="3"/>
  <c r="Y38" i="3"/>
  <c r="Z38" i="3" s="1"/>
  <c r="Y14" i="3"/>
  <c r="Z14" i="3" s="1"/>
  <c r="AF685" i="3"/>
  <c r="AT23" i="3"/>
  <c r="O686" i="3"/>
  <c r="M686" i="3"/>
  <c r="AU35" i="3"/>
  <c r="AV35" i="3" s="1"/>
  <c r="X10" i="3"/>
  <c r="D685" i="3"/>
  <c r="AU38" i="3"/>
  <c r="AK685" i="3"/>
  <c r="AU28" i="3"/>
  <c r="AT11" i="3"/>
  <c r="AP9" i="3"/>
  <c r="Y31" i="3"/>
  <c r="Z31" i="3" s="1"/>
  <c r="X26" i="3"/>
  <c r="AQ685" i="3"/>
  <c r="AX21" i="3"/>
  <c r="AX23" i="3"/>
  <c r="AU24" i="3"/>
  <c r="AT37" i="3"/>
  <c r="S686" i="3"/>
  <c r="X28" i="3"/>
  <c r="Y24" i="3"/>
  <c r="Z24" i="3" s="1"/>
  <c r="X44" i="3"/>
  <c r="B686" i="3"/>
  <c r="R686" i="3"/>
  <c r="AW682" i="3"/>
  <c r="AX35" i="3"/>
  <c r="AH684" i="3"/>
  <c r="X21" i="3"/>
  <c r="X37" i="3"/>
  <c r="Y34" i="3"/>
  <c r="Z34" i="3" s="1"/>
  <c r="Y19" i="3"/>
  <c r="Z19" i="3" s="1"/>
  <c r="AT38" i="3"/>
  <c r="Y29" i="3"/>
  <c r="Z29" i="3" s="1"/>
  <c r="X40" i="3"/>
  <c r="AX12" i="3"/>
  <c r="AX683" i="3"/>
  <c r="X29" i="3"/>
  <c r="AT43" i="3"/>
  <c r="Y10" i="3"/>
  <c r="Z10" i="3" s="1"/>
  <c r="X16" i="3"/>
  <c r="Y37" i="3"/>
  <c r="Z37" i="3" s="1"/>
  <c r="Y33" i="3"/>
  <c r="Z33" i="3" s="1"/>
  <c r="AU21" i="3"/>
  <c r="AU683" i="3"/>
  <c r="Y11" i="3"/>
  <c r="Z11" i="3" s="1"/>
  <c r="AT18" i="3"/>
  <c r="AT29" i="3"/>
  <c r="AV29" i="3" s="1"/>
  <c r="D687" i="3"/>
  <c r="AU18" i="3"/>
  <c r="AU25" i="3"/>
  <c r="AW29" i="3"/>
  <c r="X682" i="3"/>
  <c r="AW16" i="3"/>
  <c r="X13" i="3"/>
  <c r="AW21" i="3"/>
  <c r="AW23" i="3"/>
  <c r="X20" i="3"/>
  <c r="AX40" i="3"/>
  <c r="X22" i="3"/>
  <c r="X33" i="3"/>
  <c r="Y28" i="3"/>
  <c r="Z28" i="3" s="1"/>
  <c r="AW33" i="3"/>
  <c r="Y682" i="3"/>
  <c r="Z682" i="3" s="1"/>
  <c r="AX38" i="3"/>
  <c r="X19" i="3"/>
  <c r="Y18" i="3"/>
  <c r="Z18" i="3" s="1"/>
  <c r="X12" i="3"/>
  <c r="Y27" i="3"/>
  <c r="Z27" i="3" s="1"/>
  <c r="Y21" i="3"/>
  <c r="Z21" i="3" s="1"/>
  <c r="X14" i="3"/>
  <c r="AW26" i="3"/>
  <c r="Y32" i="3"/>
  <c r="Z32" i="3" s="1"/>
  <c r="AT26" i="3"/>
  <c r="P687" i="3"/>
  <c r="AX26" i="3"/>
  <c r="AW30" i="3"/>
  <c r="AG684" i="3"/>
  <c r="AU26" i="3"/>
  <c r="AX37" i="3"/>
  <c r="S687" i="3"/>
  <c r="T687" i="3"/>
  <c r="AE687" i="3"/>
  <c r="B687" i="3"/>
  <c r="AX24" i="3"/>
  <c r="AU37" i="3"/>
  <c r="Y683" i="3"/>
  <c r="Z683" i="3" s="1"/>
  <c r="AX43" i="3"/>
  <c r="Y35" i="3"/>
  <c r="Z35" i="3" s="1"/>
  <c r="Y36" i="3"/>
  <c r="Z36" i="3" s="1"/>
  <c r="Y12" i="3"/>
  <c r="Z12" i="3" s="1"/>
  <c r="AU27" i="3"/>
  <c r="X15" i="3"/>
  <c r="AW37" i="3"/>
  <c r="X18" i="3"/>
  <c r="AX33" i="3"/>
  <c r="Y43" i="3"/>
  <c r="Z43" i="3" s="1"/>
  <c r="X31" i="3"/>
  <c r="AX27" i="3"/>
  <c r="AR685" i="3"/>
  <c r="AD685" i="3"/>
  <c r="C687" i="3"/>
  <c r="AU33" i="3"/>
  <c r="AV33" i="3" s="1"/>
  <c r="R685" i="3"/>
  <c r="F687" i="3"/>
  <c r="G686" i="3"/>
  <c r="H686" i="3" s="1"/>
  <c r="P686" i="3"/>
  <c r="P685" i="3"/>
  <c r="AW24" i="3"/>
  <c r="F686" i="3"/>
  <c r="V686" i="3"/>
  <c r="AE686" i="3"/>
  <c r="M685" i="3"/>
  <c r="Y30" i="3"/>
  <c r="Z30" i="3" s="1"/>
  <c r="X9" i="3"/>
  <c r="Y41" i="3"/>
  <c r="Z41" i="3" s="1"/>
  <c r="Y20" i="3"/>
  <c r="Z20" i="3" s="1"/>
  <c r="Y22" i="3"/>
  <c r="Z22" i="3" s="1"/>
  <c r="Y25" i="3"/>
  <c r="Z25" i="3" s="1"/>
  <c r="X30" i="3"/>
  <c r="X36" i="3"/>
  <c r="Y44" i="3"/>
  <c r="Z44" i="3" s="1"/>
  <c r="AX14" i="3"/>
  <c r="AW27" i="3"/>
  <c r="AT30" i="3"/>
  <c r="AW17" i="3"/>
  <c r="AU43" i="3"/>
  <c r="AW22" i="3"/>
  <c r="AX41" i="3"/>
  <c r="AT12" i="3"/>
  <c r="AW683" i="3"/>
  <c r="AW12" i="3"/>
  <c r="AY12" i="3" s="1"/>
  <c r="AT22" i="3"/>
  <c r="AX16" i="3"/>
  <c r="AU17" i="3"/>
  <c r="AU34" i="3"/>
  <c r="AT41" i="3"/>
  <c r="AT17" i="3"/>
  <c r="X42" i="3"/>
  <c r="Y16" i="3"/>
  <c r="Z16" i="3" s="1"/>
  <c r="Y17" i="3"/>
  <c r="Z17" i="3" s="1"/>
  <c r="X35" i="3"/>
  <c r="X32" i="3"/>
  <c r="X23" i="3"/>
  <c r="AW39" i="3"/>
  <c r="X39" i="3"/>
  <c r="AW43" i="3"/>
  <c r="AU22" i="3"/>
  <c r="AU10" i="3"/>
  <c r="X41" i="3"/>
  <c r="Y39" i="3"/>
  <c r="Z39" i="3" s="1"/>
  <c r="X24" i="3"/>
  <c r="AW18" i="3"/>
  <c r="X27" i="3"/>
  <c r="X38" i="3"/>
  <c r="Y15" i="3"/>
  <c r="Z15" i="3" s="1"/>
  <c r="Y13" i="3"/>
  <c r="Z13" i="3" s="1"/>
  <c r="AU30" i="3"/>
  <c r="AT27" i="3"/>
  <c r="AU14" i="3"/>
  <c r="X43" i="3"/>
  <c r="Y9" i="3"/>
  <c r="Z9" i="3" s="1"/>
  <c r="X11" i="3"/>
  <c r="AW38" i="3"/>
  <c r="R687" i="3"/>
  <c r="Q687" i="3"/>
  <c r="AM687" i="3"/>
  <c r="G687" i="3"/>
  <c r="H687" i="3" s="1"/>
  <c r="M687" i="3"/>
  <c r="AT10" i="3"/>
  <c r="AW10" i="3"/>
  <c r="AX30" i="3"/>
  <c r="AX18" i="3"/>
  <c r="AT40" i="3"/>
  <c r="S685" i="3"/>
  <c r="C685" i="3"/>
  <c r="AM685" i="3"/>
  <c r="O685" i="3"/>
  <c r="AX22" i="3"/>
  <c r="AK687" i="3"/>
  <c r="V687" i="3"/>
  <c r="AD687" i="3"/>
  <c r="T685" i="3"/>
  <c r="AE685" i="3"/>
  <c r="AT24" i="3"/>
  <c r="AW14" i="3"/>
  <c r="U687" i="3"/>
  <c r="AF687" i="3"/>
  <c r="AQ686" i="3"/>
  <c r="T686" i="3"/>
  <c r="C686" i="3"/>
  <c r="AM686" i="3"/>
  <c r="AK686" i="3"/>
  <c r="O687" i="3"/>
  <c r="AQ687" i="3"/>
  <c r="F685" i="3"/>
  <c r="Q686" i="3"/>
  <c r="AD686" i="3"/>
  <c r="V685" i="3"/>
  <c r="Q685" i="3"/>
  <c r="AR686" i="3"/>
  <c r="B685" i="3"/>
  <c r="AF686" i="3"/>
  <c r="AT14" i="3"/>
  <c r="AX15" i="3"/>
  <c r="X25" i="3"/>
  <c r="AW42" i="3"/>
  <c r="AT31" i="3"/>
  <c r="AX10" i="3"/>
  <c r="AT682" i="3"/>
  <c r="AU15" i="3"/>
  <c r="AV15" i="3" s="1"/>
  <c r="AX29" i="3"/>
  <c r="AW34" i="3"/>
  <c r="AX9" i="3"/>
  <c r="AX34" i="3"/>
  <c r="AX39" i="3"/>
  <c r="AX11" i="3"/>
  <c r="AX682" i="3"/>
  <c r="AY682" i="3" s="1"/>
  <c r="AW28" i="3"/>
  <c r="AU9" i="3"/>
  <c r="AU3" i="3" s="1"/>
  <c r="AU4" i="3" s="1"/>
  <c r="AT9" i="3"/>
  <c r="AT3" i="3" s="1"/>
  <c r="AT4" i="3" s="1"/>
  <c r="AW9" i="3"/>
  <c r="AT21" i="3"/>
  <c r="AX42" i="3"/>
  <c r="AI9" i="3"/>
  <c r="AU42" i="3"/>
  <c r="AV42" i="3" s="1"/>
  <c r="AU16" i="3"/>
  <c r="AX17" i="3"/>
  <c r="AU41" i="3"/>
  <c r="AN684" i="3"/>
  <c r="AU31" i="3"/>
  <c r="AW15" i="3"/>
  <c r="AU682" i="3"/>
  <c r="AT39" i="3"/>
  <c r="AU39" i="3"/>
  <c r="AW11" i="3"/>
  <c r="AX20" i="3"/>
  <c r="AO684" i="3"/>
  <c r="AU11" i="3"/>
  <c r="AW40" i="3"/>
  <c r="AX28" i="3"/>
  <c r="AT36" i="3"/>
  <c r="AW25" i="3"/>
  <c r="Y684" i="3"/>
  <c r="Z684" i="3" s="1"/>
  <c r="AX25" i="3"/>
  <c r="AW31" i="3"/>
  <c r="AX13" i="3"/>
  <c r="AT32" i="3"/>
  <c r="AT13" i="3"/>
  <c r="AW41" i="3"/>
  <c r="AW13" i="3"/>
  <c r="AU13" i="3"/>
  <c r="AT34" i="3"/>
  <c r="AU40" i="3"/>
  <c r="AX32" i="3"/>
  <c r="AT28" i="3"/>
  <c r="AU20" i="3"/>
  <c r="AV20" i="3" s="1"/>
  <c r="AW20" i="3"/>
  <c r="X684" i="3"/>
  <c r="AW32" i="3"/>
  <c r="AX36" i="3"/>
  <c r="AW35" i="3"/>
  <c r="AU32" i="3"/>
  <c r="AU36" i="3"/>
  <c r="AU19" i="3"/>
  <c r="AX19" i="3"/>
  <c r="AT25" i="3"/>
  <c r="AW19" i="3"/>
  <c r="AW36" i="3"/>
  <c r="AX31" i="3"/>
  <c r="BM45" i="3"/>
  <c r="AU44" i="3"/>
  <c r="AG45" i="3"/>
  <c r="AO45" i="3"/>
  <c r="AT44" i="3"/>
  <c r="AW44" i="3"/>
  <c r="X45" i="3"/>
  <c r="Y45" i="3"/>
  <c r="Z45" i="3" s="1"/>
  <c r="BN45" i="3"/>
  <c r="AQ46" i="3"/>
  <c r="B46" i="3"/>
  <c r="A47" i="3"/>
  <c r="AR46" i="3"/>
  <c r="D46" i="3"/>
  <c r="AM46" i="3"/>
  <c r="T46" i="3"/>
  <c r="R46" i="3"/>
  <c r="AK46" i="3"/>
  <c r="O46" i="3"/>
  <c r="Q46" i="3"/>
  <c r="AD46" i="3"/>
  <c r="P46" i="3"/>
  <c r="M46" i="3"/>
  <c r="AF46" i="3"/>
  <c r="U46" i="3"/>
  <c r="V46" i="3"/>
  <c r="AE46" i="3"/>
  <c r="G46" i="3"/>
  <c r="H46" i="3" s="1"/>
  <c r="C46" i="3"/>
  <c r="F46" i="3"/>
  <c r="S46" i="3"/>
  <c r="AN45" i="3"/>
  <c r="AX44" i="3"/>
  <c r="AH45" i="3"/>
  <c r="AV19" i="3" l="1"/>
  <c r="AO685" i="3"/>
  <c r="AY16" i="3"/>
  <c r="AY21" i="3"/>
  <c r="BA29" i="3"/>
  <c r="BB29" i="3" s="1"/>
  <c r="AV12" i="3"/>
  <c r="BC12" i="3" s="1"/>
  <c r="BD12" i="3" s="1"/>
  <c r="AV11" i="3"/>
  <c r="AY24" i="3"/>
  <c r="AV14" i="3"/>
  <c r="AY9" i="3"/>
  <c r="AY18" i="3"/>
  <c r="AV23" i="3"/>
  <c r="AY36" i="3"/>
  <c r="AV683" i="3"/>
  <c r="BA23" i="3"/>
  <c r="BB23" i="3" s="1"/>
  <c r="AW684" i="3"/>
  <c r="AV38" i="3"/>
  <c r="AT684" i="3"/>
  <c r="AV41" i="3"/>
  <c r="AV28" i="3"/>
  <c r="AV37" i="3"/>
  <c r="BA24" i="3"/>
  <c r="BF24" i="3" s="1"/>
  <c r="BA37" i="3"/>
  <c r="BF37" i="3" s="1"/>
  <c r="AY683" i="3"/>
  <c r="AY35" i="3"/>
  <c r="BC35" i="3" s="1"/>
  <c r="BG35" i="3" s="1"/>
  <c r="BH35" i="3" s="1"/>
  <c r="BI35" i="3" s="1"/>
  <c r="AY17" i="3"/>
  <c r="AV43" i="3"/>
  <c r="AY23" i="3"/>
  <c r="AV21" i="3"/>
  <c r="AV18" i="3"/>
  <c r="AY41" i="3"/>
  <c r="AY40" i="3"/>
  <c r="AH687" i="3"/>
  <c r="AG687" i="3"/>
  <c r="AH685" i="3"/>
  <c r="AY38" i="3"/>
  <c r="AY29" i="3"/>
  <c r="BC29" i="3" s="1"/>
  <c r="BG29" i="3" s="1"/>
  <c r="BH29" i="3" s="1"/>
  <c r="BI29" i="3" s="1"/>
  <c r="AY37" i="3"/>
  <c r="AV30" i="3"/>
  <c r="AV22" i="3"/>
  <c r="AV17" i="3"/>
  <c r="BA33" i="3"/>
  <c r="BF33" i="3" s="1"/>
  <c r="AV26" i="3"/>
  <c r="AY33" i="3"/>
  <c r="BC33" i="3" s="1"/>
  <c r="BD33" i="3" s="1"/>
  <c r="AU684" i="3"/>
  <c r="BA12" i="3"/>
  <c r="BB12" i="3" s="1"/>
  <c r="AV40" i="3"/>
  <c r="AV27" i="3"/>
  <c r="BA30" i="3"/>
  <c r="BQ30" i="3" s="1"/>
  <c r="BA14" i="3"/>
  <c r="BQ14" i="3" s="1"/>
  <c r="AY26" i="3"/>
  <c r="BA26" i="3"/>
  <c r="BB26" i="3" s="1"/>
  <c r="BA38" i="3"/>
  <c r="BB38" i="3" s="1"/>
  <c r="AY30" i="3"/>
  <c r="Y686" i="3"/>
  <c r="Z686" i="3" s="1"/>
  <c r="AG685" i="3"/>
  <c r="BA16" i="3"/>
  <c r="BF16" i="3" s="1"/>
  <c r="BA43" i="3"/>
  <c r="BB43" i="3" s="1"/>
  <c r="X686" i="3"/>
  <c r="AN685" i="3"/>
  <c r="AY14" i="3"/>
  <c r="X687" i="3"/>
  <c r="AY27" i="3"/>
  <c r="BA683" i="3"/>
  <c r="BB683" i="3" s="1"/>
  <c r="AY22" i="3"/>
  <c r="AV10" i="3"/>
  <c r="AY43" i="3"/>
  <c r="BA27" i="3"/>
  <c r="BQ27" i="3" s="1"/>
  <c r="AV16" i="3"/>
  <c r="AV24" i="3"/>
  <c r="AO687" i="3"/>
  <c r="BA18" i="3"/>
  <c r="BB18" i="3" s="1"/>
  <c r="AY39" i="3"/>
  <c r="BA34" i="3"/>
  <c r="BF34" i="3" s="1"/>
  <c r="BA25" i="3"/>
  <c r="BF25" i="3" s="1"/>
  <c r="BA40" i="3"/>
  <c r="BQ40" i="3" s="1"/>
  <c r="BA22" i="3"/>
  <c r="BB22" i="3" s="1"/>
  <c r="AX684" i="3"/>
  <c r="AG686" i="3"/>
  <c r="AO686" i="3"/>
  <c r="Y685" i="3"/>
  <c r="Z685" i="3" s="1"/>
  <c r="X685" i="3"/>
  <c r="BA10" i="3"/>
  <c r="BB10" i="3" s="1"/>
  <c r="AN687" i="3"/>
  <c r="Y687" i="3"/>
  <c r="Z687" i="3" s="1"/>
  <c r="AV32" i="3"/>
  <c r="BA9" i="3"/>
  <c r="BQ9" i="3" s="1"/>
  <c r="AY10" i="3"/>
  <c r="AV25" i="3"/>
  <c r="BA17" i="3"/>
  <c r="BF17" i="3" s="1"/>
  <c r="AH686" i="3"/>
  <c r="AN686" i="3"/>
  <c r="AY15" i="3"/>
  <c r="BC15" i="3" s="1"/>
  <c r="BG15" i="3" s="1"/>
  <c r="BH15" i="3" s="1"/>
  <c r="BI15" i="3" s="1"/>
  <c r="AV34" i="3"/>
  <c r="BA15" i="3"/>
  <c r="BQ15" i="3" s="1"/>
  <c r="BA42" i="3"/>
  <c r="BQ42" i="3" s="1"/>
  <c r="AY42" i="3"/>
  <c r="BC42" i="3" s="1"/>
  <c r="AV36" i="3"/>
  <c r="AV31" i="3"/>
  <c r="BA19" i="3"/>
  <c r="BB19" i="3" s="1"/>
  <c r="AV39" i="3"/>
  <c r="AY20" i="3"/>
  <c r="BC20" i="3" s="1"/>
  <c r="BA682" i="3"/>
  <c r="BF682" i="3" s="1"/>
  <c r="AY34" i="3"/>
  <c r="BA21" i="3"/>
  <c r="BF21" i="3" s="1"/>
  <c r="AV9" i="3"/>
  <c r="BA31" i="3"/>
  <c r="BB31" i="3" s="1"/>
  <c r="AV682" i="3"/>
  <c r="BC682" i="3" s="1"/>
  <c r="BD682" i="3" s="1"/>
  <c r="AY11" i="3"/>
  <c r="AY28" i="3"/>
  <c r="BA39" i="3"/>
  <c r="BF39" i="3" s="1"/>
  <c r="BA11" i="3"/>
  <c r="BF11" i="3" s="1"/>
  <c r="BA41" i="3"/>
  <c r="BF41" i="3" s="1"/>
  <c r="BA28" i="3"/>
  <c r="BB28" i="3" s="1"/>
  <c r="AY31" i="3"/>
  <c r="AY25" i="3"/>
  <c r="AY13" i="3"/>
  <c r="AY32" i="3"/>
  <c r="BA13" i="3"/>
  <c r="BB13" i="3" s="1"/>
  <c r="BA36" i="3"/>
  <c r="BF36" i="3" s="1"/>
  <c r="BA32" i="3"/>
  <c r="BQ32" i="3" s="1"/>
  <c r="AV13" i="3"/>
  <c r="BA35" i="3"/>
  <c r="BB35" i="3" s="1"/>
  <c r="BA20" i="3"/>
  <c r="BF20" i="3" s="1"/>
  <c r="AY19" i="3"/>
  <c r="AV44" i="3"/>
  <c r="BN46" i="3"/>
  <c r="AX45" i="3"/>
  <c r="AY44" i="3"/>
  <c r="AG46" i="3"/>
  <c r="AN46" i="3"/>
  <c r="X46" i="3"/>
  <c r="Y46" i="3"/>
  <c r="Z46" i="3" s="1"/>
  <c r="AQ47" i="3"/>
  <c r="AR47" i="3"/>
  <c r="A48" i="3"/>
  <c r="B47" i="3"/>
  <c r="C47" i="3"/>
  <c r="AM47" i="3"/>
  <c r="D47" i="3"/>
  <c r="AK47" i="3"/>
  <c r="T47" i="3"/>
  <c r="Q47" i="3"/>
  <c r="AD47" i="3"/>
  <c r="R47" i="3"/>
  <c r="P47" i="3"/>
  <c r="O47" i="3"/>
  <c r="AE47" i="3"/>
  <c r="M47" i="3"/>
  <c r="AF47" i="3"/>
  <c r="U47" i="3"/>
  <c r="V47" i="3"/>
  <c r="F47" i="3"/>
  <c r="G47" i="3"/>
  <c r="H47" i="3" s="1"/>
  <c r="S47" i="3"/>
  <c r="BA44" i="3"/>
  <c r="AH46" i="3"/>
  <c r="AT45" i="3"/>
  <c r="AW45" i="3"/>
  <c r="AU45" i="3"/>
  <c r="BM46" i="3"/>
  <c r="AO46" i="3"/>
  <c r="BC16" i="3" l="1"/>
  <c r="BG16" i="3" s="1"/>
  <c r="BH16" i="3" s="1"/>
  <c r="BI16" i="3" s="1"/>
  <c r="BC19" i="3"/>
  <c r="BD19" i="3" s="1"/>
  <c r="BC43" i="3"/>
  <c r="BG43" i="3" s="1"/>
  <c r="BH43" i="3" s="1"/>
  <c r="BI43" i="3" s="1"/>
  <c r="BC21" i="3"/>
  <c r="BG21" i="3" s="1"/>
  <c r="BH21" i="3" s="1"/>
  <c r="BI21" i="3" s="1"/>
  <c r="BF23" i="3"/>
  <c r="BJ23" i="3" s="1"/>
  <c r="BK23" i="3" s="1"/>
  <c r="BJ33" i="3"/>
  <c r="BK33" i="3" s="1"/>
  <c r="BC17" i="3"/>
  <c r="BD17" i="3" s="1"/>
  <c r="BQ29" i="3"/>
  <c r="BF29" i="3"/>
  <c r="AV684" i="3"/>
  <c r="BC11" i="3"/>
  <c r="BD11" i="3" s="1"/>
  <c r="BC38" i="3"/>
  <c r="BD38" i="3" s="1"/>
  <c r="BC24" i="3"/>
  <c r="BD24" i="3" s="1"/>
  <c r="BC18" i="3"/>
  <c r="BG18" i="3" s="1"/>
  <c r="BH18" i="3" s="1"/>
  <c r="BI18" i="3" s="1"/>
  <c r="BC14" i="3"/>
  <c r="BD14" i="3" s="1"/>
  <c r="BC9" i="3"/>
  <c r="BG9" i="3" s="1"/>
  <c r="BH9" i="3" s="1"/>
  <c r="BI9" i="3" s="1"/>
  <c r="BC26" i="3"/>
  <c r="BG26" i="3" s="1"/>
  <c r="BH26" i="3" s="1"/>
  <c r="BI26" i="3" s="1"/>
  <c r="BC23" i="3"/>
  <c r="BD23" i="3" s="1"/>
  <c r="BC36" i="3"/>
  <c r="BD36" i="3" s="1"/>
  <c r="BC683" i="3"/>
  <c r="BG683" i="3" s="1"/>
  <c r="BH683" i="3" s="1"/>
  <c r="BI683" i="3" s="1"/>
  <c r="BC28" i="3"/>
  <c r="BD28" i="3" s="1"/>
  <c r="BQ23" i="3"/>
  <c r="BC34" i="3"/>
  <c r="BD34" i="3" s="1"/>
  <c r="AY684" i="3"/>
  <c r="BB37" i="3"/>
  <c r="BQ37" i="3"/>
  <c r="BJ36" i="3"/>
  <c r="BK36" i="3" s="1"/>
  <c r="BG12" i="3"/>
  <c r="BH12" i="3" s="1"/>
  <c r="BI12" i="3" s="1"/>
  <c r="BC41" i="3"/>
  <c r="BD41" i="3" s="1"/>
  <c r="BF30" i="3"/>
  <c r="BQ24" i="3"/>
  <c r="BC37" i="3"/>
  <c r="BG37" i="3" s="1"/>
  <c r="BH37" i="3" s="1"/>
  <c r="BI37" i="3" s="1"/>
  <c r="BB24" i="3"/>
  <c r="BJ24" i="3"/>
  <c r="BK24" i="3" s="1"/>
  <c r="BC40" i="3"/>
  <c r="BG40" i="3" s="1"/>
  <c r="BH40" i="3" s="1"/>
  <c r="BI40" i="3" s="1"/>
  <c r="AU687" i="3"/>
  <c r="BB30" i="3"/>
  <c r="BC30" i="3"/>
  <c r="BD30" i="3" s="1"/>
  <c r="AT687" i="3"/>
  <c r="BQ26" i="3"/>
  <c r="BF683" i="3"/>
  <c r="AU685" i="3"/>
  <c r="AX685" i="3"/>
  <c r="BA684" i="3"/>
  <c r="BF684" i="3" s="1"/>
  <c r="BQ33" i="3"/>
  <c r="BB33" i="3"/>
  <c r="BB14" i="3"/>
  <c r="BF12" i="3"/>
  <c r="BJ11" i="3" s="1"/>
  <c r="BK11" i="3" s="1"/>
  <c r="BC22" i="3"/>
  <c r="BG22" i="3" s="1"/>
  <c r="BH22" i="3" s="1"/>
  <c r="BI22" i="3" s="1"/>
  <c r="BQ43" i="3"/>
  <c r="AT685" i="3"/>
  <c r="BQ17" i="3"/>
  <c r="BB42" i="3"/>
  <c r="BF43" i="3"/>
  <c r="BF26" i="3"/>
  <c r="BJ25" i="3" s="1"/>
  <c r="BK25" i="3" s="1"/>
  <c r="BQ34" i="3"/>
  <c r="BQ12" i="3"/>
  <c r="AW685" i="3"/>
  <c r="BF14" i="3"/>
  <c r="BC27" i="3"/>
  <c r="BD27" i="3" s="1"/>
  <c r="BF38" i="3"/>
  <c r="BJ38" i="3" s="1"/>
  <c r="BC32" i="3"/>
  <c r="BG32" i="3" s="1"/>
  <c r="BH32" i="3" s="1"/>
  <c r="BI32" i="3" s="1"/>
  <c r="BF32" i="3"/>
  <c r="BJ32" i="3" s="1"/>
  <c r="BK32" i="3" s="1"/>
  <c r="BC25" i="3"/>
  <c r="BG25" i="3" s="1"/>
  <c r="BH25" i="3" s="1"/>
  <c r="BI25" i="3" s="1"/>
  <c r="BQ25" i="3"/>
  <c r="BQ38" i="3"/>
  <c r="BB25" i="3"/>
  <c r="BQ22" i="3"/>
  <c r="BQ16" i="3"/>
  <c r="BB16" i="3"/>
  <c r="BJ16" i="3"/>
  <c r="BK16" i="3" s="1"/>
  <c r="AX687" i="3"/>
  <c r="BQ19" i="3"/>
  <c r="BF22" i="3"/>
  <c r="BQ10" i="3"/>
  <c r="AW687" i="3"/>
  <c r="BC10" i="3"/>
  <c r="BD10" i="3" s="1"/>
  <c r="BB27" i="3"/>
  <c r="BF18" i="3"/>
  <c r="BJ17" i="3" s="1"/>
  <c r="BK17" i="3" s="1"/>
  <c r="BF9" i="3"/>
  <c r="BB34" i="3"/>
  <c r="BF27" i="3"/>
  <c r="BQ18" i="3"/>
  <c r="BF40" i="3"/>
  <c r="BJ40" i="3" s="1"/>
  <c r="BK40" i="3" s="1"/>
  <c r="BQ36" i="3"/>
  <c r="BB36" i="3"/>
  <c r="BB20" i="3"/>
  <c r="BQ13" i="3"/>
  <c r="BF19" i="3"/>
  <c r="BJ19" i="3" s="1"/>
  <c r="BK19" i="3" s="1"/>
  <c r="BB17" i="3"/>
  <c r="BF28" i="3"/>
  <c r="BQ28" i="3"/>
  <c r="BF42" i="3"/>
  <c r="BJ41" i="3" s="1"/>
  <c r="BK41" i="3" s="1"/>
  <c r="BF10" i="3"/>
  <c r="BJ10" i="3" s="1"/>
  <c r="BK10" i="3" s="1"/>
  <c r="BC39" i="3"/>
  <c r="BD39" i="3" s="1"/>
  <c r="BF15" i="3"/>
  <c r="BJ15" i="3" s="1"/>
  <c r="BK15" i="3" s="1"/>
  <c r="BB40" i="3"/>
  <c r="AU686" i="3"/>
  <c r="AT686" i="3"/>
  <c r="BB9" i="3"/>
  <c r="BQ31" i="3"/>
  <c r="BB15" i="3"/>
  <c r="BF31" i="3"/>
  <c r="BB21" i="3"/>
  <c r="BB11" i="3"/>
  <c r="BQ21" i="3"/>
  <c r="AW686" i="3"/>
  <c r="AX686" i="3"/>
  <c r="BC31" i="3"/>
  <c r="BG31" i="3" s="1"/>
  <c r="BH31" i="3" s="1"/>
  <c r="BI31" i="3" s="1"/>
  <c r="BG33" i="3"/>
  <c r="BH33" i="3" s="1"/>
  <c r="BI33" i="3" s="1"/>
  <c r="BG42" i="3"/>
  <c r="BH42" i="3" s="1"/>
  <c r="BI42" i="3" s="1"/>
  <c r="BD42" i="3"/>
  <c r="BG20" i="3"/>
  <c r="BH20" i="3" s="1"/>
  <c r="BI20" i="3" s="1"/>
  <c r="BD20" i="3"/>
  <c r="BQ20" i="3"/>
  <c r="BJ20" i="3"/>
  <c r="BK20" i="3" s="1"/>
  <c r="BB682" i="3"/>
  <c r="BQ39" i="3"/>
  <c r="BF13" i="3"/>
  <c r="BG682" i="3"/>
  <c r="BH682" i="3" s="1"/>
  <c r="BI682" i="3" s="1"/>
  <c r="BB39" i="3"/>
  <c r="BF35" i="3"/>
  <c r="BJ34" i="3" s="1"/>
  <c r="BK34" i="3" s="1"/>
  <c r="BQ41" i="3"/>
  <c r="BB41" i="3"/>
  <c r="BQ11" i="3"/>
  <c r="BG19" i="3"/>
  <c r="BH19" i="3" s="1"/>
  <c r="BI19" i="3" s="1"/>
  <c r="BC13" i="3"/>
  <c r="BG13" i="3" s="1"/>
  <c r="BH13" i="3" s="1"/>
  <c r="BI13" i="3" s="1"/>
  <c r="BD35" i="3"/>
  <c r="BB32" i="3"/>
  <c r="BQ35" i="3"/>
  <c r="BN47" i="3"/>
  <c r="BD15" i="3"/>
  <c r="BD29" i="3"/>
  <c r="BC44" i="3"/>
  <c r="BG44" i="3" s="1"/>
  <c r="BH44" i="3" s="1"/>
  <c r="BI44" i="3" s="1"/>
  <c r="AT46" i="3"/>
  <c r="BM47" i="3"/>
  <c r="AO47" i="3"/>
  <c r="AY45" i="3"/>
  <c r="AU46" i="3"/>
  <c r="AX46" i="3"/>
  <c r="AV45" i="3"/>
  <c r="BB44" i="3"/>
  <c r="BF44" i="3"/>
  <c r="BQ44" i="3"/>
  <c r="Y47" i="3"/>
  <c r="Z47" i="3" s="1"/>
  <c r="AR48" i="3"/>
  <c r="B48" i="3"/>
  <c r="AQ48" i="3"/>
  <c r="A49" i="3"/>
  <c r="AM48" i="3"/>
  <c r="R48" i="3"/>
  <c r="AK48" i="3"/>
  <c r="S48" i="3"/>
  <c r="T48" i="3"/>
  <c r="AD48" i="3"/>
  <c r="O48" i="3"/>
  <c r="P48" i="3"/>
  <c r="M48" i="3"/>
  <c r="AE48" i="3"/>
  <c r="AF48" i="3"/>
  <c r="U48" i="3"/>
  <c r="V48" i="3"/>
  <c r="Q48" i="3"/>
  <c r="C48" i="3"/>
  <c r="D48" i="3"/>
  <c r="G48" i="3"/>
  <c r="H48" i="3" s="1"/>
  <c r="F48" i="3"/>
  <c r="BA45" i="3"/>
  <c r="AW46" i="3"/>
  <c r="AG47" i="3"/>
  <c r="AH47" i="3"/>
  <c r="X47" i="3"/>
  <c r="AN47" i="3"/>
  <c r="BD16" i="3" l="1"/>
  <c r="BD43" i="3"/>
  <c r="BG17" i="3"/>
  <c r="BH17" i="3" s="1"/>
  <c r="BI17" i="3" s="1"/>
  <c r="BD21" i="3"/>
  <c r="BJ28" i="3"/>
  <c r="BK28" i="3" s="1"/>
  <c r="BJ22" i="3"/>
  <c r="BK22" i="3" s="1"/>
  <c r="BJ29" i="3"/>
  <c r="BK29" i="3" s="1"/>
  <c r="BC684" i="3"/>
  <c r="BD684" i="3" s="1"/>
  <c r="BG14" i="3"/>
  <c r="BH14" i="3" s="1"/>
  <c r="BI14" i="3" s="1"/>
  <c r="BG11" i="3"/>
  <c r="BH11" i="3" s="1"/>
  <c r="BI11" i="3" s="1"/>
  <c r="BG38" i="3"/>
  <c r="BH38" i="3" s="1"/>
  <c r="BI38" i="3" s="1"/>
  <c r="BG24" i="3"/>
  <c r="BH24" i="3" s="1"/>
  <c r="BI24" i="3" s="1"/>
  <c r="BD18" i="3"/>
  <c r="BD9" i="3"/>
  <c r="BD26" i="3"/>
  <c r="BG23" i="3"/>
  <c r="BH23" i="3" s="1"/>
  <c r="BI23" i="3" s="1"/>
  <c r="AY687" i="3"/>
  <c r="BD683" i="3"/>
  <c r="BG36" i="3"/>
  <c r="BH36" i="3" s="1"/>
  <c r="BI36" i="3" s="1"/>
  <c r="BG28" i="3"/>
  <c r="BH28" i="3" s="1"/>
  <c r="BI28" i="3" s="1"/>
  <c r="BJ30" i="3"/>
  <c r="BK30" i="3" s="1"/>
  <c r="BG34" i="3"/>
  <c r="BH34" i="3" s="1"/>
  <c r="BI34" i="3" s="1"/>
  <c r="BG41" i="3"/>
  <c r="BH41" i="3" s="1"/>
  <c r="BI41" i="3" s="1"/>
  <c r="AV46" i="3"/>
  <c r="AV687" i="3"/>
  <c r="BD37" i="3"/>
  <c r="BD40" i="3"/>
  <c r="BG30" i="3"/>
  <c r="BH30" i="3" s="1"/>
  <c r="BI30" i="3" s="1"/>
  <c r="AO48" i="3"/>
  <c r="BJ43" i="3"/>
  <c r="BK43" i="3" s="1"/>
  <c r="BB684" i="3"/>
  <c r="AV685" i="3"/>
  <c r="BJ37" i="3"/>
  <c r="BK37" i="3" s="1"/>
  <c r="BD22" i="3"/>
  <c r="BJ13" i="3"/>
  <c r="BK13" i="3" s="1"/>
  <c r="AY685" i="3"/>
  <c r="BJ26" i="3"/>
  <c r="BK26" i="3" s="1"/>
  <c r="BD25" i="3"/>
  <c r="BA685" i="3"/>
  <c r="BB685" i="3" s="1"/>
  <c r="BG27" i="3"/>
  <c r="BH27" i="3" s="1"/>
  <c r="BI27" i="3" s="1"/>
  <c r="BD32" i="3"/>
  <c r="BA687" i="3"/>
  <c r="BB687" i="3" s="1"/>
  <c r="BJ31" i="3"/>
  <c r="BK31" i="3" s="1"/>
  <c r="BJ27" i="3"/>
  <c r="BK27" i="3" s="1"/>
  <c r="BJ21" i="3"/>
  <c r="BK21" i="3" s="1"/>
  <c r="BJ39" i="3"/>
  <c r="BJ42" i="3"/>
  <c r="BK42" i="3" s="1"/>
  <c r="BJ12" i="3"/>
  <c r="BK12" i="3" s="1"/>
  <c r="BG10" i="3"/>
  <c r="BH10" i="3" s="1"/>
  <c r="BI10" i="3" s="1"/>
  <c r="BJ18" i="3"/>
  <c r="BK18" i="3" s="1"/>
  <c r="BJ9" i="3"/>
  <c r="BK9" i="3" s="1"/>
  <c r="BG39" i="3"/>
  <c r="BH39" i="3" s="1"/>
  <c r="BI39" i="3" s="1"/>
  <c r="BD31" i="3"/>
  <c r="BJ14" i="3"/>
  <c r="BK14" i="3" s="1"/>
  <c r="BJ35" i="3"/>
  <c r="BK35" i="3" s="1"/>
  <c r="AV686" i="3"/>
  <c r="BA686" i="3"/>
  <c r="BB686" i="3" s="1"/>
  <c r="AY686" i="3"/>
  <c r="BK38" i="3"/>
  <c r="BD13" i="3"/>
  <c r="BD44" i="3"/>
  <c r="BN48" i="3"/>
  <c r="BC45" i="3"/>
  <c r="BD45" i="3" s="1"/>
  <c r="BA46" i="3"/>
  <c r="BQ46" i="3" s="1"/>
  <c r="AU47" i="3"/>
  <c r="AH48" i="3"/>
  <c r="AN48" i="3"/>
  <c r="X48" i="3"/>
  <c r="AY46" i="3"/>
  <c r="BB45" i="3"/>
  <c r="BF45" i="3"/>
  <c r="BJ44" i="3" s="1"/>
  <c r="BK44" i="3" s="1"/>
  <c r="BQ45" i="3"/>
  <c r="Y48" i="3"/>
  <c r="Z48" i="3" s="1"/>
  <c r="AQ49" i="3"/>
  <c r="AR49" i="3"/>
  <c r="A50" i="3"/>
  <c r="B49" i="3"/>
  <c r="D49" i="3"/>
  <c r="AK49" i="3"/>
  <c r="R49" i="3"/>
  <c r="AM49" i="3"/>
  <c r="S49" i="3"/>
  <c r="Q49" i="3"/>
  <c r="AD49" i="3"/>
  <c r="AE49" i="3"/>
  <c r="U49" i="3"/>
  <c r="P49" i="3"/>
  <c r="O49" i="3"/>
  <c r="AF49" i="3"/>
  <c r="M49" i="3"/>
  <c r="V49" i="3"/>
  <c r="C49" i="3"/>
  <c r="G49" i="3"/>
  <c r="H49" i="3" s="1"/>
  <c r="F49" i="3"/>
  <c r="T49" i="3"/>
  <c r="AT47" i="3"/>
  <c r="AW47" i="3"/>
  <c r="BM48" i="3"/>
  <c r="AG48" i="3"/>
  <c r="AX47" i="3"/>
  <c r="BG684" i="3" l="1"/>
  <c r="BH684" i="3" s="1"/>
  <c r="BI684" i="3" s="1"/>
  <c r="BC687" i="3"/>
  <c r="BD687" i="3" s="1"/>
  <c r="BC685" i="3"/>
  <c r="BD685" i="3" s="1"/>
  <c r="BC46" i="3"/>
  <c r="BG46" i="3" s="1"/>
  <c r="BH46" i="3" s="1"/>
  <c r="BI46" i="3" s="1"/>
  <c r="BK39" i="3"/>
  <c r="BF685" i="3"/>
  <c r="BF687" i="3"/>
  <c r="BC686" i="3"/>
  <c r="BF686" i="3"/>
  <c r="AN49" i="3"/>
  <c r="BB46" i="3"/>
  <c r="BM49" i="3"/>
  <c r="BG45" i="3"/>
  <c r="BH45" i="3" s="1"/>
  <c r="BI45" i="3" s="1"/>
  <c r="BF46" i="3"/>
  <c r="BJ45" i="3" s="1"/>
  <c r="BN49" i="3"/>
  <c r="AW48" i="3"/>
  <c r="Y49" i="3"/>
  <c r="Z49" i="3" s="1"/>
  <c r="AV47" i="3"/>
  <c r="BA47" i="3"/>
  <c r="AQ50" i="3"/>
  <c r="B50" i="3"/>
  <c r="A51" i="3"/>
  <c r="AR50" i="3"/>
  <c r="C50" i="3"/>
  <c r="AK50" i="3"/>
  <c r="T50" i="3"/>
  <c r="AM50" i="3"/>
  <c r="Q50" i="3"/>
  <c r="AD50" i="3"/>
  <c r="P50" i="3"/>
  <c r="S50" i="3"/>
  <c r="O50" i="3"/>
  <c r="AE50" i="3"/>
  <c r="AF50" i="3"/>
  <c r="U50" i="3"/>
  <c r="M50" i="3"/>
  <c r="V50" i="3"/>
  <c r="D50" i="3"/>
  <c r="G50" i="3"/>
  <c r="H50" i="3" s="1"/>
  <c r="F50" i="3"/>
  <c r="R50" i="3"/>
  <c r="AU48" i="3"/>
  <c r="AX48" i="3"/>
  <c r="X49" i="3"/>
  <c r="AH49" i="3"/>
  <c r="AY47" i="3"/>
  <c r="AT48" i="3"/>
  <c r="AG49" i="3"/>
  <c r="AO49" i="3"/>
  <c r="BM50" i="3" l="1"/>
  <c r="BG687" i="3"/>
  <c r="BH687" i="3" s="1"/>
  <c r="BI687" i="3" s="1"/>
  <c r="BG685" i="3"/>
  <c r="BH685" i="3" s="1"/>
  <c r="BI685" i="3" s="1"/>
  <c r="BD46" i="3"/>
  <c r="AN50" i="3"/>
  <c r="BG686" i="3"/>
  <c r="BH686" i="3" s="1"/>
  <c r="BI686" i="3" s="1"/>
  <c r="BD686" i="3"/>
  <c r="BN50" i="3"/>
  <c r="BC47" i="3"/>
  <c r="BD47" i="3" s="1"/>
  <c r="AY48" i="3"/>
  <c r="AG50" i="3"/>
  <c r="BK45" i="3"/>
  <c r="Y50" i="3"/>
  <c r="Z50" i="3" s="1"/>
  <c r="AQ51" i="3"/>
  <c r="AR51" i="3"/>
  <c r="A52" i="3"/>
  <c r="B51" i="3"/>
  <c r="D51" i="3"/>
  <c r="S51" i="3"/>
  <c r="AK51" i="3"/>
  <c r="AM51" i="3"/>
  <c r="AD51" i="3"/>
  <c r="Q51" i="3"/>
  <c r="R51" i="3"/>
  <c r="P51" i="3"/>
  <c r="O51" i="3"/>
  <c r="AE51" i="3"/>
  <c r="M51" i="3"/>
  <c r="AF51" i="3"/>
  <c r="U51" i="3"/>
  <c r="V51" i="3"/>
  <c r="C51" i="3"/>
  <c r="G51" i="3"/>
  <c r="H51" i="3" s="1"/>
  <c r="F51" i="3"/>
  <c r="T51" i="3"/>
  <c r="AX49" i="3"/>
  <c r="AO50" i="3"/>
  <c r="AT49" i="3"/>
  <c r="AW49" i="3"/>
  <c r="X50" i="3"/>
  <c r="AV48" i="3"/>
  <c r="BA48" i="3"/>
  <c r="BB47" i="3"/>
  <c r="BQ47" i="3"/>
  <c r="BF47" i="3"/>
  <c r="BJ46" i="3" s="1"/>
  <c r="BK46" i="3" s="1"/>
  <c r="AU49" i="3"/>
  <c r="AH50" i="3"/>
  <c r="BM51" i="3" l="1"/>
  <c r="AU50" i="3"/>
  <c r="BN51" i="3"/>
  <c r="BG47" i="3"/>
  <c r="BH47" i="3" s="1"/>
  <c r="BI47" i="3" s="1"/>
  <c r="BC48" i="3"/>
  <c r="BG48" i="3" s="1"/>
  <c r="BH48" i="3" s="1"/>
  <c r="BI48" i="3" s="1"/>
  <c r="Y51" i="3"/>
  <c r="Z51" i="3" s="1"/>
  <c r="AN51" i="3"/>
  <c r="AT50" i="3"/>
  <c r="AW50" i="3"/>
  <c r="AG51" i="3"/>
  <c r="AY49" i="3"/>
  <c r="BF48" i="3"/>
  <c r="BJ47" i="3" s="1"/>
  <c r="BK47" i="3" s="1"/>
  <c r="BB48" i="3"/>
  <c r="BQ48" i="3"/>
  <c r="AV49" i="3"/>
  <c r="BA49" i="3"/>
  <c r="AR52" i="3"/>
  <c r="B52" i="3"/>
  <c r="AQ52" i="3"/>
  <c r="A53" i="3"/>
  <c r="D52" i="3"/>
  <c r="AK52" i="3"/>
  <c r="R52" i="3"/>
  <c r="AM52" i="3"/>
  <c r="C52" i="3"/>
  <c r="P52" i="3"/>
  <c r="AD52" i="3"/>
  <c r="M52" i="3"/>
  <c r="AE52" i="3"/>
  <c r="U52" i="3"/>
  <c r="O52" i="3"/>
  <c r="AF52" i="3"/>
  <c r="V52" i="3"/>
  <c r="Q52" i="3"/>
  <c r="G52" i="3"/>
  <c r="H52" i="3" s="1"/>
  <c r="F52" i="3"/>
  <c r="T52" i="3"/>
  <c r="S52" i="3"/>
  <c r="AX50" i="3"/>
  <c r="X51" i="3"/>
  <c r="AH51" i="3"/>
  <c r="AO51" i="3"/>
  <c r="BN52" i="3" l="1"/>
  <c r="BD48" i="3"/>
  <c r="AV50" i="3"/>
  <c r="AY50" i="3"/>
  <c r="AN52" i="3"/>
  <c r="BM52" i="3"/>
  <c r="AT51" i="3"/>
  <c r="AG52" i="3"/>
  <c r="BC49" i="3"/>
  <c r="BG49" i="3" s="1"/>
  <c r="BH49" i="3" s="1"/>
  <c r="BI49" i="3" s="1"/>
  <c r="AW51" i="3"/>
  <c r="AU51" i="3"/>
  <c r="X52" i="3"/>
  <c r="Y52" i="3"/>
  <c r="Z52" i="3" s="1"/>
  <c r="BA50" i="3"/>
  <c r="BF50" i="3" s="1"/>
  <c r="AQ53" i="3"/>
  <c r="AR53" i="3"/>
  <c r="A54" i="3"/>
  <c r="B53" i="3"/>
  <c r="S53" i="3"/>
  <c r="AM53" i="3"/>
  <c r="AK53" i="3"/>
  <c r="Q53" i="3"/>
  <c r="AD53" i="3"/>
  <c r="P53" i="3"/>
  <c r="T53" i="3"/>
  <c r="R53" i="3"/>
  <c r="O53" i="3"/>
  <c r="AF53" i="3"/>
  <c r="M53" i="3"/>
  <c r="AE53" i="3"/>
  <c r="U53" i="3"/>
  <c r="V53" i="3"/>
  <c r="F53" i="3"/>
  <c r="D53" i="3"/>
  <c r="C53" i="3"/>
  <c r="G53" i="3"/>
  <c r="H53" i="3" s="1"/>
  <c r="BQ49" i="3"/>
  <c r="BB49" i="3"/>
  <c r="BF49" i="3"/>
  <c r="BJ48" i="3" s="1"/>
  <c r="BK48" i="3" s="1"/>
  <c r="AX51" i="3"/>
  <c r="AO52" i="3"/>
  <c r="AH52" i="3"/>
  <c r="BN53" i="3" l="1"/>
  <c r="BC50" i="3"/>
  <c r="BG50" i="3" s="1"/>
  <c r="BH50" i="3" s="1"/>
  <c r="BI50" i="3" s="1"/>
  <c r="AV51" i="3"/>
  <c r="AX52" i="3"/>
  <c r="BD49" i="3"/>
  <c r="BM53" i="3"/>
  <c r="BA51" i="3"/>
  <c r="BF51" i="3" s="1"/>
  <c r="AT52" i="3"/>
  <c r="AU52" i="3"/>
  <c r="AW52" i="3"/>
  <c r="AH53" i="3"/>
  <c r="AO53" i="3"/>
  <c r="BB50" i="3"/>
  <c r="BQ50" i="3"/>
  <c r="Y53" i="3"/>
  <c r="Z53" i="3" s="1"/>
  <c r="AY51" i="3"/>
  <c r="AG53" i="3"/>
  <c r="AN53" i="3"/>
  <c r="BJ49" i="3"/>
  <c r="BK49" i="3" s="1"/>
  <c r="AQ54" i="3"/>
  <c r="B54" i="3"/>
  <c r="A55" i="3"/>
  <c r="AR54" i="3"/>
  <c r="D54" i="3"/>
  <c r="C54" i="3"/>
  <c r="AK54" i="3"/>
  <c r="S54" i="3"/>
  <c r="AM54" i="3"/>
  <c r="Q54" i="3"/>
  <c r="R54" i="3"/>
  <c r="O54" i="3"/>
  <c r="AD54" i="3"/>
  <c r="M54" i="3"/>
  <c r="AE54" i="3"/>
  <c r="AF54" i="3"/>
  <c r="U54" i="3"/>
  <c r="P54" i="3"/>
  <c r="V54" i="3"/>
  <c r="F54" i="3"/>
  <c r="G54" i="3"/>
  <c r="H54" i="3" s="1"/>
  <c r="T54" i="3"/>
  <c r="X53" i="3"/>
  <c r="BN54" i="3" l="1"/>
  <c r="BM54" i="3"/>
  <c r="BD50" i="3"/>
  <c r="BC51" i="3"/>
  <c r="BD51" i="3" s="1"/>
  <c r="BQ51" i="3"/>
  <c r="AN54" i="3"/>
  <c r="AY52" i="3"/>
  <c r="AG54" i="3"/>
  <c r="BB51" i="3"/>
  <c r="AX53" i="3"/>
  <c r="BA52" i="3"/>
  <c r="BF52" i="3" s="1"/>
  <c r="BJ51" i="3" s="1"/>
  <c r="AT53" i="3"/>
  <c r="AU53" i="3"/>
  <c r="AV52" i="3"/>
  <c r="AH54" i="3"/>
  <c r="AO54" i="3"/>
  <c r="Y54" i="3"/>
  <c r="Z54" i="3" s="1"/>
  <c r="X54" i="3"/>
  <c r="AW53" i="3"/>
  <c r="AQ55" i="3"/>
  <c r="AR55" i="3"/>
  <c r="A56" i="3"/>
  <c r="B55" i="3"/>
  <c r="C55" i="3"/>
  <c r="AM55" i="3"/>
  <c r="AK55" i="3"/>
  <c r="T55" i="3"/>
  <c r="Q55" i="3"/>
  <c r="R55" i="3"/>
  <c r="AD55" i="3"/>
  <c r="O55" i="3"/>
  <c r="P55" i="3"/>
  <c r="AE55" i="3"/>
  <c r="M55" i="3"/>
  <c r="V55" i="3"/>
  <c r="U55" i="3"/>
  <c r="AF55" i="3"/>
  <c r="G55" i="3"/>
  <c r="H55" i="3" s="1"/>
  <c r="F55" i="3"/>
  <c r="D55" i="3"/>
  <c r="S55" i="3"/>
  <c r="BJ50" i="3"/>
  <c r="BK50" i="3" s="1"/>
  <c r="BG51" i="3" l="1"/>
  <c r="BH51" i="3" s="1"/>
  <c r="BI51" i="3" s="1"/>
  <c r="BK51" i="3"/>
  <c r="AY53" i="3"/>
  <c r="AU54" i="3"/>
  <c r="BB52" i="3"/>
  <c r="BM55" i="3"/>
  <c r="BC52" i="3"/>
  <c r="BG52" i="3" s="1"/>
  <c r="BH52" i="3" s="1"/>
  <c r="BI52" i="3" s="1"/>
  <c r="AT54" i="3"/>
  <c r="BQ52" i="3"/>
  <c r="AV53" i="3"/>
  <c r="AN55" i="3"/>
  <c r="AX54" i="3"/>
  <c r="AW54" i="3"/>
  <c r="Y55" i="3"/>
  <c r="Z55" i="3" s="1"/>
  <c r="AR56" i="3"/>
  <c r="B56" i="3"/>
  <c r="AQ56" i="3"/>
  <c r="A57" i="3"/>
  <c r="C56" i="3"/>
  <c r="T56" i="3"/>
  <c r="Q56" i="3"/>
  <c r="AK56" i="3"/>
  <c r="AM56" i="3"/>
  <c r="R56" i="3"/>
  <c r="AD56" i="3"/>
  <c r="P56" i="3"/>
  <c r="O56" i="3"/>
  <c r="AE56" i="3"/>
  <c r="V56" i="3"/>
  <c r="M56" i="3"/>
  <c r="AF56" i="3"/>
  <c r="U56" i="3"/>
  <c r="G56" i="3"/>
  <c r="H56" i="3" s="1"/>
  <c r="F56" i="3"/>
  <c r="D56" i="3"/>
  <c r="S56" i="3"/>
  <c r="BN55" i="3"/>
  <c r="AH55" i="3"/>
  <c r="AO55" i="3"/>
  <c r="BA53" i="3"/>
  <c r="X55" i="3"/>
  <c r="AG55" i="3"/>
  <c r="BD52" i="3" l="1"/>
  <c r="AV54" i="3"/>
  <c r="BC53" i="3"/>
  <c r="BG53" i="3" s="1"/>
  <c r="BH53" i="3" s="1"/>
  <c r="BI53" i="3" s="1"/>
  <c r="AN56" i="3"/>
  <c r="BM56" i="3"/>
  <c r="BA54" i="3"/>
  <c r="BB54" i="3" s="1"/>
  <c r="AY54" i="3"/>
  <c r="AW55" i="3"/>
  <c r="X56" i="3"/>
  <c r="Y56" i="3"/>
  <c r="Z56" i="3" s="1"/>
  <c r="AT55" i="3"/>
  <c r="BN56" i="3"/>
  <c r="AH56" i="3"/>
  <c r="BB53" i="3"/>
  <c r="BQ53" i="3"/>
  <c r="BF53" i="3"/>
  <c r="BJ52" i="3" s="1"/>
  <c r="BK52" i="3" s="1"/>
  <c r="AU55" i="3"/>
  <c r="AX55" i="3"/>
  <c r="AQ57" i="3"/>
  <c r="AR57" i="3"/>
  <c r="A58" i="3"/>
  <c r="B57" i="3"/>
  <c r="AM57" i="3"/>
  <c r="Q57" i="3"/>
  <c r="AK57" i="3"/>
  <c r="T57" i="3"/>
  <c r="P57" i="3"/>
  <c r="O57" i="3"/>
  <c r="AD57" i="3"/>
  <c r="AF57" i="3"/>
  <c r="U57" i="3"/>
  <c r="AE57" i="3"/>
  <c r="M57" i="3"/>
  <c r="V57" i="3"/>
  <c r="C57" i="3"/>
  <c r="D57" i="3"/>
  <c r="G57" i="3"/>
  <c r="H57" i="3" s="1"/>
  <c r="R57" i="3"/>
  <c r="F57" i="3"/>
  <c r="BM57" i="3" s="1"/>
  <c r="S57" i="3"/>
  <c r="AG56" i="3"/>
  <c r="AO56" i="3"/>
  <c r="AO57" i="3" l="1"/>
  <c r="BC54" i="3"/>
  <c r="BD54" i="3" s="1"/>
  <c r="BD53" i="3"/>
  <c r="BN57" i="3"/>
  <c r="AY55" i="3"/>
  <c r="BF54" i="3"/>
  <c r="BJ53" i="3" s="1"/>
  <c r="BK53" i="3" s="1"/>
  <c r="BQ54" i="3"/>
  <c r="AH57" i="3"/>
  <c r="Y57" i="3"/>
  <c r="Z57" i="3" s="1"/>
  <c r="AV55" i="3"/>
  <c r="BA55" i="3"/>
  <c r="AW56" i="3"/>
  <c r="X57" i="3"/>
  <c r="AG57" i="3"/>
  <c r="AT56" i="3"/>
  <c r="AX56" i="3"/>
  <c r="AQ58" i="3"/>
  <c r="B58" i="3"/>
  <c r="A59" i="3"/>
  <c r="AR58" i="3"/>
  <c r="D58" i="3"/>
  <c r="AK58" i="3"/>
  <c r="S58" i="3"/>
  <c r="Q58" i="3"/>
  <c r="AM58" i="3"/>
  <c r="T58" i="3"/>
  <c r="R58" i="3"/>
  <c r="AD58" i="3"/>
  <c r="P58" i="3"/>
  <c r="O58" i="3"/>
  <c r="AE58" i="3"/>
  <c r="M58" i="3"/>
  <c r="AF58" i="3"/>
  <c r="U58" i="3"/>
  <c r="V58" i="3"/>
  <c r="C58" i="3"/>
  <c r="G58" i="3"/>
  <c r="H58" i="3" s="1"/>
  <c r="F58" i="3"/>
  <c r="AN57" i="3"/>
  <c r="AU56" i="3"/>
  <c r="BN58" i="3" l="1"/>
  <c r="BM58" i="3"/>
  <c r="AT57" i="3"/>
  <c r="BG54" i="3"/>
  <c r="BH54" i="3" s="1"/>
  <c r="BI54" i="3" s="1"/>
  <c r="BC55" i="3"/>
  <c r="BG55" i="3" s="1"/>
  <c r="BH55" i="3" s="1"/>
  <c r="BI55" i="3" s="1"/>
  <c r="AN58" i="3"/>
  <c r="AU57" i="3"/>
  <c r="AX57" i="3"/>
  <c r="Y58" i="3"/>
  <c r="Z58" i="3" s="1"/>
  <c r="AQ59" i="3"/>
  <c r="AR59" i="3"/>
  <c r="A60" i="3"/>
  <c r="B59" i="3"/>
  <c r="D59" i="3"/>
  <c r="AK59" i="3"/>
  <c r="C59" i="3"/>
  <c r="AM59" i="3"/>
  <c r="R59" i="3"/>
  <c r="Q59" i="3"/>
  <c r="AD59" i="3"/>
  <c r="P59" i="3"/>
  <c r="O59" i="3"/>
  <c r="AE59" i="3"/>
  <c r="M59" i="3"/>
  <c r="V59" i="3"/>
  <c r="AF59" i="3"/>
  <c r="U59" i="3"/>
  <c r="F59" i="3"/>
  <c r="G59" i="3"/>
  <c r="H59" i="3" s="1"/>
  <c r="T59" i="3"/>
  <c r="S59" i="3"/>
  <c r="BA56" i="3"/>
  <c r="AV56" i="3"/>
  <c r="AG58" i="3"/>
  <c r="AW57" i="3"/>
  <c r="AY56" i="3"/>
  <c r="BQ55" i="3"/>
  <c r="BF55" i="3"/>
  <c r="BJ54" i="3" s="1"/>
  <c r="BK54" i="3" s="1"/>
  <c r="BB55" i="3"/>
  <c r="X58" i="3"/>
  <c r="AH58" i="3"/>
  <c r="AO58" i="3"/>
  <c r="BM59" i="3" l="1"/>
  <c r="AV57" i="3"/>
  <c r="BD55" i="3"/>
  <c r="AN59" i="3"/>
  <c r="AU58" i="3"/>
  <c r="BN59" i="3"/>
  <c r="AY57" i="3"/>
  <c r="AG59" i="3"/>
  <c r="BA57" i="3"/>
  <c r="BB57" i="3" s="1"/>
  <c r="X59" i="3"/>
  <c r="AT58" i="3"/>
  <c r="AW58" i="3"/>
  <c r="BB56" i="3"/>
  <c r="BQ56" i="3"/>
  <c r="BF56" i="3"/>
  <c r="BJ55" i="3" s="1"/>
  <c r="BK55" i="3" s="1"/>
  <c r="Y59" i="3"/>
  <c r="Z59" i="3" s="1"/>
  <c r="AR60" i="3"/>
  <c r="B60" i="3"/>
  <c r="AQ60" i="3"/>
  <c r="A61" i="3"/>
  <c r="D60" i="3"/>
  <c r="AK60" i="3"/>
  <c r="AM60" i="3"/>
  <c r="T60" i="3"/>
  <c r="Q60" i="3"/>
  <c r="AD60" i="3"/>
  <c r="O60" i="3"/>
  <c r="S60" i="3"/>
  <c r="P60" i="3"/>
  <c r="AF60" i="3"/>
  <c r="V60" i="3"/>
  <c r="M60" i="3"/>
  <c r="AE60" i="3"/>
  <c r="U60" i="3"/>
  <c r="G60" i="3"/>
  <c r="H60" i="3" s="1"/>
  <c r="F60" i="3"/>
  <c r="R60" i="3"/>
  <c r="C60" i="3"/>
  <c r="AX58" i="3"/>
  <c r="AH59" i="3"/>
  <c r="BC56" i="3"/>
  <c r="AO59" i="3"/>
  <c r="AU59" i="3" l="1"/>
  <c r="BC57" i="3"/>
  <c r="BD57" i="3" s="1"/>
  <c r="BN60" i="3"/>
  <c r="BQ57" i="3"/>
  <c r="AW59" i="3"/>
  <c r="AT59" i="3"/>
  <c r="AN60" i="3"/>
  <c r="BF57" i="3"/>
  <c r="BJ56" i="3" s="1"/>
  <c r="X60" i="3"/>
  <c r="AG60" i="3"/>
  <c r="AQ61" i="3"/>
  <c r="AR61" i="3"/>
  <c r="A62" i="3"/>
  <c r="B61" i="3"/>
  <c r="D61" i="3"/>
  <c r="C61" i="3"/>
  <c r="AM61" i="3"/>
  <c r="S61" i="3"/>
  <c r="AK61" i="3"/>
  <c r="Q61" i="3"/>
  <c r="R61" i="3"/>
  <c r="AD61" i="3"/>
  <c r="P61" i="3"/>
  <c r="M61" i="3"/>
  <c r="AE61" i="3"/>
  <c r="O61" i="3"/>
  <c r="V61" i="3"/>
  <c r="U61" i="3"/>
  <c r="AF61" i="3"/>
  <c r="F61" i="3"/>
  <c r="G61" i="3"/>
  <c r="H61" i="3" s="1"/>
  <c r="T61" i="3"/>
  <c r="BA58" i="3"/>
  <c r="AV58" i="3"/>
  <c r="AX59" i="3"/>
  <c r="BM60" i="3"/>
  <c r="AH60" i="3"/>
  <c r="AO60" i="3"/>
  <c r="BD56" i="3"/>
  <c r="BG56" i="3"/>
  <c r="BH56" i="3" s="1"/>
  <c r="BI56" i="3" s="1"/>
  <c r="Y60" i="3"/>
  <c r="Z60" i="3" s="1"/>
  <c r="AY58" i="3"/>
  <c r="BN61" i="3" l="1"/>
  <c r="AV59" i="3"/>
  <c r="BK56" i="3"/>
  <c r="BG57" i="3"/>
  <c r="BH57" i="3" s="1"/>
  <c r="BI57" i="3" s="1"/>
  <c r="AY59" i="3"/>
  <c r="BM61" i="3"/>
  <c r="AO61" i="3"/>
  <c r="AT60" i="3"/>
  <c r="AW60" i="3"/>
  <c r="BC58" i="3"/>
  <c r="BG58" i="3" s="1"/>
  <c r="BH58" i="3" s="1"/>
  <c r="BI58" i="3" s="1"/>
  <c r="AX60" i="3"/>
  <c r="AH61" i="3"/>
  <c r="AG61" i="3"/>
  <c r="BB58" i="3"/>
  <c r="BQ58" i="3"/>
  <c r="BF58" i="3"/>
  <c r="BJ57" i="3" s="1"/>
  <c r="BK57" i="3" s="1"/>
  <c r="AU60" i="3"/>
  <c r="Y61" i="3"/>
  <c r="Z61" i="3" s="1"/>
  <c r="X61" i="3"/>
  <c r="BA59" i="3"/>
  <c r="AQ62" i="3"/>
  <c r="B62" i="3"/>
  <c r="A63" i="3"/>
  <c r="AR62" i="3"/>
  <c r="D62" i="3"/>
  <c r="AM62" i="3"/>
  <c r="Q62" i="3"/>
  <c r="R62" i="3"/>
  <c r="AK62" i="3"/>
  <c r="P62" i="3"/>
  <c r="O62" i="3"/>
  <c r="AD62" i="3"/>
  <c r="M62" i="3"/>
  <c r="AE62" i="3"/>
  <c r="AF62" i="3"/>
  <c r="V62" i="3"/>
  <c r="U62" i="3"/>
  <c r="F62" i="3"/>
  <c r="C62" i="3"/>
  <c r="T62" i="3"/>
  <c r="G62" i="3"/>
  <c r="H62" i="3" s="1"/>
  <c r="BN62" i="3" s="1"/>
  <c r="S62" i="3"/>
  <c r="AN61" i="3"/>
  <c r="BC59" i="3" l="1"/>
  <c r="BG59" i="3" s="1"/>
  <c r="BH59" i="3" s="1"/>
  <c r="BI59" i="3" s="1"/>
  <c r="AY60" i="3"/>
  <c r="BD58" i="3"/>
  <c r="BM62" i="3"/>
  <c r="AV60" i="3"/>
  <c r="AT61" i="3"/>
  <c r="AX61" i="3"/>
  <c r="AN62" i="3"/>
  <c r="AW61" i="3"/>
  <c r="AG62" i="3"/>
  <c r="AU61" i="3"/>
  <c r="BA60" i="3"/>
  <c r="BB60" i="3" s="1"/>
  <c r="X62" i="3"/>
  <c r="Y62" i="3"/>
  <c r="Z62" i="3" s="1"/>
  <c r="AQ63" i="3"/>
  <c r="AR63" i="3"/>
  <c r="A64" i="3"/>
  <c r="B63" i="3"/>
  <c r="D63" i="3"/>
  <c r="AK63" i="3"/>
  <c r="AM63" i="3"/>
  <c r="Q63" i="3"/>
  <c r="AD63" i="3"/>
  <c r="O63" i="3"/>
  <c r="P63" i="3"/>
  <c r="M63" i="3"/>
  <c r="AF63" i="3"/>
  <c r="AE63" i="3"/>
  <c r="U63" i="3"/>
  <c r="V63" i="3"/>
  <c r="C63" i="3"/>
  <c r="G63" i="3"/>
  <c r="H63" i="3" s="1"/>
  <c r="R63" i="3"/>
  <c r="F63" i="3"/>
  <c r="S63" i="3"/>
  <c r="T63" i="3"/>
  <c r="AH62" i="3"/>
  <c r="AO62" i="3"/>
  <c r="BQ59" i="3"/>
  <c r="BB59" i="3"/>
  <c r="BF59" i="3"/>
  <c r="BJ58" i="3" s="1"/>
  <c r="BK58" i="3" s="1"/>
  <c r="BD59" i="3" l="1"/>
  <c r="BC60" i="3"/>
  <c r="BD60" i="3" s="1"/>
  <c r="AV61" i="3"/>
  <c r="BM63" i="3"/>
  <c r="BN63" i="3"/>
  <c r="AO63" i="3"/>
  <c r="AU62" i="3"/>
  <c r="AT62" i="3"/>
  <c r="BF60" i="3"/>
  <c r="BJ59" i="3" s="1"/>
  <c r="BK59" i="3" s="1"/>
  <c r="BQ60" i="3"/>
  <c r="AY61" i="3"/>
  <c r="AW62" i="3"/>
  <c r="BA61" i="3"/>
  <c r="BQ61" i="3" s="1"/>
  <c r="Y63" i="3"/>
  <c r="Z63" i="3" s="1"/>
  <c r="AG63" i="3"/>
  <c r="AQ64" i="3"/>
  <c r="B64" i="3"/>
  <c r="A65" i="3"/>
  <c r="AR64" i="3"/>
  <c r="D64" i="3"/>
  <c r="C64" i="3"/>
  <c r="AM64" i="3"/>
  <c r="Q64" i="3"/>
  <c r="AK64" i="3"/>
  <c r="R64" i="3"/>
  <c r="S64" i="3"/>
  <c r="AD64" i="3"/>
  <c r="P64" i="3"/>
  <c r="O64" i="3"/>
  <c r="V64" i="3"/>
  <c r="AE64" i="3"/>
  <c r="AF64" i="3"/>
  <c r="M64" i="3"/>
  <c r="U64" i="3"/>
  <c r="F64" i="3"/>
  <c r="G64" i="3"/>
  <c r="H64" i="3" s="1"/>
  <c r="T64" i="3"/>
  <c r="AX62" i="3"/>
  <c r="X63" i="3"/>
  <c r="AH63" i="3"/>
  <c r="AN63" i="3"/>
  <c r="BN64" i="3" l="1"/>
  <c r="BG60" i="3"/>
  <c r="BH60" i="3" s="1"/>
  <c r="BI60" i="3" s="1"/>
  <c r="BM64" i="3"/>
  <c r="BC61" i="3"/>
  <c r="BD61" i="3" s="1"/>
  <c r="AO64" i="3"/>
  <c r="AV62" i="3"/>
  <c r="AG64" i="3"/>
  <c r="BF61" i="3"/>
  <c r="BJ60" i="3" s="1"/>
  <c r="BA62" i="3"/>
  <c r="BB62" i="3" s="1"/>
  <c r="BB61" i="3"/>
  <c r="AX63" i="3"/>
  <c r="AT63" i="3"/>
  <c r="Y64" i="3"/>
  <c r="Z64" i="3" s="1"/>
  <c r="AQ65" i="3"/>
  <c r="AR65" i="3"/>
  <c r="A66" i="3"/>
  <c r="B65" i="3"/>
  <c r="AK65" i="3"/>
  <c r="AM65" i="3"/>
  <c r="T65" i="3"/>
  <c r="R65" i="3"/>
  <c r="AD65" i="3"/>
  <c r="O65" i="3"/>
  <c r="S65" i="3"/>
  <c r="Q65" i="3"/>
  <c r="P65" i="3"/>
  <c r="M65" i="3"/>
  <c r="V65" i="3"/>
  <c r="U65" i="3"/>
  <c r="AF65" i="3"/>
  <c r="AE65" i="3"/>
  <c r="D65" i="3"/>
  <c r="F65" i="3"/>
  <c r="C65" i="3"/>
  <c r="G65" i="3"/>
  <c r="H65" i="3" s="1"/>
  <c r="AW63" i="3"/>
  <c r="AU63" i="3"/>
  <c r="AY62" i="3"/>
  <c r="AH64" i="3"/>
  <c r="AN64" i="3"/>
  <c r="X64" i="3"/>
  <c r="BK60" i="3" l="1"/>
  <c r="BG61" i="3"/>
  <c r="BH61" i="3" s="1"/>
  <c r="BI61" i="3" s="1"/>
  <c r="AV63" i="3"/>
  <c r="BC62" i="3"/>
  <c r="BD62" i="3" s="1"/>
  <c r="BQ62" i="3"/>
  <c r="AU64" i="3"/>
  <c r="AY63" i="3"/>
  <c r="BF62" i="3"/>
  <c r="BJ61" i="3" s="1"/>
  <c r="BK61" i="3" s="1"/>
  <c r="AO65" i="3"/>
  <c r="AT64" i="3"/>
  <c r="AW64" i="3"/>
  <c r="X65" i="3"/>
  <c r="Y65" i="3"/>
  <c r="Z65" i="3" s="1"/>
  <c r="AX64" i="3"/>
  <c r="BN65" i="3"/>
  <c r="BM65" i="3"/>
  <c r="AG65" i="3"/>
  <c r="AN65" i="3"/>
  <c r="BA63" i="3"/>
  <c r="AQ66" i="3"/>
  <c r="B66" i="3"/>
  <c r="A67" i="3"/>
  <c r="AR66" i="3"/>
  <c r="C66" i="3"/>
  <c r="Q66" i="3"/>
  <c r="AM66" i="3"/>
  <c r="AK66" i="3"/>
  <c r="AD66" i="3"/>
  <c r="R66" i="3"/>
  <c r="O66" i="3"/>
  <c r="AE66" i="3"/>
  <c r="M66" i="3"/>
  <c r="V66" i="3"/>
  <c r="U66" i="3"/>
  <c r="AF66" i="3"/>
  <c r="D66" i="3"/>
  <c r="F66" i="3"/>
  <c r="S66" i="3"/>
  <c r="T66" i="3"/>
  <c r="G66" i="3"/>
  <c r="H66" i="3" s="1"/>
  <c r="P66" i="3"/>
  <c r="AH65" i="3"/>
  <c r="BN66" i="3" l="1"/>
  <c r="AV64" i="3"/>
  <c r="BC63" i="3"/>
  <c r="BD63" i="3" s="1"/>
  <c r="BG62" i="3"/>
  <c r="BH62" i="3" s="1"/>
  <c r="BI62" i="3" s="1"/>
  <c r="BM66" i="3"/>
  <c r="AY64" i="3"/>
  <c r="AX65" i="3"/>
  <c r="AO66" i="3"/>
  <c r="BF63" i="3"/>
  <c r="BJ62" i="3" s="1"/>
  <c r="BK62" i="3" s="1"/>
  <c r="BQ63" i="3"/>
  <c r="BB63" i="3"/>
  <c r="Y66" i="3"/>
  <c r="Z66" i="3" s="1"/>
  <c r="AQ67" i="3"/>
  <c r="AR67" i="3"/>
  <c r="A68" i="3"/>
  <c r="B67" i="3"/>
  <c r="C67" i="3"/>
  <c r="AM67" i="3"/>
  <c r="S67" i="3"/>
  <c r="AK67" i="3"/>
  <c r="R67" i="3"/>
  <c r="Q67" i="3"/>
  <c r="AD67" i="3"/>
  <c r="P67" i="3"/>
  <c r="T67" i="3"/>
  <c r="O67" i="3"/>
  <c r="M67" i="3"/>
  <c r="AF67" i="3"/>
  <c r="V67" i="3"/>
  <c r="AE67" i="3"/>
  <c r="U67" i="3"/>
  <c r="D67" i="3"/>
  <c r="G67" i="3"/>
  <c r="H67" i="3" s="1"/>
  <c r="F67" i="3"/>
  <c r="AU65" i="3"/>
  <c r="X66" i="3"/>
  <c r="AH66" i="3"/>
  <c r="AN66" i="3"/>
  <c r="AT65" i="3"/>
  <c r="AW65" i="3"/>
  <c r="BA64" i="3"/>
  <c r="AG66" i="3"/>
  <c r="BC64" i="3" l="1"/>
  <c r="BD64" i="3" s="1"/>
  <c r="AO67" i="3"/>
  <c r="BG63" i="3"/>
  <c r="BH63" i="3" s="1"/>
  <c r="BI63" i="3" s="1"/>
  <c r="BM67" i="3"/>
  <c r="AT66" i="3"/>
  <c r="AY65" i="3"/>
  <c r="AG67" i="3"/>
  <c r="Y67" i="3"/>
  <c r="Z67" i="3" s="1"/>
  <c r="AH67" i="3"/>
  <c r="AN67" i="3"/>
  <c r="BF64" i="3"/>
  <c r="BJ63" i="3" s="1"/>
  <c r="BK63" i="3" s="1"/>
  <c r="BQ64" i="3"/>
  <c r="BB64" i="3"/>
  <c r="AV65" i="3"/>
  <c r="BA65" i="3"/>
  <c r="AQ68" i="3"/>
  <c r="B68" i="3"/>
  <c r="A69" i="3"/>
  <c r="AR68" i="3"/>
  <c r="AM68" i="3"/>
  <c r="AK68" i="3"/>
  <c r="D68" i="3"/>
  <c r="R68" i="3"/>
  <c r="T68" i="3"/>
  <c r="Q68" i="3"/>
  <c r="AD68" i="3"/>
  <c r="P68" i="3"/>
  <c r="AF68" i="3"/>
  <c r="V68" i="3"/>
  <c r="U68" i="3"/>
  <c r="O68" i="3"/>
  <c r="AE68" i="3"/>
  <c r="M68" i="3"/>
  <c r="C68" i="3"/>
  <c r="G68" i="3"/>
  <c r="H68" i="3" s="1"/>
  <c r="F68" i="3"/>
  <c r="S68" i="3"/>
  <c r="AW66" i="3"/>
  <c r="AU66" i="3"/>
  <c r="AX66" i="3"/>
  <c r="BN67" i="3"/>
  <c r="X67" i="3"/>
  <c r="BM68" i="3" l="1"/>
  <c r="BG64" i="3"/>
  <c r="BH64" i="3" s="1"/>
  <c r="BI64" i="3" s="1"/>
  <c r="AG68" i="3"/>
  <c r="AU67" i="3"/>
  <c r="AT67" i="3"/>
  <c r="BC65" i="3"/>
  <c r="BG65" i="3" s="1"/>
  <c r="BH65" i="3" s="1"/>
  <c r="BI65" i="3" s="1"/>
  <c r="AV66" i="3"/>
  <c r="AN68" i="3"/>
  <c r="AX67" i="3"/>
  <c r="AY66" i="3"/>
  <c r="Y68" i="3"/>
  <c r="Z68" i="3" s="1"/>
  <c r="BQ65" i="3"/>
  <c r="BF65" i="3"/>
  <c r="BB65" i="3"/>
  <c r="AH68" i="3"/>
  <c r="X68" i="3"/>
  <c r="BN68" i="3"/>
  <c r="AO68" i="3"/>
  <c r="AW67" i="3"/>
  <c r="BA66" i="3"/>
  <c r="AQ69" i="3"/>
  <c r="AR69" i="3"/>
  <c r="A70" i="3"/>
  <c r="B69" i="3"/>
  <c r="C69" i="3"/>
  <c r="AM69" i="3"/>
  <c r="S69" i="3"/>
  <c r="R69" i="3"/>
  <c r="D69" i="3"/>
  <c r="AK69" i="3"/>
  <c r="Q69" i="3"/>
  <c r="AD69" i="3"/>
  <c r="O69" i="3"/>
  <c r="P69" i="3"/>
  <c r="M69" i="3"/>
  <c r="AE69" i="3"/>
  <c r="U69" i="3"/>
  <c r="V69" i="3"/>
  <c r="AF69" i="3"/>
  <c r="F69" i="3"/>
  <c r="G69" i="3"/>
  <c r="H69" i="3" s="1"/>
  <c r="T69" i="3"/>
  <c r="BN69" i="3" l="1"/>
  <c r="BD65" i="3"/>
  <c r="AO69" i="3"/>
  <c r="AV67" i="3"/>
  <c r="BM69" i="3"/>
  <c r="BC66" i="3"/>
  <c r="BD66" i="3" s="1"/>
  <c r="AX68" i="3"/>
  <c r="AG69" i="3"/>
  <c r="BA67" i="3"/>
  <c r="BB67" i="3" s="1"/>
  <c r="AT68" i="3"/>
  <c r="AY67" i="3"/>
  <c r="AU68" i="3"/>
  <c r="AW68" i="3"/>
  <c r="Y69" i="3"/>
  <c r="Z69" i="3" s="1"/>
  <c r="BF66" i="3"/>
  <c r="BJ65" i="3" s="1"/>
  <c r="BK65" i="3" s="1"/>
  <c r="BB66" i="3"/>
  <c r="BQ66" i="3"/>
  <c r="AQ70" i="3"/>
  <c r="B70" i="3"/>
  <c r="A71" i="3"/>
  <c r="AR70" i="3"/>
  <c r="C70" i="3"/>
  <c r="D70" i="3"/>
  <c r="AK70" i="3"/>
  <c r="T70" i="3"/>
  <c r="AM70" i="3"/>
  <c r="R70" i="3"/>
  <c r="Q70" i="3"/>
  <c r="AD70" i="3"/>
  <c r="P70" i="3"/>
  <c r="O70" i="3"/>
  <c r="AE70" i="3"/>
  <c r="AF70" i="3"/>
  <c r="M70" i="3"/>
  <c r="V70" i="3"/>
  <c r="U70" i="3"/>
  <c r="G70" i="3"/>
  <c r="H70" i="3" s="1"/>
  <c r="F70" i="3"/>
  <c r="BM70" i="3" s="1"/>
  <c r="S70" i="3"/>
  <c r="AH69" i="3"/>
  <c r="AN69" i="3"/>
  <c r="X69" i="3"/>
  <c r="BJ64" i="3"/>
  <c r="BK64" i="3" s="1"/>
  <c r="BN70" i="3" l="1"/>
  <c r="AY68" i="3"/>
  <c r="AN70" i="3"/>
  <c r="BG66" i="3"/>
  <c r="BH66" i="3" s="1"/>
  <c r="BI66" i="3" s="1"/>
  <c r="BC67" i="3"/>
  <c r="BD67" i="3" s="1"/>
  <c r="AV68" i="3"/>
  <c r="BQ67" i="3"/>
  <c r="AT69" i="3"/>
  <c r="BF67" i="3"/>
  <c r="BJ66" i="3" s="1"/>
  <c r="BA68" i="3"/>
  <c r="BQ68" i="3" s="1"/>
  <c r="AX69" i="3"/>
  <c r="X70" i="3"/>
  <c r="AQ71" i="3"/>
  <c r="AR71" i="3"/>
  <c r="A72" i="3"/>
  <c r="B71" i="3"/>
  <c r="AM71" i="3"/>
  <c r="AK71" i="3"/>
  <c r="R71" i="3"/>
  <c r="AD71" i="3"/>
  <c r="P71" i="3"/>
  <c r="Q71" i="3"/>
  <c r="AE71" i="3"/>
  <c r="AF71" i="3"/>
  <c r="O71" i="3"/>
  <c r="M71" i="3"/>
  <c r="V71" i="3"/>
  <c r="U71" i="3"/>
  <c r="D71" i="3"/>
  <c r="G71" i="3"/>
  <c r="H71" i="3" s="1"/>
  <c r="C71" i="3"/>
  <c r="F71" i="3"/>
  <c r="T71" i="3"/>
  <c r="S71" i="3"/>
  <c r="AU69" i="3"/>
  <c r="AW69" i="3"/>
  <c r="AG70" i="3"/>
  <c r="AO70" i="3"/>
  <c r="Y70" i="3"/>
  <c r="Z70" i="3" s="1"/>
  <c r="AH70" i="3"/>
  <c r="BC68" i="3" l="1"/>
  <c r="BG68" i="3" s="1"/>
  <c r="BH68" i="3" s="1"/>
  <c r="BI68" i="3" s="1"/>
  <c r="BG67" i="3"/>
  <c r="BH67" i="3" s="1"/>
  <c r="BI67" i="3" s="1"/>
  <c r="BK66" i="3"/>
  <c r="BM71" i="3"/>
  <c r="BN71" i="3"/>
  <c r="AN71" i="3"/>
  <c r="BB68" i="3"/>
  <c r="AV69" i="3"/>
  <c r="BF68" i="3"/>
  <c r="BJ67" i="3" s="1"/>
  <c r="AX70" i="3"/>
  <c r="AY69" i="3"/>
  <c r="AO71" i="3"/>
  <c r="AG71" i="3"/>
  <c r="X71" i="3"/>
  <c r="BA69" i="3"/>
  <c r="BQ69" i="3" s="1"/>
  <c r="Y71" i="3"/>
  <c r="Z71" i="3" s="1"/>
  <c r="AH71" i="3"/>
  <c r="AQ72" i="3"/>
  <c r="B72" i="3"/>
  <c r="A73" i="3"/>
  <c r="AR72" i="3"/>
  <c r="D72" i="3"/>
  <c r="Q72" i="3"/>
  <c r="R72" i="3"/>
  <c r="AM72" i="3"/>
  <c r="AK72" i="3"/>
  <c r="S72" i="3"/>
  <c r="AD72" i="3"/>
  <c r="P72" i="3"/>
  <c r="O72" i="3"/>
  <c r="M72" i="3"/>
  <c r="U72" i="3"/>
  <c r="AF72" i="3"/>
  <c r="AE72" i="3"/>
  <c r="V72" i="3"/>
  <c r="F72" i="3"/>
  <c r="G72" i="3"/>
  <c r="H72" i="3" s="1"/>
  <c r="C72" i="3"/>
  <c r="T72" i="3"/>
  <c r="AT70" i="3"/>
  <c r="AU70" i="3"/>
  <c r="AW70" i="3"/>
  <c r="BK67" i="3" l="1"/>
  <c r="BD68" i="3"/>
  <c r="BN72" i="3"/>
  <c r="AG72" i="3"/>
  <c r="AO72" i="3"/>
  <c r="BF69" i="3"/>
  <c r="BJ68" i="3" s="1"/>
  <c r="BK68" i="3" s="1"/>
  <c r="X72" i="3"/>
  <c r="BC69" i="3"/>
  <c r="BG69" i="3" s="1"/>
  <c r="BH69" i="3" s="1"/>
  <c r="BI69" i="3" s="1"/>
  <c r="AY70" i="3"/>
  <c r="AU71" i="3"/>
  <c r="Y72" i="3"/>
  <c r="Z72" i="3" s="1"/>
  <c r="AX71" i="3"/>
  <c r="AW71" i="3"/>
  <c r="AT71" i="3"/>
  <c r="BB69" i="3"/>
  <c r="AV70" i="3"/>
  <c r="BA70" i="3"/>
  <c r="AN72" i="3"/>
  <c r="AQ73" i="3"/>
  <c r="AR73" i="3"/>
  <c r="A74" i="3"/>
  <c r="B73" i="3"/>
  <c r="AM73" i="3"/>
  <c r="D73" i="3"/>
  <c r="C73" i="3"/>
  <c r="AK73" i="3"/>
  <c r="R73" i="3"/>
  <c r="Q73" i="3"/>
  <c r="AD73" i="3"/>
  <c r="P73" i="3"/>
  <c r="O73" i="3"/>
  <c r="M73" i="3"/>
  <c r="AF73" i="3"/>
  <c r="AE73" i="3"/>
  <c r="U73" i="3"/>
  <c r="V73" i="3"/>
  <c r="G73" i="3"/>
  <c r="H73" i="3" s="1"/>
  <c r="F73" i="3"/>
  <c r="S73" i="3"/>
  <c r="T73" i="3"/>
  <c r="BM72" i="3"/>
  <c r="AH72" i="3"/>
  <c r="AV71" i="3" l="1"/>
  <c r="BC70" i="3"/>
  <c r="BD70" i="3" s="1"/>
  <c r="BM73" i="3"/>
  <c r="AX72" i="3"/>
  <c r="BD69" i="3"/>
  <c r="AU72" i="3"/>
  <c r="AY71" i="3"/>
  <c r="AO73" i="3"/>
  <c r="BA71" i="3"/>
  <c r="BB71" i="3" s="1"/>
  <c r="AG73" i="3"/>
  <c r="Y73" i="3"/>
  <c r="Z73" i="3" s="1"/>
  <c r="AQ74" i="3"/>
  <c r="B74" i="3"/>
  <c r="A75" i="3"/>
  <c r="AR74" i="3"/>
  <c r="D74" i="3"/>
  <c r="AK74" i="3"/>
  <c r="S74" i="3"/>
  <c r="R74" i="3"/>
  <c r="AM74" i="3"/>
  <c r="Q74" i="3"/>
  <c r="AD74" i="3"/>
  <c r="P74" i="3"/>
  <c r="O74" i="3"/>
  <c r="AE74" i="3"/>
  <c r="AF74" i="3"/>
  <c r="U74" i="3"/>
  <c r="V74" i="3"/>
  <c r="M74" i="3"/>
  <c r="F74" i="3"/>
  <c r="G74" i="3"/>
  <c r="H74" i="3" s="1"/>
  <c r="C74" i="3"/>
  <c r="T74" i="3"/>
  <c r="AW72" i="3"/>
  <c r="X73" i="3"/>
  <c r="BN73" i="3"/>
  <c r="AH73" i="3"/>
  <c r="AN73" i="3"/>
  <c r="AT72" i="3"/>
  <c r="BB70" i="3"/>
  <c r="BQ70" i="3"/>
  <c r="BF70" i="3"/>
  <c r="BJ69" i="3" s="1"/>
  <c r="BK69" i="3" s="1"/>
  <c r="BC71" i="3" l="1"/>
  <c r="BD71" i="3" s="1"/>
  <c r="AT73" i="3"/>
  <c r="BG70" i="3"/>
  <c r="BH70" i="3" s="1"/>
  <c r="BI70" i="3" s="1"/>
  <c r="BN74" i="3"/>
  <c r="AY72" i="3"/>
  <c r="AU73" i="3"/>
  <c r="BQ71" i="3"/>
  <c r="BF71" i="3"/>
  <c r="BJ70" i="3" s="1"/>
  <c r="AO74" i="3"/>
  <c r="Y74" i="3"/>
  <c r="Z74" i="3" s="1"/>
  <c r="AG74" i="3"/>
  <c r="AW73" i="3"/>
  <c r="AV72" i="3"/>
  <c r="BA72" i="3"/>
  <c r="A76" i="3"/>
  <c r="AQ75" i="3"/>
  <c r="B75" i="3"/>
  <c r="AR75" i="3"/>
  <c r="AM75" i="3"/>
  <c r="T75" i="3"/>
  <c r="S75" i="3"/>
  <c r="R75" i="3"/>
  <c r="AK75" i="3"/>
  <c r="Q75" i="3"/>
  <c r="AD75" i="3"/>
  <c r="M75" i="3"/>
  <c r="O75" i="3"/>
  <c r="AE75" i="3"/>
  <c r="U75" i="3"/>
  <c r="AF75" i="3"/>
  <c r="V75" i="3"/>
  <c r="C75" i="3"/>
  <c r="D75" i="3"/>
  <c r="F75" i="3"/>
  <c r="G75" i="3"/>
  <c r="H75" i="3" s="1"/>
  <c r="P75" i="3"/>
  <c r="AX73" i="3"/>
  <c r="X74" i="3"/>
  <c r="BM74" i="3"/>
  <c r="AH74" i="3"/>
  <c r="AN74" i="3"/>
  <c r="BM75" i="3" l="1"/>
  <c r="BG71" i="3"/>
  <c r="BH71" i="3" s="1"/>
  <c r="BI71" i="3" s="1"/>
  <c r="AV73" i="3"/>
  <c r="BK70" i="3"/>
  <c r="BN75" i="3"/>
  <c r="AO75" i="3"/>
  <c r="BC72" i="3"/>
  <c r="BD72" i="3" s="1"/>
  <c r="AT74" i="3"/>
  <c r="AY73" i="3"/>
  <c r="AX74" i="3"/>
  <c r="AH75" i="3"/>
  <c r="BQ72" i="3"/>
  <c r="BF72" i="3"/>
  <c r="BJ71" i="3" s="1"/>
  <c r="BB72" i="3"/>
  <c r="AW74" i="3"/>
  <c r="AU74" i="3"/>
  <c r="Y75" i="3"/>
  <c r="Z75" i="3" s="1"/>
  <c r="X75" i="3"/>
  <c r="AG75" i="3"/>
  <c r="BA73" i="3"/>
  <c r="A77" i="3"/>
  <c r="B76" i="3"/>
  <c r="AR76" i="3"/>
  <c r="AQ76" i="3"/>
  <c r="C76" i="3"/>
  <c r="D76" i="3"/>
  <c r="AM76" i="3"/>
  <c r="AK76" i="3"/>
  <c r="Q76" i="3"/>
  <c r="R76" i="3"/>
  <c r="AD76" i="3"/>
  <c r="O76" i="3"/>
  <c r="P76" i="3"/>
  <c r="AE76" i="3"/>
  <c r="M76" i="3"/>
  <c r="U76" i="3"/>
  <c r="AF76" i="3"/>
  <c r="V76" i="3"/>
  <c r="G76" i="3"/>
  <c r="H76" i="3" s="1"/>
  <c r="F76" i="3"/>
  <c r="T76" i="3"/>
  <c r="S76" i="3"/>
  <c r="AN75" i="3"/>
  <c r="BK71" i="3" l="1"/>
  <c r="AV74" i="3"/>
  <c r="BC73" i="3"/>
  <c r="BD73" i="3" s="1"/>
  <c r="AX75" i="3"/>
  <c r="BN76" i="3"/>
  <c r="BG72" i="3"/>
  <c r="BH72" i="3" s="1"/>
  <c r="BI72" i="3" s="1"/>
  <c r="AY74" i="3"/>
  <c r="AN76" i="3"/>
  <c r="BQ73" i="3"/>
  <c r="BB73" i="3"/>
  <c r="BF73" i="3"/>
  <c r="BJ72" i="3" s="1"/>
  <c r="AW75" i="3"/>
  <c r="X76" i="3"/>
  <c r="BM76" i="3"/>
  <c r="AG76" i="3"/>
  <c r="AO76" i="3"/>
  <c r="AT75" i="3"/>
  <c r="AR77" i="3"/>
  <c r="B77" i="3"/>
  <c r="AQ77" i="3"/>
  <c r="A78" i="3"/>
  <c r="AM77" i="3"/>
  <c r="C77" i="3"/>
  <c r="AK77" i="3"/>
  <c r="T77" i="3"/>
  <c r="R77" i="3"/>
  <c r="AD77" i="3"/>
  <c r="P77" i="3"/>
  <c r="O77" i="3"/>
  <c r="U77" i="3"/>
  <c r="AE77" i="3"/>
  <c r="M77" i="3"/>
  <c r="AF77" i="3"/>
  <c r="V77" i="3"/>
  <c r="G77" i="3"/>
  <c r="H77" i="3" s="1"/>
  <c r="F77" i="3"/>
  <c r="Q77" i="3"/>
  <c r="D77" i="3"/>
  <c r="S77" i="3"/>
  <c r="Y76" i="3"/>
  <c r="Z76" i="3" s="1"/>
  <c r="AH76" i="3"/>
  <c r="AU75" i="3"/>
  <c r="BA74" i="3"/>
  <c r="BC74" i="3" l="1"/>
  <c r="BD74" i="3" s="1"/>
  <c r="BG73" i="3"/>
  <c r="BH73" i="3" s="1"/>
  <c r="BI73" i="3" s="1"/>
  <c r="AY75" i="3"/>
  <c r="BK72" i="3"/>
  <c r="AO77" i="3"/>
  <c r="AH77" i="3"/>
  <c r="BM77" i="3"/>
  <c r="AX76" i="3"/>
  <c r="AT76" i="3"/>
  <c r="AU76" i="3"/>
  <c r="Y77" i="3"/>
  <c r="Z77" i="3" s="1"/>
  <c r="BB74" i="3"/>
  <c r="BF74" i="3"/>
  <c r="BJ73" i="3" s="1"/>
  <c r="BK73" i="3" s="1"/>
  <c r="BQ74" i="3"/>
  <c r="B78" i="3"/>
  <c r="AQ78" i="3"/>
  <c r="AR78" i="3"/>
  <c r="A79" i="3"/>
  <c r="AK78" i="3"/>
  <c r="AM78" i="3"/>
  <c r="R78" i="3"/>
  <c r="Q78" i="3"/>
  <c r="T78" i="3"/>
  <c r="AD78" i="3"/>
  <c r="P78" i="3"/>
  <c r="M78" i="3"/>
  <c r="AF78" i="3"/>
  <c r="AE78" i="3"/>
  <c r="V78" i="3"/>
  <c r="O78" i="3"/>
  <c r="U78" i="3"/>
  <c r="D78" i="3"/>
  <c r="C78" i="3"/>
  <c r="G78" i="3"/>
  <c r="H78" i="3" s="1"/>
  <c r="F78" i="3"/>
  <c r="S78" i="3"/>
  <c r="BA75" i="3"/>
  <c r="AV75" i="3"/>
  <c r="X77" i="3"/>
  <c r="BN77" i="3"/>
  <c r="AG77" i="3"/>
  <c r="AW76" i="3"/>
  <c r="AN77" i="3"/>
  <c r="BG74" i="3" l="1"/>
  <c r="BH74" i="3" s="1"/>
  <c r="BI74" i="3" s="1"/>
  <c r="AY76" i="3"/>
  <c r="BM78" i="3"/>
  <c r="BN78" i="3"/>
  <c r="BC75" i="3"/>
  <c r="BD75" i="3" s="1"/>
  <c r="AO78" i="3"/>
  <c r="AX77" i="3"/>
  <c r="AV76" i="3"/>
  <c r="BF75" i="3"/>
  <c r="BJ74" i="3" s="1"/>
  <c r="BK74" i="3" s="1"/>
  <c r="BQ75" i="3"/>
  <c r="BB75" i="3"/>
  <c r="Y78" i="3"/>
  <c r="Z78" i="3" s="1"/>
  <c r="A80" i="3"/>
  <c r="AQ79" i="3"/>
  <c r="B79" i="3"/>
  <c r="AR79" i="3"/>
  <c r="C79" i="3"/>
  <c r="D79" i="3"/>
  <c r="AM79" i="3"/>
  <c r="T79" i="3"/>
  <c r="S79" i="3"/>
  <c r="AK79" i="3"/>
  <c r="R79" i="3"/>
  <c r="Q79" i="3"/>
  <c r="AD79" i="3"/>
  <c r="O79" i="3"/>
  <c r="P79" i="3"/>
  <c r="M79" i="3"/>
  <c r="AE79" i="3"/>
  <c r="AF79" i="3"/>
  <c r="U79" i="3"/>
  <c r="V79" i="3"/>
  <c r="G79" i="3"/>
  <c r="H79" i="3" s="1"/>
  <c r="F79" i="3"/>
  <c r="AW77" i="3"/>
  <c r="AU77" i="3"/>
  <c r="AT77" i="3"/>
  <c r="X78" i="3"/>
  <c r="AG78" i="3"/>
  <c r="AH78" i="3"/>
  <c r="AN78" i="3"/>
  <c r="BA76" i="3"/>
  <c r="BC76" i="3" l="1"/>
  <c r="BD76" i="3" s="1"/>
  <c r="BG75" i="3"/>
  <c r="BH75" i="3" s="1"/>
  <c r="BI75" i="3" s="1"/>
  <c r="AY77" i="3"/>
  <c r="BM79" i="3"/>
  <c r="BN79" i="3"/>
  <c r="AG79" i="3"/>
  <c r="AN79" i="3"/>
  <c r="BQ76" i="3"/>
  <c r="BB76" i="3"/>
  <c r="BF76" i="3"/>
  <c r="BJ75" i="3" s="1"/>
  <c r="BK75" i="3" s="1"/>
  <c r="BA77" i="3"/>
  <c r="AV77" i="3"/>
  <c r="Y79" i="3"/>
  <c r="Z79" i="3" s="1"/>
  <c r="AW78" i="3"/>
  <c r="AT78" i="3"/>
  <c r="AU78" i="3"/>
  <c r="AX78" i="3"/>
  <c r="AO79" i="3"/>
  <c r="A81" i="3"/>
  <c r="B80" i="3"/>
  <c r="AR80" i="3"/>
  <c r="AQ80" i="3"/>
  <c r="T80" i="3"/>
  <c r="AK80" i="3"/>
  <c r="AM80" i="3"/>
  <c r="S80" i="3"/>
  <c r="Q80" i="3"/>
  <c r="R80" i="3"/>
  <c r="AD80" i="3"/>
  <c r="P80" i="3"/>
  <c r="O80" i="3"/>
  <c r="M80" i="3"/>
  <c r="AF80" i="3"/>
  <c r="AE80" i="3"/>
  <c r="U80" i="3"/>
  <c r="V80" i="3"/>
  <c r="D80" i="3"/>
  <c r="C80" i="3"/>
  <c r="F80" i="3"/>
  <c r="G80" i="3"/>
  <c r="H80" i="3" s="1"/>
  <c r="AH79" i="3"/>
  <c r="X79" i="3"/>
  <c r="BG76" i="3" l="1"/>
  <c r="BH76" i="3" s="1"/>
  <c r="BI76" i="3" s="1"/>
  <c r="BN80" i="3"/>
  <c r="BC77" i="3"/>
  <c r="BD77" i="3" s="1"/>
  <c r="AO80" i="3"/>
  <c r="AX79" i="3"/>
  <c r="AG80" i="3"/>
  <c r="X80" i="3"/>
  <c r="AY78" i="3"/>
  <c r="Y80" i="3"/>
  <c r="Z80" i="3" s="1"/>
  <c r="AR81" i="3"/>
  <c r="B81" i="3"/>
  <c r="AQ81" i="3"/>
  <c r="A82" i="3"/>
  <c r="AM81" i="3"/>
  <c r="R81" i="3"/>
  <c r="C81" i="3"/>
  <c r="AK81" i="3"/>
  <c r="S81" i="3"/>
  <c r="O81" i="3"/>
  <c r="AD81" i="3"/>
  <c r="P81" i="3"/>
  <c r="M81" i="3"/>
  <c r="AE81" i="3"/>
  <c r="AF81" i="3"/>
  <c r="V81" i="3"/>
  <c r="U81" i="3"/>
  <c r="D81" i="3"/>
  <c r="Q81" i="3"/>
  <c r="G81" i="3"/>
  <c r="H81" i="3" s="1"/>
  <c r="F81" i="3"/>
  <c r="T81" i="3"/>
  <c r="AV78" i="3"/>
  <c r="BA78" i="3"/>
  <c r="AW79" i="3"/>
  <c r="BM80" i="3"/>
  <c r="AH80" i="3"/>
  <c r="AN80" i="3"/>
  <c r="AT79" i="3"/>
  <c r="BB77" i="3"/>
  <c r="BQ77" i="3"/>
  <c r="BF77" i="3"/>
  <c r="BJ76" i="3" s="1"/>
  <c r="BK76" i="3" s="1"/>
  <c r="AU79" i="3"/>
  <c r="BC78" i="3" l="1"/>
  <c r="BD78" i="3" s="1"/>
  <c r="BN81" i="3"/>
  <c r="BM81" i="3"/>
  <c r="AU80" i="3"/>
  <c r="BG77" i="3"/>
  <c r="BH77" i="3" s="1"/>
  <c r="BI77" i="3" s="1"/>
  <c r="AT80" i="3"/>
  <c r="AW80" i="3"/>
  <c r="AG81" i="3"/>
  <c r="AY79" i="3"/>
  <c r="AO81" i="3"/>
  <c r="BA79" i="3"/>
  <c r="AV79" i="3"/>
  <c r="BQ78" i="3"/>
  <c r="BB78" i="3"/>
  <c r="BF78" i="3"/>
  <c r="BJ77" i="3" s="1"/>
  <c r="BK77" i="3" s="1"/>
  <c r="Y81" i="3"/>
  <c r="Z81" i="3" s="1"/>
  <c r="AX80" i="3"/>
  <c r="AH81" i="3"/>
  <c r="X81" i="3"/>
  <c r="AN81" i="3"/>
  <c r="B82" i="3"/>
  <c r="AQ82" i="3"/>
  <c r="AR82" i="3"/>
  <c r="A83" i="3"/>
  <c r="D82" i="3"/>
  <c r="AK82" i="3"/>
  <c r="Q82" i="3"/>
  <c r="AM82" i="3"/>
  <c r="S82" i="3"/>
  <c r="O82" i="3"/>
  <c r="T82" i="3"/>
  <c r="AD82" i="3"/>
  <c r="P82" i="3"/>
  <c r="M82" i="3"/>
  <c r="AF82" i="3"/>
  <c r="AE82" i="3"/>
  <c r="V82" i="3"/>
  <c r="U82" i="3"/>
  <c r="R82" i="3"/>
  <c r="F82" i="3"/>
  <c r="C82" i="3"/>
  <c r="G82" i="3"/>
  <c r="H82" i="3" s="1"/>
  <c r="BG78" i="3" l="1"/>
  <c r="BH78" i="3" s="1"/>
  <c r="BI78" i="3" s="1"/>
  <c r="AU81" i="3"/>
  <c r="AY80" i="3"/>
  <c r="AV80" i="3"/>
  <c r="AN82" i="3"/>
  <c r="BN82" i="3"/>
  <c r="BM82" i="3"/>
  <c r="BC79" i="3"/>
  <c r="BD79" i="3" s="1"/>
  <c r="AG82" i="3"/>
  <c r="AT81" i="3"/>
  <c r="AW81" i="3"/>
  <c r="Y82" i="3"/>
  <c r="Z82" i="3" s="1"/>
  <c r="BQ79" i="3"/>
  <c r="BB79" i="3"/>
  <c r="BF79" i="3"/>
  <c r="BJ78" i="3" s="1"/>
  <c r="BK78" i="3" s="1"/>
  <c r="X82" i="3"/>
  <c r="A84" i="3"/>
  <c r="AQ83" i="3"/>
  <c r="B83" i="3"/>
  <c r="AR83" i="3"/>
  <c r="C83" i="3"/>
  <c r="AM83" i="3"/>
  <c r="AK83" i="3"/>
  <c r="Q83" i="3"/>
  <c r="R83" i="3"/>
  <c r="AD83" i="3"/>
  <c r="P83" i="3"/>
  <c r="O83" i="3"/>
  <c r="AE83" i="3"/>
  <c r="AF83" i="3"/>
  <c r="M83" i="3"/>
  <c r="V83" i="3"/>
  <c r="U83" i="3"/>
  <c r="F83" i="3"/>
  <c r="D83" i="3"/>
  <c r="G83" i="3"/>
  <c r="H83" i="3" s="1"/>
  <c r="S83" i="3"/>
  <c r="T83" i="3"/>
  <c r="AH82" i="3"/>
  <c r="AO82" i="3"/>
  <c r="AX81" i="3"/>
  <c r="BA80" i="3"/>
  <c r="AV81" i="3" l="1"/>
  <c r="BC80" i="3"/>
  <c r="BG80" i="3" s="1"/>
  <c r="BH80" i="3" s="1"/>
  <c r="BI80" i="3" s="1"/>
  <c r="BN83" i="3"/>
  <c r="BM83" i="3"/>
  <c r="BG79" i="3"/>
  <c r="BH79" i="3" s="1"/>
  <c r="BI79" i="3" s="1"/>
  <c r="AY81" i="3"/>
  <c r="AX82" i="3"/>
  <c r="AN83" i="3"/>
  <c r="AH83" i="3"/>
  <c r="BA81" i="3"/>
  <c r="BQ81" i="3" s="1"/>
  <c r="BQ80" i="3"/>
  <c r="BF80" i="3"/>
  <c r="BJ79" i="3" s="1"/>
  <c r="BB80" i="3"/>
  <c r="A85" i="3"/>
  <c r="B84" i="3"/>
  <c r="AR84" i="3"/>
  <c r="AQ84" i="3"/>
  <c r="C84" i="3"/>
  <c r="AK84" i="3"/>
  <c r="AM84" i="3"/>
  <c r="R84" i="3"/>
  <c r="Q84" i="3"/>
  <c r="AD84" i="3"/>
  <c r="P84" i="3"/>
  <c r="AF84" i="3"/>
  <c r="O84" i="3"/>
  <c r="AE84" i="3"/>
  <c r="M84" i="3"/>
  <c r="U84" i="3"/>
  <c r="V84" i="3"/>
  <c r="D84" i="3"/>
  <c r="G84" i="3"/>
  <c r="H84" i="3" s="1"/>
  <c r="F84" i="3"/>
  <c r="S84" i="3"/>
  <c r="T84" i="3"/>
  <c r="AU82" i="3"/>
  <c r="AW82" i="3"/>
  <c r="X83" i="3"/>
  <c r="AG83" i="3"/>
  <c r="AO83" i="3"/>
  <c r="Y83" i="3"/>
  <c r="Z83" i="3" s="1"/>
  <c r="AT82" i="3"/>
  <c r="BC81" i="3" l="1"/>
  <c r="BD81" i="3" s="1"/>
  <c r="BK79" i="3"/>
  <c r="BD80" i="3"/>
  <c r="AY82" i="3"/>
  <c r="BB81" i="3"/>
  <c r="BF81" i="3"/>
  <c r="BJ80" i="3" s="1"/>
  <c r="BK80" i="3" s="1"/>
  <c r="BN84" i="3"/>
  <c r="AN84" i="3"/>
  <c r="AU83" i="3"/>
  <c r="AG84" i="3"/>
  <c r="AT83" i="3"/>
  <c r="X84" i="3"/>
  <c r="AW83" i="3"/>
  <c r="AX83" i="3"/>
  <c r="Y84" i="3"/>
  <c r="Z84" i="3" s="1"/>
  <c r="BM84" i="3"/>
  <c r="AH84" i="3"/>
  <c r="AO84" i="3"/>
  <c r="AV82" i="3"/>
  <c r="BA82" i="3"/>
  <c r="AR85" i="3"/>
  <c r="B85" i="3"/>
  <c r="AQ85" i="3"/>
  <c r="A86" i="3"/>
  <c r="C85" i="3"/>
  <c r="T85" i="3"/>
  <c r="S85" i="3"/>
  <c r="AK85" i="3"/>
  <c r="AM85" i="3"/>
  <c r="R85" i="3"/>
  <c r="Q85" i="3"/>
  <c r="P85" i="3"/>
  <c r="AD85" i="3"/>
  <c r="O85" i="3"/>
  <c r="M85" i="3"/>
  <c r="AF85" i="3"/>
  <c r="AE85" i="3"/>
  <c r="V85" i="3"/>
  <c r="U85" i="3"/>
  <c r="D85" i="3"/>
  <c r="F85" i="3"/>
  <c r="BM85" i="3" s="1"/>
  <c r="G85" i="3"/>
  <c r="H85" i="3" s="1"/>
  <c r="BG81" i="3" l="1"/>
  <c r="BH81" i="3" s="1"/>
  <c r="BI81" i="3" s="1"/>
  <c r="BN85" i="3"/>
  <c r="BC82" i="3"/>
  <c r="BD82" i="3" s="1"/>
  <c r="AV83" i="3"/>
  <c r="AG85" i="3"/>
  <c r="AN85" i="3"/>
  <c r="AU84" i="3"/>
  <c r="AT84" i="3"/>
  <c r="BA83" i="3"/>
  <c r="BB83" i="3" s="1"/>
  <c r="Y85" i="3"/>
  <c r="Z85" i="3" s="1"/>
  <c r="B86" i="3"/>
  <c r="AQ86" i="3"/>
  <c r="AR86" i="3"/>
  <c r="A87" i="3"/>
  <c r="C86" i="3"/>
  <c r="D86" i="3"/>
  <c r="AK86" i="3"/>
  <c r="AM86" i="3"/>
  <c r="S86" i="3"/>
  <c r="R86" i="3"/>
  <c r="Q86" i="3"/>
  <c r="AD86" i="3"/>
  <c r="O86" i="3"/>
  <c r="P86" i="3"/>
  <c r="AE86" i="3"/>
  <c r="M86" i="3"/>
  <c r="AF86" i="3"/>
  <c r="V86" i="3"/>
  <c r="U86" i="3"/>
  <c r="G86" i="3"/>
  <c r="H86" i="3" s="1"/>
  <c r="F86" i="3"/>
  <c r="BM86" i="3" s="1"/>
  <c r="T86" i="3"/>
  <c r="BB82" i="3"/>
  <c r="BF82" i="3"/>
  <c r="BJ81" i="3" s="1"/>
  <c r="BK81" i="3" s="1"/>
  <c r="BQ82" i="3"/>
  <c r="AO85" i="3"/>
  <c r="AX84" i="3"/>
  <c r="AY83" i="3"/>
  <c r="AH85" i="3"/>
  <c r="X85" i="3"/>
  <c r="AW84" i="3"/>
  <c r="BF83" i="3" l="1"/>
  <c r="BJ82" i="3" s="1"/>
  <c r="BN86" i="3"/>
  <c r="BG82" i="3"/>
  <c r="BH82" i="3" s="1"/>
  <c r="BI82" i="3" s="1"/>
  <c r="BC83" i="3"/>
  <c r="BG83" i="3" s="1"/>
  <c r="BH83" i="3" s="1"/>
  <c r="BI83" i="3" s="1"/>
  <c r="AY84" i="3"/>
  <c r="AU85" i="3"/>
  <c r="AV84" i="3"/>
  <c r="Y86" i="3"/>
  <c r="Z86" i="3" s="1"/>
  <c r="BQ83" i="3"/>
  <c r="AT85" i="3"/>
  <c r="AN86" i="3"/>
  <c r="AX85" i="3"/>
  <c r="AW85" i="3"/>
  <c r="AG86" i="3"/>
  <c r="AO86" i="3"/>
  <c r="X86" i="3"/>
  <c r="A88" i="3"/>
  <c r="B87" i="3"/>
  <c r="AQ87" i="3"/>
  <c r="AR87" i="3"/>
  <c r="AM87" i="3"/>
  <c r="AK87" i="3"/>
  <c r="T87" i="3"/>
  <c r="Q87" i="3"/>
  <c r="R87" i="3"/>
  <c r="AD87" i="3"/>
  <c r="P87" i="3"/>
  <c r="AE87" i="3"/>
  <c r="O87" i="3"/>
  <c r="AF87" i="3"/>
  <c r="V87" i="3"/>
  <c r="M87" i="3"/>
  <c r="U87" i="3"/>
  <c r="F87" i="3"/>
  <c r="C87" i="3"/>
  <c r="D87" i="3"/>
  <c r="G87" i="3"/>
  <c r="H87" i="3" s="1"/>
  <c r="S87" i="3"/>
  <c r="AH86" i="3"/>
  <c r="BA84" i="3"/>
  <c r="BK82" i="3" l="1"/>
  <c r="AV85" i="3"/>
  <c r="BD83" i="3"/>
  <c r="BC84" i="3"/>
  <c r="BD84" i="3" s="1"/>
  <c r="AH87" i="3"/>
  <c r="BN87" i="3"/>
  <c r="AX86" i="3"/>
  <c r="AN87" i="3"/>
  <c r="AU86" i="3"/>
  <c r="AY85" i="3"/>
  <c r="BQ84" i="3"/>
  <c r="BF84" i="3"/>
  <c r="BJ83" i="3" s="1"/>
  <c r="BK83" i="3" s="1"/>
  <c r="BB84" i="3"/>
  <c r="Y87" i="3"/>
  <c r="Z87" i="3" s="1"/>
  <c r="X87" i="3"/>
  <c r="BM87" i="3"/>
  <c r="AG87" i="3"/>
  <c r="AO87" i="3"/>
  <c r="AW86" i="3"/>
  <c r="A89" i="3"/>
  <c r="AR88" i="3"/>
  <c r="B88" i="3"/>
  <c r="AQ88" i="3"/>
  <c r="AM88" i="3"/>
  <c r="AK88" i="3"/>
  <c r="D88" i="3"/>
  <c r="T88" i="3"/>
  <c r="R88" i="3"/>
  <c r="Q88" i="3"/>
  <c r="AD88" i="3"/>
  <c r="P88" i="3"/>
  <c r="O88" i="3"/>
  <c r="M88" i="3"/>
  <c r="AE88" i="3"/>
  <c r="AF88" i="3"/>
  <c r="V88" i="3"/>
  <c r="U88" i="3"/>
  <c r="C88" i="3"/>
  <c r="G88" i="3"/>
  <c r="H88" i="3" s="1"/>
  <c r="F88" i="3"/>
  <c r="S88" i="3"/>
  <c r="AT86" i="3"/>
  <c r="BA85" i="3"/>
  <c r="BM88" i="3" l="1"/>
  <c r="BC85" i="3"/>
  <c r="BG85" i="3" s="1"/>
  <c r="BH85" i="3" s="1"/>
  <c r="BI85" i="3" s="1"/>
  <c r="AT87" i="3"/>
  <c r="BG84" i="3"/>
  <c r="BH84" i="3" s="1"/>
  <c r="BI84" i="3" s="1"/>
  <c r="AU87" i="3"/>
  <c r="BN88" i="3"/>
  <c r="AX87" i="3"/>
  <c r="AO88" i="3"/>
  <c r="AY86" i="3"/>
  <c r="AN88" i="3"/>
  <c r="X88" i="3"/>
  <c r="AV86" i="3"/>
  <c r="BA86" i="3"/>
  <c r="AW87" i="3"/>
  <c r="BF85" i="3"/>
  <c r="BJ84" i="3" s="1"/>
  <c r="BB85" i="3"/>
  <c r="BQ85" i="3"/>
  <c r="Y88" i="3"/>
  <c r="Z88" i="3" s="1"/>
  <c r="AQ89" i="3"/>
  <c r="AR89" i="3"/>
  <c r="B89" i="3"/>
  <c r="A90" i="3"/>
  <c r="D89" i="3"/>
  <c r="C89" i="3"/>
  <c r="AK89" i="3"/>
  <c r="S89" i="3"/>
  <c r="T89" i="3"/>
  <c r="AM89" i="3"/>
  <c r="AD89" i="3"/>
  <c r="P89" i="3"/>
  <c r="O89" i="3"/>
  <c r="AF89" i="3"/>
  <c r="AE89" i="3"/>
  <c r="U89" i="3"/>
  <c r="M89" i="3"/>
  <c r="V89" i="3"/>
  <c r="R89" i="3"/>
  <c r="Q89" i="3"/>
  <c r="F89" i="3"/>
  <c r="G89" i="3"/>
  <c r="H89" i="3" s="1"/>
  <c r="AG88" i="3"/>
  <c r="AH88" i="3"/>
  <c r="BD85" i="3" l="1"/>
  <c r="BK84" i="3"/>
  <c r="AV87" i="3"/>
  <c r="AN89" i="3"/>
  <c r="BN89" i="3"/>
  <c r="BC86" i="3"/>
  <c r="BD86" i="3" s="1"/>
  <c r="AX88" i="3"/>
  <c r="B90" i="3"/>
  <c r="AQ90" i="3"/>
  <c r="AR90" i="3"/>
  <c r="A91" i="3"/>
  <c r="AK90" i="3"/>
  <c r="T90" i="3"/>
  <c r="D90" i="3"/>
  <c r="AM90" i="3"/>
  <c r="R90" i="3"/>
  <c r="Q90" i="3"/>
  <c r="AD90" i="3"/>
  <c r="P90" i="3"/>
  <c r="O90" i="3"/>
  <c r="M90" i="3"/>
  <c r="AF90" i="3"/>
  <c r="U90" i="3"/>
  <c r="AE90" i="3"/>
  <c r="V90" i="3"/>
  <c r="C90" i="3"/>
  <c r="G90" i="3"/>
  <c r="H90" i="3" s="1"/>
  <c r="F90" i="3"/>
  <c r="S90" i="3"/>
  <c r="AU88" i="3"/>
  <c r="Y89" i="3"/>
  <c r="Z89" i="3" s="1"/>
  <c r="BA87" i="3"/>
  <c r="AY87" i="3"/>
  <c r="BF86" i="3"/>
  <c r="BJ85" i="3" s="1"/>
  <c r="BK85" i="3" s="1"/>
  <c r="BQ86" i="3"/>
  <c r="BB86" i="3"/>
  <c r="X89" i="3"/>
  <c r="AW88" i="3"/>
  <c r="BM89" i="3"/>
  <c r="AG89" i="3"/>
  <c r="AH89" i="3"/>
  <c r="AO89" i="3"/>
  <c r="AT88" i="3"/>
  <c r="BM90" i="3" l="1"/>
  <c r="AG90" i="3"/>
  <c r="BC87" i="3"/>
  <c r="BD87" i="3" s="1"/>
  <c r="BN90" i="3"/>
  <c r="BG86" i="3"/>
  <c r="BH86" i="3" s="1"/>
  <c r="BI86" i="3" s="1"/>
  <c r="AY88" i="3"/>
  <c r="AN90" i="3"/>
  <c r="AX89" i="3"/>
  <c r="X90" i="3"/>
  <c r="BA88" i="3"/>
  <c r="AV88" i="3"/>
  <c r="BF87" i="3"/>
  <c r="BJ86" i="3" s="1"/>
  <c r="BB87" i="3"/>
  <c r="BQ87" i="3"/>
  <c r="Y90" i="3"/>
  <c r="Z90" i="3" s="1"/>
  <c r="AW89" i="3"/>
  <c r="AT89" i="3"/>
  <c r="AH90" i="3"/>
  <c r="AO90" i="3"/>
  <c r="A92" i="3"/>
  <c r="B91" i="3"/>
  <c r="AQ91" i="3"/>
  <c r="AR91" i="3"/>
  <c r="D91" i="3"/>
  <c r="AM91" i="3"/>
  <c r="AK91" i="3"/>
  <c r="R91" i="3"/>
  <c r="P91" i="3"/>
  <c r="Q91" i="3"/>
  <c r="AD91" i="3"/>
  <c r="AE91" i="3"/>
  <c r="M91" i="3"/>
  <c r="V91" i="3"/>
  <c r="U91" i="3"/>
  <c r="O91" i="3"/>
  <c r="AF91" i="3"/>
  <c r="F91" i="3"/>
  <c r="C91" i="3"/>
  <c r="G91" i="3"/>
  <c r="H91" i="3" s="1"/>
  <c r="T91" i="3"/>
  <c r="S91" i="3"/>
  <c r="AU89" i="3"/>
  <c r="AY89" i="3" l="1"/>
  <c r="AT90" i="3"/>
  <c r="BG87" i="3"/>
  <c r="BH87" i="3" s="1"/>
  <c r="BI87" i="3" s="1"/>
  <c r="AU90" i="3"/>
  <c r="AV89" i="3"/>
  <c r="BN91" i="3"/>
  <c r="BM91" i="3"/>
  <c r="BK86" i="3"/>
  <c r="BC88" i="3"/>
  <c r="BG88" i="3" s="1"/>
  <c r="BH88" i="3" s="1"/>
  <c r="BI88" i="3" s="1"/>
  <c r="X91" i="3"/>
  <c r="AG91" i="3"/>
  <c r="AN91" i="3"/>
  <c r="AX90" i="3"/>
  <c r="Y91" i="3"/>
  <c r="Z91" i="3" s="1"/>
  <c r="A93" i="3"/>
  <c r="AR92" i="3"/>
  <c r="B92" i="3"/>
  <c r="AQ92" i="3"/>
  <c r="C92" i="3"/>
  <c r="AK92" i="3"/>
  <c r="AM92" i="3"/>
  <c r="S92" i="3"/>
  <c r="Q92" i="3"/>
  <c r="D92" i="3"/>
  <c r="T92" i="3"/>
  <c r="AD92" i="3"/>
  <c r="O92" i="3"/>
  <c r="P92" i="3"/>
  <c r="AE92" i="3"/>
  <c r="V92" i="3"/>
  <c r="M92" i="3"/>
  <c r="AF92" i="3"/>
  <c r="U92" i="3"/>
  <c r="R92" i="3"/>
  <c r="G92" i="3"/>
  <c r="H92" i="3" s="1"/>
  <c r="F92" i="3"/>
  <c r="BF88" i="3"/>
  <c r="BJ87" i="3" s="1"/>
  <c r="BB88" i="3"/>
  <c r="BQ88" i="3"/>
  <c r="AH91" i="3"/>
  <c r="AO91" i="3"/>
  <c r="AW90" i="3"/>
  <c r="BA89" i="3"/>
  <c r="BK87" i="3" l="1"/>
  <c r="BC89" i="3"/>
  <c r="BG89" i="3" s="1"/>
  <c r="BH89" i="3" s="1"/>
  <c r="BI89" i="3" s="1"/>
  <c r="AV90" i="3"/>
  <c r="BM92" i="3"/>
  <c r="BD88" i="3"/>
  <c r="BA90" i="3"/>
  <c r="BQ90" i="3" s="1"/>
  <c r="AU91" i="3"/>
  <c r="AY90" i="3"/>
  <c r="AW91" i="3"/>
  <c r="AX91" i="3"/>
  <c r="AO92" i="3"/>
  <c r="AQ93" i="3"/>
  <c r="B93" i="3"/>
  <c r="AR93" i="3"/>
  <c r="A94" i="3"/>
  <c r="AM93" i="3"/>
  <c r="AK93" i="3"/>
  <c r="Q93" i="3"/>
  <c r="R93" i="3"/>
  <c r="AD93" i="3"/>
  <c r="P93" i="3"/>
  <c r="O93" i="3"/>
  <c r="M93" i="3"/>
  <c r="AE93" i="3"/>
  <c r="V93" i="3"/>
  <c r="U93" i="3"/>
  <c r="AF93" i="3"/>
  <c r="F93" i="3"/>
  <c r="C93" i="3"/>
  <c r="D93" i="3"/>
  <c r="G93" i="3"/>
  <c r="H93" i="3" s="1"/>
  <c r="S93" i="3"/>
  <c r="T93" i="3"/>
  <c r="AH92" i="3"/>
  <c r="AT91" i="3"/>
  <c r="BN92" i="3"/>
  <c r="AG92" i="3"/>
  <c r="AN92" i="3"/>
  <c r="X92" i="3"/>
  <c r="BQ89" i="3"/>
  <c r="BB89" i="3"/>
  <c r="BF89" i="3"/>
  <c r="BJ88" i="3" s="1"/>
  <c r="BK88" i="3" s="1"/>
  <c r="Y92" i="3"/>
  <c r="Z92" i="3" s="1"/>
  <c r="BD89" i="3" l="1"/>
  <c r="BC90" i="3"/>
  <c r="BG90" i="3" s="1"/>
  <c r="BH90" i="3" s="1"/>
  <c r="BI90" i="3" s="1"/>
  <c r="BB90" i="3"/>
  <c r="BM93" i="3"/>
  <c r="BF90" i="3"/>
  <c r="BJ89" i="3" s="1"/>
  <c r="BK89" i="3" s="1"/>
  <c r="AG93" i="3"/>
  <c r="AY91" i="3"/>
  <c r="AW92" i="3"/>
  <c r="AN93" i="3"/>
  <c r="X93" i="3"/>
  <c r="AU92" i="3"/>
  <c r="AX92" i="3"/>
  <c r="BA91" i="3"/>
  <c r="AV91" i="3"/>
  <c r="B94" i="3"/>
  <c r="AQ94" i="3"/>
  <c r="AR94" i="3"/>
  <c r="A95" i="3"/>
  <c r="C94" i="3"/>
  <c r="AK94" i="3"/>
  <c r="R94" i="3"/>
  <c r="AM94" i="3"/>
  <c r="Q94" i="3"/>
  <c r="S94" i="3"/>
  <c r="AD94" i="3"/>
  <c r="P94" i="3"/>
  <c r="M94" i="3"/>
  <c r="U94" i="3"/>
  <c r="O94" i="3"/>
  <c r="AE94" i="3"/>
  <c r="AF94" i="3"/>
  <c r="V94" i="3"/>
  <c r="D94" i="3"/>
  <c r="G94" i="3"/>
  <c r="H94" i="3" s="1"/>
  <c r="F94" i="3"/>
  <c r="BM94" i="3" s="1"/>
  <c r="T94" i="3"/>
  <c r="AT92" i="3"/>
  <c r="Y93" i="3"/>
  <c r="Z93" i="3" s="1"/>
  <c r="BN93" i="3"/>
  <c r="AO93" i="3"/>
  <c r="AH93" i="3"/>
  <c r="BD90" i="3" l="1"/>
  <c r="AN94" i="3"/>
  <c r="AY92" i="3"/>
  <c r="BN94" i="3"/>
  <c r="AU93" i="3"/>
  <c r="BC91" i="3"/>
  <c r="BG91" i="3" s="1"/>
  <c r="BH91" i="3" s="1"/>
  <c r="BI91" i="3" s="1"/>
  <c r="AT93" i="3"/>
  <c r="AW93" i="3"/>
  <c r="AG94" i="3"/>
  <c r="AV92" i="3"/>
  <c r="BA92" i="3"/>
  <c r="BB91" i="3"/>
  <c r="BF91" i="3"/>
  <c r="BJ90" i="3" s="1"/>
  <c r="BK90" i="3" s="1"/>
  <c r="BQ91" i="3"/>
  <c r="AX93" i="3"/>
  <c r="AH94" i="3"/>
  <c r="X94" i="3"/>
  <c r="A96" i="3"/>
  <c r="B95" i="3"/>
  <c r="AQ95" i="3"/>
  <c r="AR95" i="3"/>
  <c r="D95" i="3"/>
  <c r="C95" i="3"/>
  <c r="AK95" i="3"/>
  <c r="AM95" i="3"/>
  <c r="S95" i="3"/>
  <c r="Q95" i="3"/>
  <c r="O95" i="3"/>
  <c r="AD95" i="3"/>
  <c r="M95" i="3"/>
  <c r="AF95" i="3"/>
  <c r="V95" i="3"/>
  <c r="U95" i="3"/>
  <c r="P95" i="3"/>
  <c r="AE95" i="3"/>
  <c r="R95" i="3"/>
  <c r="G95" i="3"/>
  <c r="H95" i="3" s="1"/>
  <c r="F95" i="3"/>
  <c r="T95" i="3"/>
  <c r="Y94" i="3"/>
  <c r="Z94" i="3" s="1"/>
  <c r="AO94" i="3"/>
  <c r="BD91" i="3" l="1"/>
  <c r="BC92" i="3"/>
  <c r="BG92" i="3" s="1"/>
  <c r="BH92" i="3" s="1"/>
  <c r="BI92" i="3" s="1"/>
  <c r="AG95" i="3"/>
  <c r="AV93" i="3"/>
  <c r="BN95" i="3"/>
  <c r="BM95" i="3"/>
  <c r="AT94" i="3"/>
  <c r="AW94" i="3"/>
  <c r="AN95" i="3"/>
  <c r="AU94" i="3"/>
  <c r="AY93" i="3"/>
  <c r="Y95" i="3"/>
  <c r="Z95" i="3" s="1"/>
  <c r="BA93" i="3"/>
  <c r="BF93" i="3" s="1"/>
  <c r="BB92" i="3"/>
  <c r="BF92" i="3"/>
  <c r="BJ91" i="3" s="1"/>
  <c r="BK91" i="3" s="1"/>
  <c r="BQ92" i="3"/>
  <c r="AH95" i="3"/>
  <c r="X95" i="3"/>
  <c r="AX94" i="3"/>
  <c r="A97" i="3"/>
  <c r="AR96" i="3"/>
  <c r="B96" i="3"/>
  <c r="AQ96" i="3"/>
  <c r="C96" i="3"/>
  <c r="AM96" i="3"/>
  <c r="AK96" i="3"/>
  <c r="S96" i="3"/>
  <c r="R96" i="3"/>
  <c r="Q96" i="3"/>
  <c r="AD96" i="3"/>
  <c r="P96" i="3"/>
  <c r="M96" i="3"/>
  <c r="AE96" i="3"/>
  <c r="AF96" i="3"/>
  <c r="V96" i="3"/>
  <c r="O96" i="3"/>
  <c r="U96" i="3"/>
  <c r="D96" i="3"/>
  <c r="F96" i="3"/>
  <c r="G96" i="3"/>
  <c r="H96" i="3" s="1"/>
  <c r="T96" i="3"/>
  <c r="AO95" i="3"/>
  <c r="BD92" i="3" l="1"/>
  <c r="BN96" i="3"/>
  <c r="BC93" i="3"/>
  <c r="BD93" i="3" s="1"/>
  <c r="BM96" i="3"/>
  <c r="AV94" i="3"/>
  <c r="BA94" i="3"/>
  <c r="BF94" i="3" s="1"/>
  <c r="AN96" i="3"/>
  <c r="AX95" i="3"/>
  <c r="AG96" i="3"/>
  <c r="AT95" i="3"/>
  <c r="BQ93" i="3"/>
  <c r="BB93" i="3"/>
  <c r="Y96" i="3"/>
  <c r="Z96" i="3" s="1"/>
  <c r="AQ97" i="3"/>
  <c r="AR97" i="3"/>
  <c r="B97" i="3"/>
  <c r="A98" i="3"/>
  <c r="D97" i="3"/>
  <c r="C97" i="3"/>
  <c r="AM97" i="3"/>
  <c r="AK97" i="3"/>
  <c r="R97" i="3"/>
  <c r="T97" i="3"/>
  <c r="AD97" i="3"/>
  <c r="P97" i="3"/>
  <c r="M97" i="3"/>
  <c r="AF97" i="3"/>
  <c r="V97" i="3"/>
  <c r="U97" i="3"/>
  <c r="O97" i="3"/>
  <c r="AE97" i="3"/>
  <c r="Q97" i="3"/>
  <c r="G97" i="3"/>
  <c r="H97" i="3" s="1"/>
  <c r="F97" i="3"/>
  <c r="S97" i="3"/>
  <c r="AY94" i="3"/>
  <c r="AU95" i="3"/>
  <c r="AH96" i="3"/>
  <c r="AO96" i="3"/>
  <c r="X96" i="3"/>
  <c r="AW95" i="3"/>
  <c r="BJ92" i="3"/>
  <c r="BK92" i="3" s="1"/>
  <c r="BB94" i="3" l="1"/>
  <c r="BG93" i="3"/>
  <c r="BH93" i="3" s="1"/>
  <c r="BI93" i="3" s="1"/>
  <c r="BC94" i="3"/>
  <c r="BG94" i="3" s="1"/>
  <c r="BH94" i="3" s="1"/>
  <c r="BI94" i="3" s="1"/>
  <c r="BQ94" i="3"/>
  <c r="BM97" i="3"/>
  <c r="BN97" i="3"/>
  <c r="AV95" i="3"/>
  <c r="AY95" i="3"/>
  <c r="AG97" i="3"/>
  <c r="AX96" i="3"/>
  <c r="AO97" i="3"/>
  <c r="X97" i="3"/>
  <c r="B98" i="3"/>
  <c r="AQ98" i="3"/>
  <c r="AR98" i="3"/>
  <c r="A99" i="3"/>
  <c r="D98" i="3"/>
  <c r="R98" i="3"/>
  <c r="AM98" i="3"/>
  <c r="AK98" i="3"/>
  <c r="AD98" i="3"/>
  <c r="AE98" i="3"/>
  <c r="O98" i="3"/>
  <c r="V98" i="3"/>
  <c r="U98" i="3"/>
  <c r="AF98" i="3"/>
  <c r="M98" i="3"/>
  <c r="Q98" i="3"/>
  <c r="C98" i="3"/>
  <c r="G98" i="3"/>
  <c r="H98" i="3" s="1"/>
  <c r="F98" i="3"/>
  <c r="S98" i="3"/>
  <c r="P98" i="3"/>
  <c r="T98" i="3"/>
  <c r="BA95" i="3"/>
  <c r="AW96" i="3"/>
  <c r="Y97" i="3"/>
  <c r="Z97" i="3" s="1"/>
  <c r="BJ93" i="3"/>
  <c r="BK93" i="3" s="1"/>
  <c r="AU96" i="3"/>
  <c r="AH97" i="3"/>
  <c r="AN97" i="3"/>
  <c r="AT96" i="3"/>
  <c r="BM98" i="3" l="1"/>
  <c r="BD94" i="3"/>
  <c r="BN98" i="3"/>
  <c r="BC95" i="3"/>
  <c r="BD95" i="3" s="1"/>
  <c r="AU97" i="3"/>
  <c r="AX97" i="3"/>
  <c r="AY96" i="3"/>
  <c r="AO98" i="3"/>
  <c r="A100" i="3"/>
  <c r="B99" i="3"/>
  <c r="AQ99" i="3"/>
  <c r="AR99" i="3"/>
  <c r="D99" i="3"/>
  <c r="AK99" i="3"/>
  <c r="T99" i="3"/>
  <c r="S99" i="3"/>
  <c r="AM99" i="3"/>
  <c r="Q99" i="3"/>
  <c r="R99" i="3"/>
  <c r="P99" i="3"/>
  <c r="AD99" i="3"/>
  <c r="O99" i="3"/>
  <c r="AE99" i="3"/>
  <c r="V99" i="3"/>
  <c r="U99" i="3"/>
  <c r="M99" i="3"/>
  <c r="AF99" i="3"/>
  <c r="F99" i="3"/>
  <c r="G99" i="3"/>
  <c r="H99" i="3" s="1"/>
  <c r="C99" i="3"/>
  <c r="AV96" i="3"/>
  <c r="BA96" i="3"/>
  <c r="BF95" i="3"/>
  <c r="BJ94" i="3" s="1"/>
  <c r="BK94" i="3" s="1"/>
  <c r="BQ95" i="3"/>
  <c r="BB95" i="3"/>
  <c r="AT97" i="3"/>
  <c r="AG98" i="3"/>
  <c r="AW97" i="3"/>
  <c r="Y98" i="3"/>
  <c r="Z98" i="3" s="1"/>
  <c r="X98" i="3"/>
  <c r="AH98" i="3"/>
  <c r="AN98" i="3"/>
  <c r="BN99" i="3" l="1"/>
  <c r="AT98" i="3"/>
  <c r="BG95" i="3"/>
  <c r="BH95" i="3" s="1"/>
  <c r="BI95" i="3" s="1"/>
  <c r="BM99" i="3"/>
  <c r="AY97" i="3"/>
  <c r="BC96" i="3"/>
  <c r="BD96" i="3" s="1"/>
  <c r="AO99" i="3"/>
  <c r="BQ96" i="3"/>
  <c r="BB96" i="3"/>
  <c r="BF96" i="3"/>
  <c r="BJ95" i="3" s="1"/>
  <c r="BA97" i="3"/>
  <c r="AV97" i="3"/>
  <c r="Y99" i="3"/>
  <c r="Z99" i="3" s="1"/>
  <c r="A101" i="3"/>
  <c r="AR100" i="3"/>
  <c r="B100" i="3"/>
  <c r="AQ100" i="3"/>
  <c r="D100" i="3"/>
  <c r="C100" i="3"/>
  <c r="AK100" i="3"/>
  <c r="AM100" i="3"/>
  <c r="T100" i="3"/>
  <c r="S100" i="3"/>
  <c r="R100" i="3"/>
  <c r="AD100" i="3"/>
  <c r="Q100" i="3"/>
  <c r="O100" i="3"/>
  <c r="P100" i="3"/>
  <c r="M100" i="3"/>
  <c r="V100" i="3"/>
  <c r="AF100" i="3"/>
  <c r="AE100" i="3"/>
  <c r="U100" i="3"/>
  <c r="F100" i="3"/>
  <c r="G100" i="3"/>
  <c r="H100" i="3" s="1"/>
  <c r="AW98" i="3"/>
  <c r="X99" i="3"/>
  <c r="AX98" i="3"/>
  <c r="AU98" i="3"/>
  <c r="AG99" i="3"/>
  <c r="AH99" i="3"/>
  <c r="AN99" i="3"/>
  <c r="BK95" i="3" l="1"/>
  <c r="AV98" i="3"/>
  <c r="BN100" i="3"/>
  <c r="BM100" i="3"/>
  <c r="AO100" i="3"/>
  <c r="BC97" i="3"/>
  <c r="BG97" i="3" s="1"/>
  <c r="BH97" i="3" s="1"/>
  <c r="BI97" i="3" s="1"/>
  <c r="BG96" i="3"/>
  <c r="BH96" i="3" s="1"/>
  <c r="BI96" i="3" s="1"/>
  <c r="AT99" i="3"/>
  <c r="AG100" i="3"/>
  <c r="BA98" i="3"/>
  <c r="BQ98" i="3" s="1"/>
  <c r="AY98" i="3"/>
  <c r="AW99" i="3"/>
  <c r="AU99" i="3"/>
  <c r="AX99" i="3"/>
  <c r="AH100" i="3"/>
  <c r="AN100" i="3"/>
  <c r="X100" i="3"/>
  <c r="Y100" i="3"/>
  <c r="Z100" i="3" s="1"/>
  <c r="AQ101" i="3"/>
  <c r="B101" i="3"/>
  <c r="AR101" i="3"/>
  <c r="A102" i="3"/>
  <c r="C101" i="3"/>
  <c r="R101" i="3"/>
  <c r="AM101" i="3"/>
  <c r="AK101" i="3"/>
  <c r="Q101" i="3"/>
  <c r="AD101" i="3"/>
  <c r="O101" i="3"/>
  <c r="P101" i="3"/>
  <c r="AF101" i="3"/>
  <c r="AE101" i="3"/>
  <c r="U101" i="3"/>
  <c r="V101" i="3"/>
  <c r="M101" i="3"/>
  <c r="D101" i="3"/>
  <c r="F101" i="3"/>
  <c r="G101" i="3"/>
  <c r="H101" i="3" s="1"/>
  <c r="T101" i="3"/>
  <c r="S101" i="3"/>
  <c r="BB97" i="3"/>
  <c r="BQ97" i="3"/>
  <c r="BF97" i="3"/>
  <c r="BJ96" i="3" s="1"/>
  <c r="BM101" i="3" l="1"/>
  <c r="BN101" i="3"/>
  <c r="BD97" i="3"/>
  <c r="BK96" i="3"/>
  <c r="BC98" i="3"/>
  <c r="BD98" i="3" s="1"/>
  <c r="AT100" i="3"/>
  <c r="AV99" i="3"/>
  <c r="BB98" i="3"/>
  <c r="AW100" i="3"/>
  <c r="AU100" i="3"/>
  <c r="AN101" i="3"/>
  <c r="BF98" i="3"/>
  <c r="BJ97" i="3" s="1"/>
  <c r="BK97" i="3" s="1"/>
  <c r="AX100" i="3"/>
  <c r="BA99" i="3"/>
  <c r="BQ99" i="3" s="1"/>
  <c r="Y101" i="3"/>
  <c r="Z101" i="3" s="1"/>
  <c r="B102" i="3"/>
  <c r="AQ102" i="3"/>
  <c r="AR102" i="3"/>
  <c r="A103" i="3"/>
  <c r="C102" i="3"/>
  <c r="AM102" i="3"/>
  <c r="AK102" i="3"/>
  <c r="T102" i="3"/>
  <c r="Q102" i="3"/>
  <c r="O102" i="3"/>
  <c r="R102" i="3"/>
  <c r="AD102" i="3"/>
  <c r="P102" i="3"/>
  <c r="AE102" i="3"/>
  <c r="M102" i="3"/>
  <c r="AF102" i="3"/>
  <c r="V102" i="3"/>
  <c r="U102" i="3"/>
  <c r="G102" i="3"/>
  <c r="H102" i="3" s="1"/>
  <c r="D102" i="3"/>
  <c r="F102" i="3"/>
  <c r="S102" i="3"/>
  <c r="X101" i="3"/>
  <c r="AG101" i="3"/>
  <c r="AH101" i="3"/>
  <c r="AO101" i="3"/>
  <c r="AY99" i="3"/>
  <c r="BM102" i="3" l="1"/>
  <c r="BG98" i="3"/>
  <c r="BH98" i="3" s="1"/>
  <c r="BI98" i="3" s="1"/>
  <c r="AV100" i="3"/>
  <c r="BC99" i="3"/>
  <c r="BD99" i="3" s="1"/>
  <c r="AY100" i="3"/>
  <c r="BN102" i="3"/>
  <c r="AH102" i="3"/>
  <c r="BA100" i="3"/>
  <c r="BB100" i="3" s="1"/>
  <c r="AX101" i="3"/>
  <c r="BF99" i="3"/>
  <c r="BJ98" i="3" s="1"/>
  <c r="AO102" i="3"/>
  <c r="BB99" i="3"/>
  <c r="Y102" i="3"/>
  <c r="Z102" i="3" s="1"/>
  <c r="A104" i="3"/>
  <c r="B103" i="3"/>
  <c r="AQ103" i="3"/>
  <c r="AR103" i="3"/>
  <c r="D103" i="3"/>
  <c r="AK103" i="3"/>
  <c r="AM103" i="3"/>
  <c r="S103" i="3"/>
  <c r="R103" i="3"/>
  <c r="AD103" i="3"/>
  <c r="P103" i="3"/>
  <c r="O103" i="3"/>
  <c r="AE103" i="3"/>
  <c r="AF103" i="3"/>
  <c r="M103" i="3"/>
  <c r="V103" i="3"/>
  <c r="U103" i="3"/>
  <c r="Q103" i="3"/>
  <c r="C103" i="3"/>
  <c r="F103" i="3"/>
  <c r="G103" i="3"/>
  <c r="H103" i="3" s="1"/>
  <c r="BN103" i="3" s="1"/>
  <c r="T103" i="3"/>
  <c r="AW101" i="3"/>
  <c r="X102" i="3"/>
  <c r="AG102" i="3"/>
  <c r="AN102" i="3"/>
  <c r="AT101" i="3"/>
  <c r="AU101" i="3"/>
  <c r="BK98" i="3" l="1"/>
  <c r="BC100" i="3"/>
  <c r="BG100" i="3" s="1"/>
  <c r="BH100" i="3" s="1"/>
  <c r="BI100" i="3" s="1"/>
  <c r="BG99" i="3"/>
  <c r="BH99" i="3" s="1"/>
  <c r="BI99" i="3" s="1"/>
  <c r="BQ100" i="3"/>
  <c r="BM103" i="3"/>
  <c r="BF100" i="3"/>
  <c r="BJ99" i="3" s="1"/>
  <c r="AY101" i="3"/>
  <c r="AW102" i="3"/>
  <c r="AO103" i="3"/>
  <c r="AT102" i="3"/>
  <c r="AX102" i="3"/>
  <c r="AH103" i="3"/>
  <c r="Y103" i="3"/>
  <c r="Z103" i="3" s="1"/>
  <c r="A105" i="3"/>
  <c r="AR104" i="3"/>
  <c r="B104" i="3"/>
  <c r="AQ104" i="3"/>
  <c r="D104" i="3"/>
  <c r="R104" i="3"/>
  <c r="Q104" i="3"/>
  <c r="AM104" i="3"/>
  <c r="AK104" i="3"/>
  <c r="S104" i="3"/>
  <c r="AD104" i="3"/>
  <c r="P104" i="3"/>
  <c r="O104" i="3"/>
  <c r="AE104" i="3"/>
  <c r="M104" i="3"/>
  <c r="AF104" i="3"/>
  <c r="V104" i="3"/>
  <c r="U104" i="3"/>
  <c r="G104" i="3"/>
  <c r="H104" i="3" s="1"/>
  <c r="F104" i="3"/>
  <c r="C104" i="3"/>
  <c r="T104" i="3"/>
  <c r="X103" i="3"/>
  <c r="AG103" i="3"/>
  <c r="AN103" i="3"/>
  <c r="BA101" i="3"/>
  <c r="AV101" i="3"/>
  <c r="AU102" i="3"/>
  <c r="BD100" i="3" l="1"/>
  <c r="BN104" i="3"/>
  <c r="BK99" i="3"/>
  <c r="BM104" i="3"/>
  <c r="BC101" i="3"/>
  <c r="BD101" i="3" s="1"/>
  <c r="AV102" i="3"/>
  <c r="AU103" i="3"/>
  <c r="AG104" i="3"/>
  <c r="AY102" i="3"/>
  <c r="AT103" i="3"/>
  <c r="AX103" i="3"/>
  <c r="AN104" i="3"/>
  <c r="BA102" i="3"/>
  <c r="BB102" i="3" s="1"/>
  <c r="Y104" i="3"/>
  <c r="Z104" i="3" s="1"/>
  <c r="BQ101" i="3"/>
  <c r="BF101" i="3"/>
  <c r="BJ100" i="3" s="1"/>
  <c r="BK100" i="3" s="1"/>
  <c r="BB101" i="3"/>
  <c r="AQ105" i="3"/>
  <c r="AR105" i="3"/>
  <c r="B105" i="3"/>
  <c r="A106" i="3"/>
  <c r="C105" i="3"/>
  <c r="R105" i="3"/>
  <c r="AK105" i="3"/>
  <c r="AM105" i="3"/>
  <c r="Q105" i="3"/>
  <c r="AD105" i="3"/>
  <c r="O105" i="3"/>
  <c r="P105" i="3"/>
  <c r="M105" i="3"/>
  <c r="AE105" i="3"/>
  <c r="U105" i="3"/>
  <c r="V105" i="3"/>
  <c r="AF105" i="3"/>
  <c r="D105" i="3"/>
  <c r="G105" i="3"/>
  <c r="H105" i="3" s="1"/>
  <c r="F105" i="3"/>
  <c r="S105" i="3"/>
  <c r="T105" i="3"/>
  <c r="AW103" i="3"/>
  <c r="X104" i="3"/>
  <c r="AH104" i="3"/>
  <c r="AO104" i="3"/>
  <c r="BG101" i="3" l="1"/>
  <c r="BH101" i="3" s="1"/>
  <c r="BI101" i="3" s="1"/>
  <c r="BM105" i="3"/>
  <c r="AG105" i="3"/>
  <c r="AN105" i="3"/>
  <c r="AU104" i="3"/>
  <c r="BC102" i="3"/>
  <c r="BG102" i="3" s="1"/>
  <c r="BH102" i="3" s="1"/>
  <c r="BI102" i="3" s="1"/>
  <c r="AT104" i="3"/>
  <c r="AV103" i="3"/>
  <c r="BQ102" i="3"/>
  <c r="BA103" i="3"/>
  <c r="BF103" i="3" s="1"/>
  <c r="BF102" i="3"/>
  <c r="BJ101" i="3" s="1"/>
  <c r="AW104" i="3"/>
  <c r="Y105" i="3"/>
  <c r="Z105" i="3" s="1"/>
  <c r="AX104" i="3"/>
  <c r="AY103" i="3"/>
  <c r="X105" i="3"/>
  <c r="BN105" i="3"/>
  <c r="AO105" i="3"/>
  <c r="B106" i="3"/>
  <c r="AQ106" i="3"/>
  <c r="AR106" i="3"/>
  <c r="A107" i="3"/>
  <c r="D106" i="3"/>
  <c r="AM106" i="3"/>
  <c r="AK106" i="3"/>
  <c r="R106" i="3"/>
  <c r="Q106" i="3"/>
  <c r="S106" i="3"/>
  <c r="AD106" i="3"/>
  <c r="P106" i="3"/>
  <c r="O106" i="3"/>
  <c r="AF106" i="3"/>
  <c r="AE106" i="3"/>
  <c r="V106" i="3"/>
  <c r="M106" i="3"/>
  <c r="U106" i="3"/>
  <c r="C106" i="3"/>
  <c r="G106" i="3"/>
  <c r="H106" i="3" s="1"/>
  <c r="F106" i="3"/>
  <c r="T106" i="3"/>
  <c r="AH105" i="3"/>
  <c r="BK101" i="3" l="1"/>
  <c r="AV104" i="3"/>
  <c r="BM106" i="3"/>
  <c r="BN106" i="3"/>
  <c r="BD102" i="3"/>
  <c r="BQ103" i="3"/>
  <c r="AN106" i="3"/>
  <c r="AX105" i="3"/>
  <c r="Y106" i="3"/>
  <c r="Z106" i="3" s="1"/>
  <c r="BC103" i="3"/>
  <c r="BD103" i="3" s="1"/>
  <c r="AY104" i="3"/>
  <c r="BB103" i="3"/>
  <c r="BJ102" i="3"/>
  <c r="BK102" i="3" s="1"/>
  <c r="BA104" i="3"/>
  <c r="BQ104" i="3" s="1"/>
  <c r="X106" i="3"/>
  <c r="AG106" i="3"/>
  <c r="AH106" i="3"/>
  <c r="AO106" i="3"/>
  <c r="A108" i="3"/>
  <c r="B107" i="3"/>
  <c r="AQ107" i="3"/>
  <c r="AR107" i="3"/>
  <c r="D107" i="3"/>
  <c r="AM107" i="3"/>
  <c r="S107" i="3"/>
  <c r="R107" i="3"/>
  <c r="Q107" i="3"/>
  <c r="C107" i="3"/>
  <c r="AK107" i="3"/>
  <c r="AD107" i="3"/>
  <c r="O107" i="3"/>
  <c r="M107" i="3"/>
  <c r="AF107" i="3"/>
  <c r="AE107" i="3"/>
  <c r="V107" i="3"/>
  <c r="U107" i="3"/>
  <c r="G107" i="3"/>
  <c r="H107" i="3" s="1"/>
  <c r="F107" i="3"/>
  <c r="T107" i="3"/>
  <c r="P107" i="3"/>
  <c r="AT105" i="3"/>
  <c r="AW105" i="3"/>
  <c r="AU105" i="3"/>
  <c r="BM107" i="3" l="1"/>
  <c r="BN107" i="3"/>
  <c r="BC104" i="3"/>
  <c r="BG104" i="3" s="1"/>
  <c r="BH104" i="3" s="1"/>
  <c r="BI104" i="3" s="1"/>
  <c r="AN107" i="3"/>
  <c r="AY105" i="3"/>
  <c r="BF104" i="3"/>
  <c r="BJ103" i="3" s="1"/>
  <c r="BG103" i="3"/>
  <c r="BH103" i="3" s="1"/>
  <c r="BI103" i="3" s="1"/>
  <c r="AU106" i="3"/>
  <c r="BB104" i="3"/>
  <c r="AG107" i="3"/>
  <c r="AX106" i="3"/>
  <c r="BA105" i="3"/>
  <c r="BQ105" i="3" s="1"/>
  <c r="Y107" i="3"/>
  <c r="Z107" i="3" s="1"/>
  <c r="AH107" i="3"/>
  <c r="A109" i="3"/>
  <c r="AR108" i="3"/>
  <c r="B108" i="3"/>
  <c r="AQ108" i="3"/>
  <c r="R108" i="3"/>
  <c r="C108" i="3"/>
  <c r="AM108" i="3"/>
  <c r="AK108" i="3"/>
  <c r="Q108" i="3"/>
  <c r="AD108" i="3"/>
  <c r="O108" i="3"/>
  <c r="P108" i="3"/>
  <c r="AE108" i="3"/>
  <c r="M108" i="3"/>
  <c r="AF108" i="3"/>
  <c r="V108" i="3"/>
  <c r="U108" i="3"/>
  <c r="D108" i="3"/>
  <c r="F108" i="3"/>
  <c r="G108" i="3"/>
  <c r="H108" i="3" s="1"/>
  <c r="S108" i="3"/>
  <c r="T108" i="3"/>
  <c r="X107" i="3"/>
  <c r="AV105" i="3"/>
  <c r="AO107" i="3"/>
  <c r="AT106" i="3"/>
  <c r="AW106" i="3"/>
  <c r="BN108" i="3" l="1"/>
  <c r="BD104" i="3"/>
  <c r="AU107" i="3"/>
  <c r="BK103" i="3"/>
  <c r="BC105" i="3"/>
  <c r="BG105" i="3" s="1"/>
  <c r="BH105" i="3" s="1"/>
  <c r="BI105" i="3" s="1"/>
  <c r="AY106" i="3"/>
  <c r="AW107" i="3"/>
  <c r="AO108" i="3"/>
  <c r="BF105" i="3"/>
  <c r="BJ104" i="3" s="1"/>
  <c r="BK104" i="3" s="1"/>
  <c r="BB105" i="3"/>
  <c r="AV106" i="3"/>
  <c r="BA106" i="3"/>
  <c r="AQ109" i="3"/>
  <c r="B109" i="3"/>
  <c r="AR109" i="3"/>
  <c r="A110" i="3"/>
  <c r="AM109" i="3"/>
  <c r="T109" i="3"/>
  <c r="Q109" i="3"/>
  <c r="D109" i="3"/>
  <c r="AK109" i="3"/>
  <c r="S109" i="3"/>
  <c r="P109" i="3"/>
  <c r="R109" i="3"/>
  <c r="AD109" i="3"/>
  <c r="O109" i="3"/>
  <c r="M109" i="3"/>
  <c r="AF109" i="3"/>
  <c r="U109" i="3"/>
  <c r="AE109" i="3"/>
  <c r="V109" i="3"/>
  <c r="C109" i="3"/>
  <c r="F109" i="3"/>
  <c r="G109" i="3"/>
  <c r="H109" i="3" s="1"/>
  <c r="X108" i="3"/>
  <c r="BM108" i="3"/>
  <c r="AH108" i="3"/>
  <c r="AG108" i="3"/>
  <c r="AN108" i="3"/>
  <c r="AT107" i="3"/>
  <c r="Y108" i="3"/>
  <c r="Z108" i="3" s="1"/>
  <c r="AX107" i="3"/>
  <c r="BN109" i="3" l="1"/>
  <c r="BD105" i="3"/>
  <c r="BM109" i="3"/>
  <c r="AO109" i="3"/>
  <c r="AY107" i="3"/>
  <c r="BC106" i="3"/>
  <c r="BG106" i="3" s="1"/>
  <c r="BH106" i="3" s="1"/>
  <c r="BI106" i="3" s="1"/>
  <c r="AW108" i="3"/>
  <c r="AT108" i="3"/>
  <c r="AH109" i="3"/>
  <c r="Y109" i="3"/>
  <c r="Z109" i="3" s="1"/>
  <c r="B110" i="3"/>
  <c r="AQ110" i="3"/>
  <c r="AR110" i="3"/>
  <c r="A111" i="3"/>
  <c r="C110" i="3"/>
  <c r="D110" i="3"/>
  <c r="AM110" i="3"/>
  <c r="AK110" i="3"/>
  <c r="T110" i="3"/>
  <c r="Q110" i="3"/>
  <c r="S110" i="3"/>
  <c r="R110" i="3"/>
  <c r="AD110" i="3"/>
  <c r="P110" i="3"/>
  <c r="O110" i="3"/>
  <c r="AE110" i="3"/>
  <c r="AF110" i="3"/>
  <c r="V110" i="3"/>
  <c r="M110" i="3"/>
  <c r="U110" i="3"/>
  <c r="F110" i="3"/>
  <c r="G110" i="3"/>
  <c r="H110" i="3" s="1"/>
  <c r="BN110" i="3" s="1"/>
  <c r="BQ106" i="3"/>
  <c r="BF106" i="3"/>
  <c r="BJ105" i="3" s="1"/>
  <c r="BK105" i="3" s="1"/>
  <c r="BB106" i="3"/>
  <c r="AU108" i="3"/>
  <c r="AN109" i="3"/>
  <c r="AX108" i="3"/>
  <c r="X109" i="3"/>
  <c r="AG109" i="3"/>
  <c r="AV107" i="3"/>
  <c r="BA107" i="3"/>
  <c r="BM110" i="3" l="1"/>
  <c r="BD106" i="3"/>
  <c r="BA108" i="3"/>
  <c r="BQ108" i="3" s="1"/>
  <c r="AV108" i="3"/>
  <c r="BC107" i="3"/>
  <c r="BD107" i="3" s="1"/>
  <c r="AX109" i="3"/>
  <c r="AN110" i="3"/>
  <c r="AU109" i="3"/>
  <c r="AW109" i="3"/>
  <c r="BB107" i="3"/>
  <c r="BQ107" i="3"/>
  <c r="BF107" i="3"/>
  <c r="BJ106" i="3" s="1"/>
  <c r="BK106" i="3" s="1"/>
  <c r="Y110" i="3"/>
  <c r="Z110" i="3" s="1"/>
  <c r="A112" i="3"/>
  <c r="B111" i="3"/>
  <c r="AQ111" i="3"/>
  <c r="AR111" i="3"/>
  <c r="AK111" i="3"/>
  <c r="R111" i="3"/>
  <c r="AM111" i="3"/>
  <c r="C111" i="3"/>
  <c r="AD111" i="3"/>
  <c r="T111" i="3"/>
  <c r="Q111" i="3"/>
  <c r="O111" i="3"/>
  <c r="P111" i="3"/>
  <c r="AE111" i="3"/>
  <c r="AF111" i="3"/>
  <c r="M111" i="3"/>
  <c r="V111" i="3"/>
  <c r="U111" i="3"/>
  <c r="D111" i="3"/>
  <c r="G111" i="3"/>
  <c r="H111" i="3" s="1"/>
  <c r="F111" i="3"/>
  <c r="S111" i="3"/>
  <c r="AH110" i="3"/>
  <c r="AT109" i="3"/>
  <c r="AY108" i="3"/>
  <c r="AG110" i="3"/>
  <c r="AO110" i="3"/>
  <c r="X110" i="3"/>
  <c r="AN111" i="3" l="1"/>
  <c r="BB108" i="3"/>
  <c r="BC108" i="3"/>
  <c r="BD108" i="3" s="1"/>
  <c r="BF108" i="3"/>
  <c r="BJ107" i="3" s="1"/>
  <c r="BG107" i="3"/>
  <c r="BH107" i="3" s="1"/>
  <c r="BI107" i="3" s="1"/>
  <c r="AY109" i="3"/>
  <c r="AT110" i="3"/>
  <c r="BM111" i="3"/>
  <c r="AH111" i="3"/>
  <c r="A113" i="3"/>
  <c r="AR112" i="3"/>
  <c r="B112" i="3"/>
  <c r="AQ112" i="3"/>
  <c r="D112" i="3"/>
  <c r="C112" i="3"/>
  <c r="S112" i="3"/>
  <c r="Q112" i="3"/>
  <c r="AM112" i="3"/>
  <c r="AK112" i="3"/>
  <c r="AD112" i="3"/>
  <c r="P112" i="3"/>
  <c r="T112" i="3"/>
  <c r="R112" i="3"/>
  <c r="O112" i="3"/>
  <c r="AE112" i="3"/>
  <c r="M112" i="3"/>
  <c r="AF112" i="3"/>
  <c r="U112" i="3"/>
  <c r="V112" i="3"/>
  <c r="G112" i="3"/>
  <c r="H112" i="3" s="1"/>
  <c r="F112" i="3"/>
  <c r="BM112" i="3" s="1"/>
  <c r="AV109" i="3"/>
  <c r="BA109" i="3"/>
  <c r="Y111" i="3"/>
  <c r="Z111" i="3" s="1"/>
  <c r="BN111" i="3"/>
  <c r="AX110" i="3"/>
  <c r="AU110" i="3"/>
  <c r="AW110" i="3"/>
  <c r="X111" i="3"/>
  <c r="AG111" i="3"/>
  <c r="AO111" i="3"/>
  <c r="BN112" i="3" l="1"/>
  <c r="BK107" i="3"/>
  <c r="AV110" i="3"/>
  <c r="BG108" i="3"/>
  <c r="BH108" i="3" s="1"/>
  <c r="BI108" i="3" s="1"/>
  <c r="BC109" i="3"/>
  <c r="BG109" i="3" s="1"/>
  <c r="BH109" i="3" s="1"/>
  <c r="BI109" i="3" s="1"/>
  <c r="AT111" i="3"/>
  <c r="AO112" i="3"/>
  <c r="AY110" i="3"/>
  <c r="AG112" i="3"/>
  <c r="AX111" i="3"/>
  <c r="BA110" i="3"/>
  <c r="BQ110" i="3" s="1"/>
  <c r="Y112" i="3"/>
  <c r="Z112" i="3" s="1"/>
  <c r="AQ113" i="3"/>
  <c r="AR113" i="3"/>
  <c r="B113" i="3"/>
  <c r="A114" i="3"/>
  <c r="D113" i="3"/>
  <c r="AM113" i="3"/>
  <c r="R113" i="3"/>
  <c r="AK113" i="3"/>
  <c r="Q113" i="3"/>
  <c r="S113" i="3"/>
  <c r="AD113" i="3"/>
  <c r="O113" i="3"/>
  <c r="M113" i="3"/>
  <c r="AF113" i="3"/>
  <c r="P113" i="3"/>
  <c r="AE113" i="3"/>
  <c r="V113" i="3"/>
  <c r="U113" i="3"/>
  <c r="F113" i="3"/>
  <c r="G113" i="3"/>
  <c r="H113" i="3" s="1"/>
  <c r="C113" i="3"/>
  <c r="T113" i="3"/>
  <c r="AW111" i="3"/>
  <c r="AU111" i="3"/>
  <c r="AH112" i="3"/>
  <c r="AN112" i="3"/>
  <c r="BF109" i="3"/>
  <c r="BJ108" i="3" s="1"/>
  <c r="BQ109" i="3"/>
  <c r="BB109" i="3"/>
  <c r="X112" i="3"/>
  <c r="BK108" i="3" l="1"/>
  <c r="AO113" i="3"/>
  <c r="AT112" i="3"/>
  <c r="BD109" i="3"/>
  <c r="BC110" i="3"/>
  <c r="BD110" i="3" s="1"/>
  <c r="AU112" i="3"/>
  <c r="AV111" i="3"/>
  <c r="BB110" i="3"/>
  <c r="BN113" i="3"/>
  <c r="AW112" i="3"/>
  <c r="AY111" i="3"/>
  <c r="BA111" i="3"/>
  <c r="BQ111" i="3" s="1"/>
  <c r="AG113" i="3"/>
  <c r="X113" i="3"/>
  <c r="BF110" i="3"/>
  <c r="BJ109" i="3" s="1"/>
  <c r="BK109" i="3" s="1"/>
  <c r="Y113" i="3"/>
  <c r="Z113" i="3" s="1"/>
  <c r="B114" i="3"/>
  <c r="AQ114" i="3"/>
  <c r="AR114" i="3"/>
  <c r="A115" i="3"/>
  <c r="T114" i="3"/>
  <c r="C114" i="3"/>
  <c r="AM114" i="3"/>
  <c r="AK114" i="3"/>
  <c r="P114" i="3"/>
  <c r="Q114" i="3"/>
  <c r="AD114" i="3"/>
  <c r="O114" i="3"/>
  <c r="AE114" i="3"/>
  <c r="AF114" i="3"/>
  <c r="M114" i="3"/>
  <c r="U114" i="3"/>
  <c r="V114" i="3"/>
  <c r="R114" i="3"/>
  <c r="D114" i="3"/>
  <c r="G114" i="3"/>
  <c r="H114" i="3" s="1"/>
  <c r="F114" i="3"/>
  <c r="S114" i="3"/>
  <c r="AN113" i="3"/>
  <c r="AX112" i="3"/>
  <c r="BM113" i="3"/>
  <c r="AH113" i="3"/>
  <c r="AY112" i="3" l="1"/>
  <c r="BC111" i="3"/>
  <c r="BD111" i="3" s="1"/>
  <c r="AV112" i="3"/>
  <c r="BG110" i="3"/>
  <c r="BH110" i="3" s="1"/>
  <c r="BI110" i="3" s="1"/>
  <c r="BM114" i="3"/>
  <c r="BN114" i="3"/>
  <c r="BB111" i="3"/>
  <c r="BF111" i="3"/>
  <c r="BJ110" i="3" s="1"/>
  <c r="AO114" i="3"/>
  <c r="AX113" i="3"/>
  <c r="AW113" i="3"/>
  <c r="AU113" i="3"/>
  <c r="AT113" i="3"/>
  <c r="X114" i="3"/>
  <c r="Y114" i="3"/>
  <c r="Z114" i="3" s="1"/>
  <c r="BA112" i="3"/>
  <c r="AG114" i="3"/>
  <c r="AH114" i="3"/>
  <c r="AN114" i="3"/>
  <c r="A116" i="3"/>
  <c r="B115" i="3"/>
  <c r="AQ115" i="3"/>
  <c r="AR115" i="3"/>
  <c r="C115" i="3"/>
  <c r="AK115" i="3"/>
  <c r="S115" i="3"/>
  <c r="AM115" i="3"/>
  <c r="Q115" i="3"/>
  <c r="AD115" i="3"/>
  <c r="R115" i="3"/>
  <c r="P115" i="3"/>
  <c r="M115" i="3"/>
  <c r="AE115" i="3"/>
  <c r="O115" i="3"/>
  <c r="AF115" i="3"/>
  <c r="V115" i="3"/>
  <c r="U115" i="3"/>
  <c r="D115" i="3"/>
  <c r="G115" i="3"/>
  <c r="H115" i="3" s="1"/>
  <c r="F115" i="3"/>
  <c r="T115" i="3"/>
  <c r="BK110" i="3" l="1"/>
  <c r="BM115" i="3"/>
  <c r="BC112" i="3"/>
  <c r="BG112" i="3" s="1"/>
  <c r="BH112" i="3" s="1"/>
  <c r="BI112" i="3" s="1"/>
  <c r="BG111" i="3"/>
  <c r="BH111" i="3" s="1"/>
  <c r="BI111" i="3" s="1"/>
  <c r="BN115" i="3"/>
  <c r="AV113" i="3"/>
  <c r="AY113" i="3"/>
  <c r="AN115" i="3"/>
  <c r="BA113" i="3"/>
  <c r="BF113" i="3" s="1"/>
  <c r="Y115" i="3"/>
  <c r="Z115" i="3" s="1"/>
  <c r="AT114" i="3"/>
  <c r="AU114" i="3"/>
  <c r="AX114" i="3"/>
  <c r="BB112" i="3"/>
  <c r="BF112" i="3"/>
  <c r="BQ112" i="3"/>
  <c r="AG115" i="3"/>
  <c r="AH115" i="3"/>
  <c r="AO115" i="3"/>
  <c r="A117" i="3"/>
  <c r="AR116" i="3"/>
  <c r="B116" i="3"/>
  <c r="AQ116" i="3"/>
  <c r="C116" i="3"/>
  <c r="AK116" i="3"/>
  <c r="S116" i="3"/>
  <c r="R116" i="3"/>
  <c r="AM116" i="3"/>
  <c r="Q116" i="3"/>
  <c r="AD116" i="3"/>
  <c r="P116" i="3"/>
  <c r="O116" i="3"/>
  <c r="M116" i="3"/>
  <c r="AE116" i="3"/>
  <c r="AF116" i="3"/>
  <c r="U116" i="3"/>
  <c r="V116" i="3"/>
  <c r="G116" i="3"/>
  <c r="H116" i="3" s="1"/>
  <c r="F116" i="3"/>
  <c r="D116" i="3"/>
  <c r="T116" i="3"/>
  <c r="X115" i="3"/>
  <c r="AW114" i="3"/>
  <c r="BD112" i="3" l="1"/>
  <c r="BB113" i="3"/>
  <c r="BM116" i="3"/>
  <c r="BC113" i="3"/>
  <c r="BD113" i="3" s="1"/>
  <c r="AT115" i="3"/>
  <c r="AY114" i="3"/>
  <c r="BQ113" i="3"/>
  <c r="AO116" i="3"/>
  <c r="AV114" i="3"/>
  <c r="AU115" i="3"/>
  <c r="AX115" i="3"/>
  <c r="Y116" i="3"/>
  <c r="Z116" i="3" s="1"/>
  <c r="BJ112" i="3"/>
  <c r="BK112" i="3" s="1"/>
  <c r="BJ111" i="3"/>
  <c r="BK111" i="3" s="1"/>
  <c r="BA114" i="3"/>
  <c r="AQ117" i="3"/>
  <c r="B117" i="3"/>
  <c r="AR117" i="3"/>
  <c r="A118" i="3"/>
  <c r="C117" i="3"/>
  <c r="AM117" i="3"/>
  <c r="AK117" i="3"/>
  <c r="T117" i="3"/>
  <c r="R117" i="3"/>
  <c r="Q117" i="3"/>
  <c r="P117" i="3"/>
  <c r="AD117" i="3"/>
  <c r="O117" i="3"/>
  <c r="AE117" i="3"/>
  <c r="AF117" i="3"/>
  <c r="M117" i="3"/>
  <c r="U117" i="3"/>
  <c r="V117" i="3"/>
  <c r="D117" i="3"/>
  <c r="G117" i="3"/>
  <c r="H117" i="3" s="1"/>
  <c r="F117" i="3"/>
  <c r="S117" i="3"/>
  <c r="BN116" i="3"/>
  <c r="AG116" i="3"/>
  <c r="AH116" i="3"/>
  <c r="AN116" i="3"/>
  <c r="X116" i="3"/>
  <c r="AW115" i="3"/>
  <c r="BM117" i="3" l="1"/>
  <c r="BG113" i="3"/>
  <c r="BH113" i="3" s="1"/>
  <c r="BI113" i="3" s="1"/>
  <c r="AV115" i="3"/>
  <c r="BC114" i="3"/>
  <c r="BD114" i="3" s="1"/>
  <c r="AO117" i="3"/>
  <c r="AY115" i="3"/>
  <c r="AX116" i="3"/>
  <c r="AH117" i="3"/>
  <c r="B118" i="3"/>
  <c r="AQ118" i="3"/>
  <c r="AR118" i="3"/>
  <c r="A119" i="3"/>
  <c r="D118" i="3"/>
  <c r="AM118" i="3"/>
  <c r="Q118" i="3"/>
  <c r="C118" i="3"/>
  <c r="AK118" i="3"/>
  <c r="S118" i="3"/>
  <c r="R118" i="3"/>
  <c r="AD118" i="3"/>
  <c r="O118" i="3"/>
  <c r="M118" i="3"/>
  <c r="U118" i="3"/>
  <c r="P118" i="3"/>
  <c r="AE118" i="3"/>
  <c r="AF118" i="3"/>
  <c r="V118" i="3"/>
  <c r="F118" i="3"/>
  <c r="G118" i="3"/>
  <c r="H118" i="3" s="1"/>
  <c r="T118" i="3"/>
  <c r="BB114" i="3"/>
  <c r="BF114" i="3"/>
  <c r="BJ113" i="3" s="1"/>
  <c r="BK113" i="3" s="1"/>
  <c r="BQ114" i="3"/>
  <c r="AW116" i="3"/>
  <c r="X117" i="3"/>
  <c r="BN117" i="3"/>
  <c r="AG117" i="3"/>
  <c r="AN117" i="3"/>
  <c r="AU116" i="3"/>
  <c r="Y117" i="3"/>
  <c r="Z117" i="3" s="1"/>
  <c r="AT116" i="3"/>
  <c r="BA115" i="3"/>
  <c r="BN118" i="3" l="1"/>
  <c r="BM118" i="3"/>
  <c r="BC115" i="3"/>
  <c r="BD115" i="3" s="1"/>
  <c r="BG114" i="3"/>
  <c r="BH114" i="3" s="1"/>
  <c r="BI114" i="3" s="1"/>
  <c r="AT117" i="3"/>
  <c r="AX117" i="3"/>
  <c r="AY116" i="3"/>
  <c r="Y118" i="3"/>
  <c r="Z118" i="3" s="1"/>
  <c r="AU117" i="3"/>
  <c r="AN118" i="3"/>
  <c r="BA116" i="3"/>
  <c r="BF116" i="3" s="1"/>
  <c r="BB115" i="3"/>
  <c r="BF115" i="3"/>
  <c r="BJ114" i="3" s="1"/>
  <c r="BQ115" i="3"/>
  <c r="AH118" i="3"/>
  <c r="AV116" i="3"/>
  <c r="AW117" i="3"/>
  <c r="AG118" i="3"/>
  <c r="AO118" i="3"/>
  <c r="A120" i="3"/>
  <c r="B119" i="3"/>
  <c r="AQ119" i="3"/>
  <c r="AR119" i="3"/>
  <c r="D119" i="3"/>
  <c r="C119" i="3"/>
  <c r="T119" i="3"/>
  <c r="S119" i="3"/>
  <c r="AM119" i="3"/>
  <c r="AK119" i="3"/>
  <c r="Q119" i="3"/>
  <c r="R119" i="3"/>
  <c r="AD119" i="3"/>
  <c r="P119" i="3"/>
  <c r="AE119" i="3"/>
  <c r="V119" i="3"/>
  <c r="O119" i="3"/>
  <c r="M119" i="3"/>
  <c r="AF119" i="3"/>
  <c r="U119" i="3"/>
  <c r="F119" i="3"/>
  <c r="G119" i="3"/>
  <c r="H119" i="3" s="1"/>
  <c r="X118" i="3"/>
  <c r="BK114" i="3" l="1"/>
  <c r="AO119" i="3"/>
  <c r="BN119" i="3"/>
  <c r="BM119" i="3"/>
  <c r="BG115" i="3"/>
  <c r="BH115" i="3" s="1"/>
  <c r="BI115" i="3" s="1"/>
  <c r="AY117" i="3"/>
  <c r="AV117" i="3"/>
  <c r="BC116" i="3"/>
  <c r="BD116" i="3" s="1"/>
  <c r="BQ116" i="3"/>
  <c r="BA117" i="3"/>
  <c r="BF117" i="3" s="1"/>
  <c r="BJ116" i="3" s="1"/>
  <c r="BB116" i="3"/>
  <c r="AN119" i="3"/>
  <c r="AU118" i="3"/>
  <c r="Y119" i="3"/>
  <c r="Z119" i="3" s="1"/>
  <c r="A121" i="3"/>
  <c r="AR120" i="3"/>
  <c r="B120" i="3"/>
  <c r="AQ120" i="3"/>
  <c r="AM120" i="3"/>
  <c r="T120" i="3"/>
  <c r="AK120" i="3"/>
  <c r="R120" i="3"/>
  <c r="Q120" i="3"/>
  <c r="AD120" i="3"/>
  <c r="P120" i="3"/>
  <c r="O120" i="3"/>
  <c r="M120" i="3"/>
  <c r="AF120" i="3"/>
  <c r="V120" i="3"/>
  <c r="U120" i="3"/>
  <c r="AE120" i="3"/>
  <c r="C120" i="3"/>
  <c r="G120" i="3"/>
  <c r="H120" i="3" s="1"/>
  <c r="F120" i="3"/>
  <c r="D120" i="3"/>
  <c r="S120" i="3"/>
  <c r="AT118" i="3"/>
  <c r="AX118" i="3"/>
  <c r="BJ115" i="3"/>
  <c r="AG119" i="3"/>
  <c r="AH119" i="3"/>
  <c r="X119" i="3"/>
  <c r="AW118" i="3"/>
  <c r="BB117" i="3" l="1"/>
  <c r="BK115" i="3"/>
  <c r="BM120" i="3"/>
  <c r="AO120" i="3"/>
  <c r="BC117" i="3"/>
  <c r="BG117" i="3" s="1"/>
  <c r="BH117" i="3" s="1"/>
  <c r="BI117" i="3" s="1"/>
  <c r="BG116" i="3"/>
  <c r="BH116" i="3" s="1"/>
  <c r="BI116" i="3" s="1"/>
  <c r="BK116" i="3" s="1"/>
  <c r="BQ117" i="3"/>
  <c r="AT119" i="3"/>
  <c r="X120" i="3"/>
  <c r="AX119" i="3"/>
  <c r="AG120" i="3"/>
  <c r="AY118" i="3"/>
  <c r="AV118" i="3"/>
  <c r="BA118" i="3"/>
  <c r="Y120" i="3"/>
  <c r="Z120" i="3" s="1"/>
  <c r="AQ121" i="3"/>
  <c r="AR121" i="3"/>
  <c r="B121" i="3"/>
  <c r="A122" i="3"/>
  <c r="C121" i="3"/>
  <c r="AK121" i="3"/>
  <c r="Q121" i="3"/>
  <c r="AM121" i="3"/>
  <c r="T121" i="3"/>
  <c r="P121" i="3"/>
  <c r="S121" i="3"/>
  <c r="AD121" i="3"/>
  <c r="O121" i="3"/>
  <c r="AE121" i="3"/>
  <c r="M121" i="3"/>
  <c r="AF121" i="3"/>
  <c r="V121" i="3"/>
  <c r="U121" i="3"/>
  <c r="F121" i="3"/>
  <c r="R121" i="3"/>
  <c r="D121" i="3"/>
  <c r="G121" i="3"/>
  <c r="H121" i="3" s="1"/>
  <c r="AU119" i="3"/>
  <c r="AW119" i="3"/>
  <c r="BN120" i="3"/>
  <c r="AN120" i="3"/>
  <c r="AH120" i="3"/>
  <c r="AV119" i="3" l="1"/>
  <c r="AN121" i="3"/>
  <c r="BM121" i="3"/>
  <c r="BN121" i="3"/>
  <c r="BD117" i="3"/>
  <c r="AT120" i="3"/>
  <c r="AG121" i="3"/>
  <c r="BA119" i="3"/>
  <c r="BF119" i="3" s="1"/>
  <c r="AW120" i="3"/>
  <c r="AY119" i="3"/>
  <c r="BC118" i="3"/>
  <c r="BG118" i="3" s="1"/>
  <c r="BH118" i="3" s="1"/>
  <c r="BI118" i="3" s="1"/>
  <c r="Y121" i="3"/>
  <c r="Z121" i="3" s="1"/>
  <c r="AX120" i="3"/>
  <c r="X121" i="3"/>
  <c r="AU120" i="3"/>
  <c r="B122" i="3"/>
  <c r="AQ122" i="3"/>
  <c r="AR122" i="3"/>
  <c r="A123" i="3"/>
  <c r="C122" i="3"/>
  <c r="S122" i="3"/>
  <c r="AM122" i="3"/>
  <c r="AK122" i="3"/>
  <c r="T122" i="3"/>
  <c r="O122" i="3"/>
  <c r="P122" i="3"/>
  <c r="R122" i="3"/>
  <c r="AD122" i="3"/>
  <c r="AE122" i="3"/>
  <c r="U122" i="3"/>
  <c r="M122" i="3"/>
  <c r="AF122" i="3"/>
  <c r="V122" i="3"/>
  <c r="F122" i="3"/>
  <c r="G122" i="3"/>
  <c r="H122" i="3" s="1"/>
  <c r="Q122" i="3"/>
  <c r="D122" i="3"/>
  <c r="BB118" i="3"/>
  <c r="BQ118" i="3"/>
  <c r="BF118" i="3"/>
  <c r="BJ117" i="3" s="1"/>
  <c r="BK117" i="3" s="1"/>
  <c r="AH121" i="3"/>
  <c r="AO121" i="3"/>
  <c r="BM122" i="3" l="1"/>
  <c r="BC119" i="3"/>
  <c r="BG119" i="3" s="1"/>
  <c r="BH119" i="3" s="1"/>
  <c r="BI119" i="3" s="1"/>
  <c r="BN122" i="3"/>
  <c r="BB119" i="3"/>
  <c r="BD118" i="3"/>
  <c r="BQ119" i="3"/>
  <c r="BA120" i="3"/>
  <c r="BQ120" i="3" s="1"/>
  <c r="AY120" i="3"/>
  <c r="AX121" i="3"/>
  <c r="AO122" i="3"/>
  <c r="AV120" i="3"/>
  <c r="AG122" i="3"/>
  <c r="AH122" i="3"/>
  <c r="AN122" i="3"/>
  <c r="X122" i="3"/>
  <c r="AT121" i="3"/>
  <c r="Y122" i="3"/>
  <c r="Z122" i="3" s="1"/>
  <c r="A124" i="3"/>
  <c r="B123" i="3"/>
  <c r="AQ123" i="3"/>
  <c r="AR123" i="3"/>
  <c r="C123" i="3"/>
  <c r="AM123" i="3"/>
  <c r="AK123" i="3"/>
  <c r="R123" i="3"/>
  <c r="AD123" i="3"/>
  <c r="S123" i="3"/>
  <c r="Q123" i="3"/>
  <c r="P123" i="3"/>
  <c r="AE123" i="3"/>
  <c r="O123" i="3"/>
  <c r="V123" i="3"/>
  <c r="AF123" i="3"/>
  <c r="M123" i="3"/>
  <c r="U123" i="3"/>
  <c r="D123" i="3"/>
  <c r="F123" i="3"/>
  <c r="G123" i="3"/>
  <c r="H123" i="3" s="1"/>
  <c r="T123" i="3"/>
  <c r="BJ118" i="3"/>
  <c r="BK118" i="3" s="1"/>
  <c r="AU121" i="3"/>
  <c r="AW121" i="3"/>
  <c r="BN123" i="3" l="1"/>
  <c r="BD119" i="3"/>
  <c r="AU122" i="3"/>
  <c r="BB120" i="3"/>
  <c r="BM123" i="3"/>
  <c r="BF120" i="3"/>
  <c r="BJ119" i="3" s="1"/>
  <c r="BK119" i="3" s="1"/>
  <c r="BC120" i="3"/>
  <c r="BD120" i="3" s="1"/>
  <c r="AY121" i="3"/>
  <c r="AN123" i="3"/>
  <c r="AX122" i="3"/>
  <c r="AW122" i="3"/>
  <c r="Y123" i="3"/>
  <c r="Z123" i="3" s="1"/>
  <c r="A125" i="3"/>
  <c r="AR124" i="3"/>
  <c r="B124" i="3"/>
  <c r="AQ124" i="3"/>
  <c r="D124" i="3"/>
  <c r="AM124" i="3"/>
  <c r="T124" i="3"/>
  <c r="AK124" i="3"/>
  <c r="AD124" i="3"/>
  <c r="P124" i="3"/>
  <c r="AE124" i="3"/>
  <c r="M124" i="3"/>
  <c r="AF124" i="3"/>
  <c r="V124" i="3"/>
  <c r="U124" i="3"/>
  <c r="O124" i="3"/>
  <c r="C124" i="3"/>
  <c r="G124" i="3"/>
  <c r="H124" i="3" s="1"/>
  <c r="R124" i="3"/>
  <c r="Q124" i="3"/>
  <c r="F124" i="3"/>
  <c r="S124" i="3"/>
  <c r="AG123" i="3"/>
  <c r="AH123" i="3"/>
  <c r="AO123" i="3"/>
  <c r="X123" i="3"/>
  <c r="AT122" i="3"/>
  <c r="BA121" i="3"/>
  <c r="AV121" i="3"/>
  <c r="BM124" i="3" l="1"/>
  <c r="AO124" i="3"/>
  <c r="BN124" i="3"/>
  <c r="AY122" i="3"/>
  <c r="BG120" i="3"/>
  <c r="BH120" i="3" s="1"/>
  <c r="BI120" i="3" s="1"/>
  <c r="AU123" i="3"/>
  <c r="BC121" i="3"/>
  <c r="BD121" i="3" s="1"/>
  <c r="AT123" i="3"/>
  <c r="X124" i="3"/>
  <c r="BA122" i="3"/>
  <c r="AV122" i="3"/>
  <c r="Y124" i="3"/>
  <c r="Z124" i="3" s="1"/>
  <c r="AQ125" i="3"/>
  <c r="B125" i="3"/>
  <c r="AR125" i="3"/>
  <c r="A126" i="3"/>
  <c r="AM125" i="3"/>
  <c r="S125" i="3"/>
  <c r="AK125" i="3"/>
  <c r="R125" i="3"/>
  <c r="Q125" i="3"/>
  <c r="AD125" i="3"/>
  <c r="P125" i="3"/>
  <c r="O125" i="3"/>
  <c r="V125" i="3"/>
  <c r="U125" i="3"/>
  <c r="AE125" i="3"/>
  <c r="AF125" i="3"/>
  <c r="M125" i="3"/>
  <c r="C125" i="3"/>
  <c r="D125" i="3"/>
  <c r="G125" i="3"/>
  <c r="H125" i="3" s="1"/>
  <c r="F125" i="3"/>
  <c r="T125" i="3"/>
  <c r="AW123" i="3"/>
  <c r="AN124" i="3"/>
  <c r="AX123" i="3"/>
  <c r="AG124" i="3"/>
  <c r="AH124" i="3"/>
  <c r="BB121" i="3"/>
  <c r="BF121" i="3"/>
  <c r="BQ121" i="3"/>
  <c r="AV123" i="3" l="1"/>
  <c r="AO125" i="3"/>
  <c r="BC122" i="3"/>
  <c r="BD122" i="3" s="1"/>
  <c r="BN125" i="3"/>
  <c r="BG121" i="3"/>
  <c r="BH121" i="3" s="1"/>
  <c r="BI121" i="3" s="1"/>
  <c r="AW124" i="3"/>
  <c r="AH125" i="3"/>
  <c r="AT124" i="3"/>
  <c r="X125" i="3"/>
  <c r="BJ120" i="3"/>
  <c r="BK120" i="3" s="1"/>
  <c r="BF122" i="3"/>
  <c r="BJ121" i="3" s="1"/>
  <c r="BB122" i="3"/>
  <c r="BQ122" i="3"/>
  <c r="Y125" i="3"/>
  <c r="Z125" i="3" s="1"/>
  <c r="AU124" i="3"/>
  <c r="AX124" i="3"/>
  <c r="AY123" i="3"/>
  <c r="BM125" i="3"/>
  <c r="AG125" i="3"/>
  <c r="AN125" i="3"/>
  <c r="BA123" i="3"/>
  <c r="B126" i="3"/>
  <c r="AQ126" i="3"/>
  <c r="AR126" i="3"/>
  <c r="A127" i="3"/>
  <c r="C126" i="3"/>
  <c r="AM126" i="3"/>
  <c r="R126" i="3"/>
  <c r="D126" i="3"/>
  <c r="AK126" i="3"/>
  <c r="Q126" i="3"/>
  <c r="P126" i="3"/>
  <c r="S126" i="3"/>
  <c r="AD126" i="3"/>
  <c r="O126" i="3"/>
  <c r="AE126" i="3"/>
  <c r="M126" i="3"/>
  <c r="AF126" i="3"/>
  <c r="U126" i="3"/>
  <c r="V126" i="3"/>
  <c r="G126" i="3"/>
  <c r="H126" i="3" s="1"/>
  <c r="F126" i="3"/>
  <c r="BM126" i="3" s="1"/>
  <c r="T126" i="3"/>
  <c r="BN126" i="3" l="1"/>
  <c r="BC123" i="3"/>
  <c r="BG123" i="3" s="1"/>
  <c r="BH123" i="3" s="1"/>
  <c r="BI123" i="3" s="1"/>
  <c r="AT125" i="3"/>
  <c r="BK121" i="3"/>
  <c r="BG122" i="3"/>
  <c r="BH122" i="3" s="1"/>
  <c r="BI122" i="3" s="1"/>
  <c r="AX125" i="3"/>
  <c r="AH126" i="3"/>
  <c r="BA124" i="3"/>
  <c r="BB124" i="3" s="1"/>
  <c r="AV124" i="3"/>
  <c r="AW125" i="3"/>
  <c r="AN126" i="3"/>
  <c r="AY124" i="3"/>
  <c r="A128" i="3"/>
  <c r="B127" i="3"/>
  <c r="AQ127" i="3"/>
  <c r="AR127" i="3"/>
  <c r="AM127" i="3"/>
  <c r="AK127" i="3"/>
  <c r="S127" i="3"/>
  <c r="Q127" i="3"/>
  <c r="AD127" i="3"/>
  <c r="O127" i="3"/>
  <c r="P127" i="3"/>
  <c r="AF127" i="3"/>
  <c r="M127" i="3"/>
  <c r="U127" i="3"/>
  <c r="V127" i="3"/>
  <c r="AE127" i="3"/>
  <c r="G127" i="3"/>
  <c r="H127" i="3" s="1"/>
  <c r="F127" i="3"/>
  <c r="R127" i="3"/>
  <c r="C127" i="3"/>
  <c r="D127" i="3"/>
  <c r="T127" i="3"/>
  <c r="BB123" i="3"/>
  <c r="BF123" i="3"/>
  <c r="BJ122" i="3" s="1"/>
  <c r="BQ123" i="3"/>
  <c r="Y126" i="3"/>
  <c r="Z126" i="3" s="1"/>
  <c r="AG126" i="3"/>
  <c r="AO126" i="3"/>
  <c r="X126" i="3"/>
  <c r="AU125" i="3"/>
  <c r="BD123" i="3" l="1"/>
  <c r="BK122" i="3"/>
  <c r="AY125" i="3"/>
  <c r="BN127" i="3"/>
  <c r="AN127" i="3"/>
  <c r="BF124" i="3"/>
  <c r="BJ123" i="3" s="1"/>
  <c r="BK123" i="3" s="1"/>
  <c r="BA125" i="3"/>
  <c r="BF125" i="3" s="1"/>
  <c r="BQ124" i="3"/>
  <c r="BC124" i="3"/>
  <c r="BD124" i="3" s="1"/>
  <c r="AU126" i="3"/>
  <c r="AW126" i="3"/>
  <c r="AT126" i="3"/>
  <c r="AX126" i="3"/>
  <c r="AV125" i="3"/>
  <c r="Y127" i="3"/>
  <c r="Z127" i="3" s="1"/>
  <c r="X127" i="3"/>
  <c r="BM127" i="3"/>
  <c r="AG127" i="3"/>
  <c r="AH127" i="3"/>
  <c r="AO127" i="3"/>
  <c r="A129" i="3"/>
  <c r="AR128" i="3"/>
  <c r="B128" i="3"/>
  <c r="AQ128" i="3"/>
  <c r="AK128" i="3"/>
  <c r="AM128" i="3"/>
  <c r="D128" i="3"/>
  <c r="R128" i="3"/>
  <c r="Q128" i="3"/>
  <c r="AD128" i="3"/>
  <c r="P128" i="3"/>
  <c r="O128" i="3"/>
  <c r="AE128" i="3"/>
  <c r="AF128" i="3"/>
  <c r="U128" i="3"/>
  <c r="V128" i="3"/>
  <c r="M128" i="3"/>
  <c r="G128" i="3"/>
  <c r="H128" i="3" s="1"/>
  <c r="C128" i="3"/>
  <c r="F128" i="3"/>
  <c r="S128" i="3"/>
  <c r="T128" i="3"/>
  <c r="BC125" i="3" l="1"/>
  <c r="BG125" i="3" s="1"/>
  <c r="BH125" i="3" s="1"/>
  <c r="BI125" i="3" s="1"/>
  <c r="AO128" i="3"/>
  <c r="BJ124" i="3"/>
  <c r="AY126" i="3"/>
  <c r="BG124" i="3"/>
  <c r="BH124" i="3" s="1"/>
  <c r="BI124" i="3" s="1"/>
  <c r="BQ125" i="3"/>
  <c r="AU127" i="3"/>
  <c r="BB125" i="3"/>
  <c r="AG128" i="3"/>
  <c r="AT127" i="3"/>
  <c r="X128" i="3"/>
  <c r="Y128" i="3"/>
  <c r="Z128" i="3" s="1"/>
  <c r="BM128" i="3"/>
  <c r="BN128" i="3"/>
  <c r="AH128" i="3"/>
  <c r="AN128" i="3"/>
  <c r="AX127" i="3"/>
  <c r="AQ129" i="3"/>
  <c r="AR129" i="3"/>
  <c r="B129" i="3"/>
  <c r="A130" i="3"/>
  <c r="C129" i="3"/>
  <c r="D129" i="3"/>
  <c r="AK129" i="3"/>
  <c r="T129" i="3"/>
  <c r="AM129" i="3"/>
  <c r="Q129" i="3"/>
  <c r="AD129" i="3"/>
  <c r="R129" i="3"/>
  <c r="P129" i="3"/>
  <c r="O129" i="3"/>
  <c r="AE129" i="3"/>
  <c r="M129" i="3"/>
  <c r="V129" i="3"/>
  <c r="AF129" i="3"/>
  <c r="U129" i="3"/>
  <c r="F129" i="3"/>
  <c r="G129" i="3"/>
  <c r="H129" i="3" s="1"/>
  <c r="S129" i="3"/>
  <c r="AV126" i="3"/>
  <c r="BA126" i="3"/>
  <c r="AW127" i="3"/>
  <c r="BK124" i="3" l="1"/>
  <c r="BD125" i="3"/>
  <c r="BN129" i="3"/>
  <c r="AN129" i="3"/>
  <c r="BM129" i="3"/>
  <c r="AY127" i="3"/>
  <c r="BC126" i="3"/>
  <c r="BG126" i="3" s="1"/>
  <c r="BH126" i="3" s="1"/>
  <c r="BI126" i="3" s="1"/>
  <c r="AT128" i="3"/>
  <c r="AW128" i="3"/>
  <c r="AV127" i="3"/>
  <c r="AG129" i="3"/>
  <c r="BB126" i="3"/>
  <c r="BQ126" i="3"/>
  <c r="BF126" i="3"/>
  <c r="BJ125" i="3" s="1"/>
  <c r="BK125" i="3" s="1"/>
  <c r="Y129" i="3"/>
  <c r="Z129" i="3" s="1"/>
  <c r="B130" i="3"/>
  <c r="AQ130" i="3"/>
  <c r="AR130" i="3"/>
  <c r="A131" i="3"/>
  <c r="D130" i="3"/>
  <c r="AK130" i="3"/>
  <c r="AM130" i="3"/>
  <c r="R130" i="3"/>
  <c r="Q130" i="3"/>
  <c r="O130" i="3"/>
  <c r="AD130" i="3"/>
  <c r="AE130" i="3"/>
  <c r="V130" i="3"/>
  <c r="U130" i="3"/>
  <c r="M130" i="3"/>
  <c r="AF130" i="3"/>
  <c r="F130" i="3"/>
  <c r="C130" i="3"/>
  <c r="G130" i="3"/>
  <c r="H130" i="3" s="1"/>
  <c r="T130" i="3"/>
  <c r="S130" i="3"/>
  <c r="P130" i="3"/>
  <c r="X129" i="3"/>
  <c r="AH129" i="3"/>
  <c r="BA127" i="3"/>
  <c r="AU128" i="3"/>
  <c r="AX128" i="3"/>
  <c r="AO129" i="3"/>
  <c r="BN130" i="3" l="1"/>
  <c r="BD126" i="3"/>
  <c r="BC127" i="3"/>
  <c r="BD127" i="3" s="1"/>
  <c r="BM130" i="3"/>
  <c r="AY128" i="3"/>
  <c r="AV128" i="3"/>
  <c r="AN130" i="3"/>
  <c r="X130" i="3"/>
  <c r="AH130" i="3"/>
  <c r="AQ131" i="3"/>
  <c r="B131" i="3"/>
  <c r="A132" i="3"/>
  <c r="AR131" i="3"/>
  <c r="C131" i="3"/>
  <c r="AK131" i="3"/>
  <c r="AM131" i="3"/>
  <c r="S131" i="3"/>
  <c r="T131" i="3"/>
  <c r="Q131" i="3"/>
  <c r="R131" i="3"/>
  <c r="P131" i="3"/>
  <c r="AD131" i="3"/>
  <c r="AF131" i="3"/>
  <c r="AE131" i="3"/>
  <c r="V131" i="3"/>
  <c r="U131" i="3"/>
  <c r="O131" i="3"/>
  <c r="M131" i="3"/>
  <c r="D131" i="3"/>
  <c r="F131" i="3"/>
  <c r="G131" i="3"/>
  <c r="H131" i="3" s="1"/>
  <c r="BA128" i="3"/>
  <c r="AX129" i="3"/>
  <c r="AU129" i="3"/>
  <c r="AW129" i="3"/>
  <c r="AT129" i="3"/>
  <c r="Y130" i="3"/>
  <c r="Z130" i="3" s="1"/>
  <c r="AG130" i="3"/>
  <c r="AO130" i="3"/>
  <c r="BQ127" i="3"/>
  <c r="BB127" i="3"/>
  <c r="BF127" i="3"/>
  <c r="BJ126" i="3" s="1"/>
  <c r="BK126" i="3" s="1"/>
  <c r="BM131" i="3" l="1"/>
  <c r="BN131" i="3"/>
  <c r="BG127" i="3"/>
  <c r="BH127" i="3" s="1"/>
  <c r="BI127" i="3" s="1"/>
  <c r="AU130" i="3"/>
  <c r="AG131" i="3"/>
  <c r="BC128" i="3"/>
  <c r="BD128" i="3" s="1"/>
  <c r="AO131" i="3"/>
  <c r="AY129" i="3"/>
  <c r="AT130" i="3"/>
  <c r="AX130" i="3"/>
  <c r="AW130" i="3"/>
  <c r="AN131" i="3"/>
  <c r="Y131" i="3"/>
  <c r="Z131" i="3" s="1"/>
  <c r="BA129" i="3"/>
  <c r="AV129" i="3"/>
  <c r="BQ128" i="3"/>
  <c r="BF128" i="3"/>
  <c r="BJ127" i="3" s="1"/>
  <c r="BB128" i="3"/>
  <c r="A133" i="3"/>
  <c r="B132" i="3"/>
  <c r="AR132" i="3"/>
  <c r="AQ132" i="3"/>
  <c r="C132" i="3"/>
  <c r="D132" i="3"/>
  <c r="AM132" i="3"/>
  <c r="AK132" i="3"/>
  <c r="T132" i="3"/>
  <c r="AD132" i="3"/>
  <c r="R132" i="3"/>
  <c r="Q132" i="3"/>
  <c r="O132" i="3"/>
  <c r="P132" i="3"/>
  <c r="M132" i="3"/>
  <c r="AE132" i="3"/>
  <c r="U132" i="3"/>
  <c r="V132" i="3"/>
  <c r="AF132" i="3"/>
  <c r="G132" i="3"/>
  <c r="H132" i="3" s="1"/>
  <c r="F132" i="3"/>
  <c r="S132" i="3"/>
  <c r="AH131" i="3"/>
  <c r="X131" i="3"/>
  <c r="BM132" i="3" l="1"/>
  <c r="BK127" i="3"/>
  <c r="BN132" i="3"/>
  <c r="AV130" i="3"/>
  <c r="BC129" i="3"/>
  <c r="BG129" i="3" s="1"/>
  <c r="BH129" i="3" s="1"/>
  <c r="BI129" i="3" s="1"/>
  <c r="BG128" i="3"/>
  <c r="BH128" i="3" s="1"/>
  <c r="BI128" i="3" s="1"/>
  <c r="AX131" i="3"/>
  <c r="AG132" i="3"/>
  <c r="BA130" i="3"/>
  <c r="BB130" i="3" s="1"/>
  <c r="AY130" i="3"/>
  <c r="AO132" i="3"/>
  <c r="AU131" i="3"/>
  <c r="AW131" i="3"/>
  <c r="X132" i="3"/>
  <c r="AR133" i="3"/>
  <c r="B133" i="3"/>
  <c r="AQ133" i="3"/>
  <c r="A134" i="3"/>
  <c r="C133" i="3"/>
  <c r="R133" i="3"/>
  <c r="Q133" i="3"/>
  <c r="AK133" i="3"/>
  <c r="AM133" i="3"/>
  <c r="AD133" i="3"/>
  <c r="P133" i="3"/>
  <c r="AE133" i="3"/>
  <c r="O133" i="3"/>
  <c r="V133" i="3"/>
  <c r="U133" i="3"/>
  <c r="M133" i="3"/>
  <c r="AF133" i="3"/>
  <c r="F133" i="3"/>
  <c r="D133" i="3"/>
  <c r="G133" i="3"/>
  <c r="H133" i="3" s="1"/>
  <c r="S133" i="3"/>
  <c r="T133" i="3"/>
  <c r="AN132" i="3"/>
  <c r="AT131" i="3"/>
  <c r="Y132" i="3"/>
  <c r="Z132" i="3" s="1"/>
  <c r="BQ129" i="3"/>
  <c r="BB129" i="3"/>
  <c r="BF129" i="3"/>
  <c r="BJ128" i="3" s="1"/>
  <c r="AH132" i="3"/>
  <c r="BD129" i="3" l="1"/>
  <c r="BK128" i="3"/>
  <c r="BC130" i="3"/>
  <c r="BD130" i="3" s="1"/>
  <c r="AY131" i="3"/>
  <c r="AN133" i="3"/>
  <c r="BM133" i="3"/>
  <c r="AX132" i="3"/>
  <c r="BN133" i="3"/>
  <c r="BQ130" i="3"/>
  <c r="BF130" i="3"/>
  <c r="BJ129" i="3" s="1"/>
  <c r="BK129" i="3" s="1"/>
  <c r="AU132" i="3"/>
  <c r="AW132" i="3"/>
  <c r="AT132" i="3"/>
  <c r="BA131" i="3"/>
  <c r="AV131" i="3"/>
  <c r="Y133" i="3"/>
  <c r="Z133" i="3" s="1"/>
  <c r="X133" i="3"/>
  <c r="AR134" i="3"/>
  <c r="B134" i="3"/>
  <c r="AQ134" i="3"/>
  <c r="A135" i="3"/>
  <c r="AM134" i="3"/>
  <c r="S134" i="3"/>
  <c r="T134" i="3"/>
  <c r="AK134" i="3"/>
  <c r="R134" i="3"/>
  <c r="AD134" i="3"/>
  <c r="P134" i="3"/>
  <c r="O134" i="3"/>
  <c r="AE134" i="3"/>
  <c r="AF134" i="3"/>
  <c r="V134" i="3"/>
  <c r="M134" i="3"/>
  <c r="U134" i="3"/>
  <c r="C134" i="3"/>
  <c r="D134" i="3"/>
  <c r="Q134" i="3"/>
  <c r="F134" i="3"/>
  <c r="G134" i="3"/>
  <c r="H134" i="3" s="1"/>
  <c r="AG133" i="3"/>
  <c r="AH133" i="3"/>
  <c r="AO133" i="3"/>
  <c r="BG130" i="3" l="1"/>
  <c r="BH130" i="3" s="1"/>
  <c r="BI130" i="3" s="1"/>
  <c r="AV132" i="3"/>
  <c r="BC131" i="3"/>
  <c r="BD131" i="3" s="1"/>
  <c r="BM134" i="3"/>
  <c r="AY132" i="3"/>
  <c r="AN134" i="3"/>
  <c r="BA132" i="3"/>
  <c r="BB132" i="3" s="1"/>
  <c r="AX133" i="3"/>
  <c r="AG134" i="3"/>
  <c r="Y134" i="3"/>
  <c r="Z134" i="3" s="1"/>
  <c r="BN134" i="3"/>
  <c r="AQ135" i="3"/>
  <c r="B135" i="3"/>
  <c r="A136" i="3"/>
  <c r="AR135" i="3"/>
  <c r="C135" i="3"/>
  <c r="AK135" i="3"/>
  <c r="AM135" i="3"/>
  <c r="S135" i="3"/>
  <c r="Q135" i="3"/>
  <c r="R135" i="3"/>
  <c r="AD135" i="3"/>
  <c r="P135" i="3"/>
  <c r="O135" i="3"/>
  <c r="M135" i="3"/>
  <c r="AF135" i="3"/>
  <c r="AE135" i="3"/>
  <c r="V135" i="3"/>
  <c r="U135" i="3"/>
  <c r="D135" i="3"/>
  <c r="G135" i="3"/>
  <c r="H135" i="3" s="1"/>
  <c r="F135" i="3"/>
  <c r="BM135" i="3" s="1"/>
  <c r="T135" i="3"/>
  <c r="BQ131" i="3"/>
  <c r="BB131" i="3"/>
  <c r="BF131" i="3"/>
  <c r="BJ130" i="3" s="1"/>
  <c r="AW133" i="3"/>
  <c r="X134" i="3"/>
  <c r="AH134" i="3"/>
  <c r="AO134" i="3"/>
  <c r="AT133" i="3"/>
  <c r="AU133" i="3"/>
  <c r="BK130" i="3" l="1"/>
  <c r="AU134" i="3"/>
  <c r="BC132" i="3"/>
  <c r="BD132" i="3" s="1"/>
  <c r="BG131" i="3"/>
  <c r="BH131" i="3" s="1"/>
  <c r="BI131" i="3" s="1"/>
  <c r="AX134" i="3"/>
  <c r="BN135" i="3"/>
  <c r="AO135" i="3"/>
  <c r="BQ132" i="3"/>
  <c r="BF132" i="3"/>
  <c r="BJ131" i="3" s="1"/>
  <c r="AY133" i="3"/>
  <c r="Y135" i="3"/>
  <c r="Z135" i="3" s="1"/>
  <c r="AG135" i="3"/>
  <c r="AN135" i="3"/>
  <c r="BA133" i="3"/>
  <c r="BF133" i="3" s="1"/>
  <c r="AV133" i="3"/>
  <c r="AT134" i="3"/>
  <c r="AW134" i="3"/>
  <c r="A137" i="3"/>
  <c r="B136" i="3"/>
  <c r="AR136" i="3"/>
  <c r="AQ136" i="3"/>
  <c r="D136" i="3"/>
  <c r="AK136" i="3"/>
  <c r="R136" i="3"/>
  <c r="AM136" i="3"/>
  <c r="S136" i="3"/>
  <c r="Q136" i="3"/>
  <c r="AD136" i="3"/>
  <c r="P136" i="3"/>
  <c r="AE136" i="3"/>
  <c r="AF136" i="3"/>
  <c r="M136" i="3"/>
  <c r="O136" i="3"/>
  <c r="U136" i="3"/>
  <c r="V136" i="3"/>
  <c r="C136" i="3"/>
  <c r="F136" i="3"/>
  <c r="G136" i="3"/>
  <c r="H136" i="3" s="1"/>
  <c r="T136" i="3"/>
  <c r="AH135" i="3"/>
  <c r="X135" i="3"/>
  <c r="BN136" i="3" l="1"/>
  <c r="BK131" i="3"/>
  <c r="AV134" i="3"/>
  <c r="BG132" i="3"/>
  <c r="BH132" i="3" s="1"/>
  <c r="BI132" i="3" s="1"/>
  <c r="AY134" i="3"/>
  <c r="AN136" i="3"/>
  <c r="BJ132" i="3"/>
  <c r="AX135" i="3"/>
  <c r="BC133" i="3"/>
  <c r="BD133" i="3" s="1"/>
  <c r="AT135" i="3"/>
  <c r="BA134" i="3"/>
  <c r="BQ134" i="3" s="1"/>
  <c r="AG136" i="3"/>
  <c r="BB133" i="3"/>
  <c r="BQ133" i="3"/>
  <c r="AU135" i="3"/>
  <c r="AW135" i="3"/>
  <c r="X136" i="3"/>
  <c r="AH136" i="3"/>
  <c r="Y136" i="3"/>
  <c r="Z136" i="3" s="1"/>
  <c r="BM136" i="3"/>
  <c r="AO136" i="3"/>
  <c r="AR137" i="3"/>
  <c r="B137" i="3"/>
  <c r="AQ137" i="3"/>
  <c r="A138" i="3"/>
  <c r="D137" i="3"/>
  <c r="AK137" i="3"/>
  <c r="S137" i="3"/>
  <c r="C137" i="3"/>
  <c r="AM137" i="3"/>
  <c r="R137" i="3"/>
  <c r="Q137" i="3"/>
  <c r="AD137" i="3"/>
  <c r="P137" i="3"/>
  <c r="O137" i="3"/>
  <c r="AF137" i="3"/>
  <c r="V137" i="3"/>
  <c r="AE137" i="3"/>
  <c r="M137" i="3"/>
  <c r="U137" i="3"/>
  <c r="F137" i="3"/>
  <c r="G137" i="3"/>
  <c r="H137" i="3" s="1"/>
  <c r="BN137" i="3" s="1"/>
  <c r="T137" i="3"/>
  <c r="BM137" i="3" l="1"/>
  <c r="BK132" i="3"/>
  <c r="BC134" i="3"/>
  <c r="BD134" i="3" s="1"/>
  <c r="AY135" i="3"/>
  <c r="BG133" i="3"/>
  <c r="BH133" i="3" s="1"/>
  <c r="BI133" i="3" s="1"/>
  <c r="AV135" i="3"/>
  <c r="AU136" i="3"/>
  <c r="AT136" i="3"/>
  <c r="BB134" i="3"/>
  <c r="BF134" i="3"/>
  <c r="BJ133" i="3" s="1"/>
  <c r="AW136" i="3"/>
  <c r="AO137" i="3"/>
  <c r="BA135" i="3"/>
  <c r="BB135" i="3" s="1"/>
  <c r="Y137" i="3"/>
  <c r="Z137" i="3" s="1"/>
  <c r="AG137" i="3"/>
  <c r="AH137" i="3"/>
  <c r="AN137" i="3"/>
  <c r="AX136" i="3"/>
  <c r="AR138" i="3"/>
  <c r="B138" i="3"/>
  <c r="AQ138" i="3"/>
  <c r="A139" i="3"/>
  <c r="AK138" i="3"/>
  <c r="R138" i="3"/>
  <c r="AM138" i="3"/>
  <c r="Q138" i="3"/>
  <c r="AD138" i="3"/>
  <c r="P138" i="3"/>
  <c r="AE138" i="3"/>
  <c r="U138" i="3"/>
  <c r="V138" i="3"/>
  <c r="O138" i="3"/>
  <c r="M138" i="3"/>
  <c r="AF138" i="3"/>
  <c r="F138" i="3"/>
  <c r="C138" i="3"/>
  <c r="D138" i="3"/>
  <c r="G138" i="3"/>
  <c r="H138" i="3" s="1"/>
  <c r="T138" i="3"/>
  <c r="S138" i="3"/>
  <c r="X137" i="3"/>
  <c r="BG134" i="3" l="1"/>
  <c r="BH134" i="3" s="1"/>
  <c r="BI134" i="3" s="1"/>
  <c r="BC135" i="3"/>
  <c r="BD135" i="3" s="1"/>
  <c r="BK133" i="3"/>
  <c r="AN138" i="3"/>
  <c r="AV136" i="3"/>
  <c r="BM138" i="3"/>
  <c r="BA136" i="3"/>
  <c r="BB136" i="3" s="1"/>
  <c r="BQ135" i="3"/>
  <c r="AG138" i="3"/>
  <c r="BF135" i="3"/>
  <c r="BJ134" i="3" s="1"/>
  <c r="AT137" i="3"/>
  <c r="AU137" i="3"/>
  <c r="Y138" i="3"/>
  <c r="Z138" i="3" s="1"/>
  <c r="AH138" i="3"/>
  <c r="AO138" i="3"/>
  <c r="AX137" i="3"/>
  <c r="AY136" i="3"/>
  <c r="AQ139" i="3"/>
  <c r="B139" i="3"/>
  <c r="A140" i="3"/>
  <c r="AR139" i="3"/>
  <c r="C139" i="3"/>
  <c r="R139" i="3"/>
  <c r="D139" i="3"/>
  <c r="AK139" i="3"/>
  <c r="AM139" i="3"/>
  <c r="S139" i="3"/>
  <c r="T139" i="3"/>
  <c r="AD139" i="3"/>
  <c r="O139" i="3"/>
  <c r="M139" i="3"/>
  <c r="AE139" i="3"/>
  <c r="AF139" i="3"/>
  <c r="V139" i="3"/>
  <c r="U139" i="3"/>
  <c r="Q139" i="3"/>
  <c r="F139" i="3"/>
  <c r="G139" i="3"/>
  <c r="H139" i="3" s="1"/>
  <c r="P139" i="3"/>
  <c r="X138" i="3"/>
  <c r="BN138" i="3"/>
  <c r="AW137" i="3"/>
  <c r="BK134" i="3" l="1"/>
  <c r="BG135" i="3"/>
  <c r="BH135" i="3" s="1"/>
  <c r="BI135" i="3" s="1"/>
  <c r="BN139" i="3"/>
  <c r="AY137" i="3"/>
  <c r="BC136" i="3"/>
  <c r="BG136" i="3" s="1"/>
  <c r="BH136" i="3" s="1"/>
  <c r="BI136" i="3" s="1"/>
  <c r="BF136" i="3"/>
  <c r="BJ135" i="3" s="1"/>
  <c r="BK135" i="3" s="1"/>
  <c r="BQ136" i="3"/>
  <c r="BM139" i="3"/>
  <c r="AV137" i="3"/>
  <c r="AU138" i="3"/>
  <c r="AT138" i="3"/>
  <c r="AO139" i="3"/>
  <c r="AW138" i="3"/>
  <c r="Y139" i="3"/>
  <c r="Z139" i="3" s="1"/>
  <c r="A141" i="3"/>
  <c r="B140" i="3"/>
  <c r="AR140" i="3"/>
  <c r="AQ140" i="3"/>
  <c r="AM140" i="3"/>
  <c r="AK140" i="3"/>
  <c r="C140" i="3"/>
  <c r="R140" i="3"/>
  <c r="Q140" i="3"/>
  <c r="AD140" i="3"/>
  <c r="O140" i="3"/>
  <c r="M140" i="3"/>
  <c r="P140" i="3"/>
  <c r="AE140" i="3"/>
  <c r="AF140" i="3"/>
  <c r="V140" i="3"/>
  <c r="U140" i="3"/>
  <c r="D140" i="3"/>
  <c r="F140" i="3"/>
  <c r="G140" i="3"/>
  <c r="H140" i="3" s="1"/>
  <c r="S140" i="3"/>
  <c r="T140" i="3"/>
  <c r="AH139" i="3"/>
  <c r="AG139" i="3"/>
  <c r="AN139" i="3"/>
  <c r="X139" i="3"/>
  <c r="AX138" i="3"/>
  <c r="BA137" i="3"/>
  <c r="BM140" i="3" l="1"/>
  <c r="BN140" i="3"/>
  <c r="BD136" i="3"/>
  <c r="BC137" i="3"/>
  <c r="BD137" i="3" s="1"/>
  <c r="AV138" i="3"/>
  <c r="AT139" i="3"/>
  <c r="AY138" i="3"/>
  <c r="AN140" i="3"/>
  <c r="BF137" i="3"/>
  <c r="BQ137" i="3"/>
  <c r="BB137" i="3"/>
  <c r="AU139" i="3"/>
  <c r="AW139" i="3"/>
  <c r="AX139" i="3"/>
  <c r="X140" i="3"/>
  <c r="BA138" i="3"/>
  <c r="Y140" i="3"/>
  <c r="Z140" i="3" s="1"/>
  <c r="AG140" i="3"/>
  <c r="AH140" i="3"/>
  <c r="AO140" i="3"/>
  <c r="AR141" i="3"/>
  <c r="B141" i="3"/>
  <c r="AQ141" i="3"/>
  <c r="A142" i="3"/>
  <c r="D141" i="3"/>
  <c r="AK141" i="3"/>
  <c r="C141" i="3"/>
  <c r="AM141" i="3"/>
  <c r="T141" i="3"/>
  <c r="R141" i="3"/>
  <c r="P141" i="3"/>
  <c r="Q141" i="3"/>
  <c r="AD141" i="3"/>
  <c r="O141" i="3"/>
  <c r="M141" i="3"/>
  <c r="AF141" i="3"/>
  <c r="AE141" i="3"/>
  <c r="V141" i="3"/>
  <c r="U141" i="3"/>
  <c r="F141" i="3"/>
  <c r="G141" i="3"/>
  <c r="H141" i="3" s="1"/>
  <c r="S141" i="3"/>
  <c r="BN141" i="3" l="1"/>
  <c r="BG137" i="3"/>
  <c r="BH137" i="3" s="1"/>
  <c r="BI137" i="3" s="1"/>
  <c r="BC138" i="3"/>
  <c r="BG138" i="3" s="1"/>
  <c r="BH138" i="3" s="1"/>
  <c r="BI138" i="3" s="1"/>
  <c r="AV139" i="3"/>
  <c r="BM141" i="3"/>
  <c r="AN141" i="3"/>
  <c r="AO141" i="3"/>
  <c r="AX140" i="3"/>
  <c r="AR142" i="3"/>
  <c r="B142" i="3"/>
  <c r="AQ142" i="3"/>
  <c r="A143" i="3"/>
  <c r="AM142" i="3"/>
  <c r="AK142" i="3"/>
  <c r="T142" i="3"/>
  <c r="R142" i="3"/>
  <c r="Q142" i="3"/>
  <c r="AD142" i="3"/>
  <c r="P142" i="3"/>
  <c r="O142" i="3"/>
  <c r="AE142" i="3"/>
  <c r="M142" i="3"/>
  <c r="V142" i="3"/>
  <c r="AF142" i="3"/>
  <c r="U142" i="3"/>
  <c r="C142" i="3"/>
  <c r="D142" i="3"/>
  <c r="G142" i="3"/>
  <c r="H142" i="3" s="1"/>
  <c r="F142" i="3"/>
  <c r="S142" i="3"/>
  <c r="Y141" i="3"/>
  <c r="Z141" i="3" s="1"/>
  <c r="BJ136" i="3"/>
  <c r="BK136" i="3" s="1"/>
  <c r="AU140" i="3"/>
  <c r="AT140" i="3"/>
  <c r="AG141" i="3"/>
  <c r="AH141" i="3"/>
  <c r="AW140" i="3"/>
  <c r="AY139" i="3"/>
  <c r="BA139" i="3"/>
  <c r="BF138" i="3"/>
  <c r="BJ137" i="3" s="1"/>
  <c r="BQ138" i="3"/>
  <c r="BB138" i="3"/>
  <c r="X141" i="3"/>
  <c r="BK137" i="3" l="1"/>
  <c r="BD138" i="3"/>
  <c r="BC139" i="3"/>
  <c r="BG139" i="3" s="1"/>
  <c r="BH139" i="3" s="1"/>
  <c r="BI139" i="3" s="1"/>
  <c r="BM142" i="3"/>
  <c r="AW141" i="3"/>
  <c r="AG142" i="3"/>
  <c r="AY140" i="3"/>
  <c r="AN142" i="3"/>
  <c r="BB139" i="3"/>
  <c r="BF139" i="3"/>
  <c r="BJ138" i="3" s="1"/>
  <c r="BK138" i="3" s="1"/>
  <c r="BQ139" i="3"/>
  <c r="AV140" i="3"/>
  <c r="BA140" i="3"/>
  <c r="AQ143" i="3"/>
  <c r="B143" i="3"/>
  <c r="A144" i="3"/>
  <c r="AR143" i="3"/>
  <c r="D143" i="3"/>
  <c r="AK143" i="3"/>
  <c r="AM143" i="3"/>
  <c r="T143" i="3"/>
  <c r="C143" i="3"/>
  <c r="R143" i="3"/>
  <c r="Q143" i="3"/>
  <c r="S143" i="3"/>
  <c r="AD143" i="3"/>
  <c r="P143" i="3"/>
  <c r="O143" i="3"/>
  <c r="M143" i="3"/>
  <c r="AE143" i="3"/>
  <c r="AF143" i="3"/>
  <c r="V143" i="3"/>
  <c r="U143" i="3"/>
  <c r="F143" i="3"/>
  <c r="G143" i="3"/>
  <c r="H143" i="3" s="1"/>
  <c r="AU141" i="3"/>
  <c r="AT141" i="3"/>
  <c r="AX141" i="3"/>
  <c r="X142" i="3"/>
  <c r="BN142" i="3"/>
  <c r="AH142" i="3"/>
  <c r="AO142" i="3"/>
  <c r="Y142" i="3"/>
  <c r="Z142" i="3" s="1"/>
  <c r="BM143" i="3" l="1"/>
  <c r="BD139" i="3"/>
  <c r="AN143" i="3"/>
  <c r="AG143" i="3"/>
  <c r="AY141" i="3"/>
  <c r="BC140" i="3"/>
  <c r="BD140" i="3" s="1"/>
  <c r="AT142" i="3"/>
  <c r="AX142" i="3"/>
  <c r="Y143" i="3"/>
  <c r="Z143" i="3" s="1"/>
  <c r="A145" i="3"/>
  <c r="B144" i="3"/>
  <c r="AR144" i="3"/>
  <c r="AQ144" i="3"/>
  <c r="C144" i="3"/>
  <c r="T144" i="3"/>
  <c r="AK144" i="3"/>
  <c r="AM144" i="3"/>
  <c r="R144" i="3"/>
  <c r="P144" i="3"/>
  <c r="AD144" i="3"/>
  <c r="AF144" i="3"/>
  <c r="O144" i="3"/>
  <c r="M144" i="3"/>
  <c r="AE144" i="3"/>
  <c r="U144" i="3"/>
  <c r="V144" i="3"/>
  <c r="G144" i="3"/>
  <c r="H144" i="3" s="1"/>
  <c r="F144" i="3"/>
  <c r="Q144" i="3"/>
  <c r="D144" i="3"/>
  <c r="S144" i="3"/>
  <c r="BQ140" i="3"/>
  <c r="BF140" i="3"/>
  <c r="BJ139" i="3" s="1"/>
  <c r="BK139" i="3" s="1"/>
  <c r="BB140" i="3"/>
  <c r="AU142" i="3"/>
  <c r="AW142" i="3"/>
  <c r="BN143" i="3"/>
  <c r="AH143" i="3"/>
  <c r="AO143" i="3"/>
  <c r="BA141" i="3"/>
  <c r="AV141" i="3"/>
  <c r="X143" i="3"/>
  <c r="BC141" i="3" l="1"/>
  <c r="BD141" i="3" s="1"/>
  <c r="BG140" i="3"/>
  <c r="BH140" i="3" s="1"/>
  <c r="BI140" i="3" s="1"/>
  <c r="BM144" i="3"/>
  <c r="AT143" i="3"/>
  <c r="AY142" i="3"/>
  <c r="AN144" i="3"/>
  <c r="AG144" i="3"/>
  <c r="AX143" i="3"/>
  <c r="AO144" i="3"/>
  <c r="AU143" i="3"/>
  <c r="AW143" i="3"/>
  <c r="BA142" i="3"/>
  <c r="BB142" i="3" s="1"/>
  <c r="Y144" i="3"/>
  <c r="Z144" i="3" s="1"/>
  <c r="AR145" i="3"/>
  <c r="B145" i="3"/>
  <c r="AQ145" i="3"/>
  <c r="A146" i="3"/>
  <c r="D145" i="3"/>
  <c r="Q145" i="3"/>
  <c r="R145" i="3"/>
  <c r="C145" i="3"/>
  <c r="AK145" i="3"/>
  <c r="AM145" i="3"/>
  <c r="S145" i="3"/>
  <c r="AD145" i="3"/>
  <c r="O145" i="3"/>
  <c r="P145" i="3"/>
  <c r="M145" i="3"/>
  <c r="AF145" i="3"/>
  <c r="AE145" i="3"/>
  <c r="V145" i="3"/>
  <c r="U145" i="3"/>
  <c r="G145" i="3"/>
  <c r="H145" i="3" s="1"/>
  <c r="F145" i="3"/>
  <c r="T145" i="3"/>
  <c r="AH144" i="3"/>
  <c r="AV142" i="3"/>
  <c r="BF141" i="3"/>
  <c r="BJ140" i="3" s="1"/>
  <c r="BK140" i="3" s="1"/>
  <c r="BB141" i="3"/>
  <c r="BQ141" i="3"/>
  <c r="X144" i="3"/>
  <c r="BN144" i="3"/>
  <c r="BG141" i="3" l="1"/>
  <c r="BH141" i="3" s="1"/>
  <c r="BI141" i="3" s="1"/>
  <c r="BC142" i="3"/>
  <c r="BG142" i="3" s="1"/>
  <c r="BH142" i="3" s="1"/>
  <c r="BI142" i="3" s="1"/>
  <c r="AV143" i="3"/>
  <c r="BM145" i="3"/>
  <c r="AX144" i="3"/>
  <c r="AG145" i="3"/>
  <c r="BA143" i="3"/>
  <c r="BQ143" i="3" s="1"/>
  <c r="AO145" i="3"/>
  <c r="BQ142" i="3"/>
  <c r="AY143" i="3"/>
  <c r="BF142" i="3"/>
  <c r="BJ141" i="3" s="1"/>
  <c r="BK141" i="3" s="1"/>
  <c r="AR146" i="3"/>
  <c r="B146" i="3"/>
  <c r="AQ146" i="3"/>
  <c r="A147" i="3"/>
  <c r="AM146" i="3"/>
  <c r="AK146" i="3"/>
  <c r="T146" i="3"/>
  <c r="AD146" i="3"/>
  <c r="Q146" i="3"/>
  <c r="P146" i="3"/>
  <c r="AE146" i="3"/>
  <c r="AF146" i="3"/>
  <c r="O146" i="3"/>
  <c r="M146" i="3"/>
  <c r="U146" i="3"/>
  <c r="V146" i="3"/>
  <c r="R146" i="3"/>
  <c r="C146" i="3"/>
  <c r="F146" i="3"/>
  <c r="D146" i="3"/>
  <c r="G146" i="3"/>
  <c r="H146" i="3" s="1"/>
  <c r="S146" i="3"/>
  <c r="AU144" i="3"/>
  <c r="AT144" i="3"/>
  <c r="AW144" i="3"/>
  <c r="Y145" i="3"/>
  <c r="Z145" i="3" s="1"/>
  <c r="BN145" i="3"/>
  <c r="AH145" i="3"/>
  <c r="AN145" i="3"/>
  <c r="X145" i="3"/>
  <c r="BD142" i="3" l="1"/>
  <c r="BC143" i="3"/>
  <c r="BD143" i="3" s="1"/>
  <c r="AY144" i="3"/>
  <c r="BN146" i="3"/>
  <c r="BM146" i="3"/>
  <c r="AT145" i="3"/>
  <c r="BB143" i="3"/>
  <c r="BF143" i="3"/>
  <c r="BJ142" i="3" s="1"/>
  <c r="BK142" i="3" s="1"/>
  <c r="AN146" i="3"/>
  <c r="AW145" i="3"/>
  <c r="AG146" i="3"/>
  <c r="AV144" i="3"/>
  <c r="BA144" i="3"/>
  <c r="Y146" i="3"/>
  <c r="Z146" i="3" s="1"/>
  <c r="AQ147" i="3"/>
  <c r="B147" i="3"/>
  <c r="A148" i="3"/>
  <c r="AR147" i="3"/>
  <c r="D147" i="3"/>
  <c r="AM147" i="3"/>
  <c r="AK147" i="3"/>
  <c r="C147" i="3"/>
  <c r="S147" i="3"/>
  <c r="R147" i="3"/>
  <c r="Q147" i="3"/>
  <c r="AD147" i="3"/>
  <c r="P147" i="3"/>
  <c r="O147" i="3"/>
  <c r="AE147" i="3"/>
  <c r="AF147" i="3"/>
  <c r="M147" i="3"/>
  <c r="V147" i="3"/>
  <c r="U147" i="3"/>
  <c r="G147" i="3"/>
  <c r="H147" i="3" s="1"/>
  <c r="F147" i="3"/>
  <c r="T147" i="3"/>
  <c r="AX145" i="3"/>
  <c r="AU145" i="3"/>
  <c r="X146" i="3"/>
  <c r="AH146" i="3"/>
  <c r="AO146" i="3"/>
  <c r="BG143" i="3" l="1"/>
  <c r="BH143" i="3" s="1"/>
  <c r="BI143" i="3" s="1"/>
  <c r="BC144" i="3"/>
  <c r="BG144" i="3" s="1"/>
  <c r="BH144" i="3" s="1"/>
  <c r="BI144" i="3" s="1"/>
  <c r="AY145" i="3"/>
  <c r="BN147" i="3"/>
  <c r="AU146" i="3"/>
  <c r="AT146" i="3"/>
  <c r="AN147" i="3"/>
  <c r="AH147" i="3"/>
  <c r="Y147" i="3"/>
  <c r="Z147" i="3" s="1"/>
  <c r="AW146" i="3"/>
  <c r="BA145" i="3"/>
  <c r="BQ145" i="3" s="1"/>
  <c r="A149" i="3"/>
  <c r="B148" i="3"/>
  <c r="AR148" i="3"/>
  <c r="AQ148" i="3"/>
  <c r="D148" i="3"/>
  <c r="AM148" i="3"/>
  <c r="S148" i="3"/>
  <c r="R148" i="3"/>
  <c r="AK148" i="3"/>
  <c r="Q148" i="3"/>
  <c r="AD148" i="3"/>
  <c r="P148" i="3"/>
  <c r="O148" i="3"/>
  <c r="AE148" i="3"/>
  <c r="M148" i="3"/>
  <c r="AF148" i="3"/>
  <c r="U148" i="3"/>
  <c r="V148" i="3"/>
  <c r="C148" i="3"/>
  <c r="F148" i="3"/>
  <c r="G148" i="3"/>
  <c r="H148" i="3" s="1"/>
  <c r="T148" i="3"/>
  <c r="AX146" i="3"/>
  <c r="AV145" i="3"/>
  <c r="BM147" i="3"/>
  <c r="AG147" i="3"/>
  <c r="AO147" i="3"/>
  <c r="BF144" i="3"/>
  <c r="BJ143" i="3" s="1"/>
  <c r="BQ144" i="3"/>
  <c r="BB144" i="3"/>
  <c r="X147" i="3"/>
  <c r="BN148" i="3" l="1"/>
  <c r="BK143" i="3"/>
  <c r="BD144" i="3"/>
  <c r="BC145" i="3"/>
  <c r="BD145" i="3" s="1"/>
  <c r="AU147" i="3"/>
  <c r="AV146" i="3"/>
  <c r="BM148" i="3"/>
  <c r="AT147" i="3"/>
  <c r="AX147" i="3"/>
  <c r="BA146" i="3"/>
  <c r="BQ146" i="3" s="1"/>
  <c r="AG148" i="3"/>
  <c r="AN148" i="3"/>
  <c r="BF145" i="3"/>
  <c r="BJ144" i="3" s="1"/>
  <c r="BK144" i="3" s="1"/>
  <c r="Y148" i="3"/>
  <c r="Z148" i="3" s="1"/>
  <c r="BB145" i="3"/>
  <c r="AY146" i="3"/>
  <c r="AR149" i="3"/>
  <c r="B149" i="3"/>
  <c r="AQ149" i="3"/>
  <c r="A150" i="3"/>
  <c r="AK149" i="3"/>
  <c r="T149" i="3"/>
  <c r="S149" i="3"/>
  <c r="AM149" i="3"/>
  <c r="R149" i="3"/>
  <c r="Q149" i="3"/>
  <c r="P149" i="3"/>
  <c r="AD149" i="3"/>
  <c r="O149" i="3"/>
  <c r="M149" i="3"/>
  <c r="AE149" i="3"/>
  <c r="AF149" i="3"/>
  <c r="U149" i="3"/>
  <c r="V149" i="3"/>
  <c r="D149" i="3"/>
  <c r="F149" i="3"/>
  <c r="C149" i="3"/>
  <c r="G149" i="3"/>
  <c r="H149" i="3" s="1"/>
  <c r="AH148" i="3"/>
  <c r="AW147" i="3"/>
  <c r="X148" i="3"/>
  <c r="AO148" i="3"/>
  <c r="BC146" i="3" l="1"/>
  <c r="BD146" i="3" s="1"/>
  <c r="BG145" i="3"/>
  <c r="BH145" i="3" s="1"/>
  <c r="BI145" i="3" s="1"/>
  <c r="AV147" i="3"/>
  <c r="BF146" i="3"/>
  <c r="BJ145" i="3" s="1"/>
  <c r="AY147" i="3"/>
  <c r="BB146" i="3"/>
  <c r="AW148" i="3"/>
  <c r="AX148" i="3"/>
  <c r="AO149" i="3"/>
  <c r="X149" i="3"/>
  <c r="Y149" i="3"/>
  <c r="Z149" i="3" s="1"/>
  <c r="AR150" i="3"/>
  <c r="B150" i="3"/>
  <c r="AQ150" i="3"/>
  <c r="A151" i="3"/>
  <c r="D150" i="3"/>
  <c r="C150" i="3"/>
  <c r="AM150" i="3"/>
  <c r="S150" i="3"/>
  <c r="Q150" i="3"/>
  <c r="AK150" i="3"/>
  <c r="R150" i="3"/>
  <c r="AD150" i="3"/>
  <c r="O150" i="3"/>
  <c r="P150" i="3"/>
  <c r="AE150" i="3"/>
  <c r="AF150" i="3"/>
  <c r="U150" i="3"/>
  <c r="M150" i="3"/>
  <c r="V150" i="3"/>
  <c r="G150" i="3"/>
  <c r="H150" i="3" s="1"/>
  <c r="F150" i="3"/>
  <c r="T150" i="3"/>
  <c r="AU148" i="3"/>
  <c r="AT148" i="3"/>
  <c r="BN149" i="3"/>
  <c r="BM149" i="3"/>
  <c r="AG149" i="3"/>
  <c r="AH149" i="3"/>
  <c r="AN149" i="3"/>
  <c r="BA147" i="3"/>
  <c r="BG146" i="3" l="1"/>
  <c r="BH146" i="3" s="1"/>
  <c r="BI146" i="3" s="1"/>
  <c r="AY148" i="3"/>
  <c r="BK145" i="3"/>
  <c r="BC147" i="3"/>
  <c r="BG147" i="3" s="1"/>
  <c r="BH147" i="3" s="1"/>
  <c r="BI147" i="3" s="1"/>
  <c r="BN150" i="3"/>
  <c r="AT149" i="3"/>
  <c r="AW149" i="3"/>
  <c r="AV148" i="3"/>
  <c r="BF147" i="3"/>
  <c r="BJ146" i="3" s="1"/>
  <c r="BK146" i="3" s="1"/>
  <c r="BB147" i="3"/>
  <c r="BQ147" i="3"/>
  <c r="AO150" i="3"/>
  <c r="AN150" i="3"/>
  <c r="AX149" i="3"/>
  <c r="BA148" i="3"/>
  <c r="BM150" i="3"/>
  <c r="AG150" i="3"/>
  <c r="AQ151" i="3"/>
  <c r="B151" i="3"/>
  <c r="A152" i="3"/>
  <c r="AR151" i="3"/>
  <c r="D151" i="3"/>
  <c r="AM151" i="3"/>
  <c r="AK151" i="3"/>
  <c r="Q151" i="3"/>
  <c r="T151" i="3"/>
  <c r="R151" i="3"/>
  <c r="AD151" i="3"/>
  <c r="P151" i="3"/>
  <c r="O151" i="3"/>
  <c r="AE151" i="3"/>
  <c r="AF151" i="3"/>
  <c r="M151" i="3"/>
  <c r="V151" i="3"/>
  <c r="U151" i="3"/>
  <c r="C151" i="3"/>
  <c r="G151" i="3"/>
  <c r="H151" i="3" s="1"/>
  <c r="F151" i="3"/>
  <c r="S151" i="3"/>
  <c r="AU149" i="3"/>
  <c r="Y150" i="3"/>
  <c r="Z150" i="3" s="1"/>
  <c r="AH150" i="3"/>
  <c r="X150" i="3"/>
  <c r="BC148" i="3" l="1"/>
  <c r="BG148" i="3" s="1"/>
  <c r="BH148" i="3" s="1"/>
  <c r="BI148" i="3" s="1"/>
  <c r="BD147" i="3"/>
  <c r="BM151" i="3"/>
  <c r="BN151" i="3"/>
  <c r="AX150" i="3"/>
  <c r="BA149" i="3"/>
  <c r="BQ149" i="3" s="1"/>
  <c r="AO151" i="3"/>
  <c r="AN151" i="3"/>
  <c r="AY149" i="3"/>
  <c r="AG151" i="3"/>
  <c r="X151" i="3"/>
  <c r="Y151" i="3"/>
  <c r="Z151" i="3" s="1"/>
  <c r="A153" i="3"/>
  <c r="B152" i="3"/>
  <c r="AR152" i="3"/>
  <c r="AQ152" i="3"/>
  <c r="C152" i="3"/>
  <c r="AK152" i="3"/>
  <c r="AM152" i="3"/>
  <c r="Q152" i="3"/>
  <c r="AD152" i="3"/>
  <c r="T152" i="3"/>
  <c r="R152" i="3"/>
  <c r="P152" i="3"/>
  <c r="M152" i="3"/>
  <c r="AE152" i="3"/>
  <c r="AF152" i="3"/>
  <c r="V152" i="3"/>
  <c r="U152" i="3"/>
  <c r="O152" i="3"/>
  <c r="D152" i="3"/>
  <c r="G152" i="3"/>
  <c r="H152" i="3" s="1"/>
  <c r="F152" i="3"/>
  <c r="BM152" i="3" s="1"/>
  <c r="S152" i="3"/>
  <c r="BF148" i="3"/>
  <c r="BJ147" i="3" s="1"/>
  <c r="BK147" i="3" s="1"/>
  <c r="BB148" i="3"/>
  <c r="BQ148" i="3"/>
  <c r="AV149" i="3"/>
  <c r="AH151" i="3"/>
  <c r="AU150" i="3"/>
  <c r="AW150" i="3"/>
  <c r="AT150" i="3"/>
  <c r="AY150" i="3" l="1"/>
  <c r="BD148" i="3"/>
  <c r="AV150" i="3"/>
  <c r="BN152" i="3"/>
  <c r="BC149" i="3"/>
  <c r="BD149" i="3" s="1"/>
  <c r="BB149" i="3"/>
  <c r="AG152" i="3"/>
  <c r="AX151" i="3"/>
  <c r="BF149" i="3"/>
  <c r="BJ148" i="3" s="1"/>
  <c r="BK148" i="3" s="1"/>
  <c r="AO152" i="3"/>
  <c r="X152" i="3"/>
  <c r="Y152" i="3"/>
  <c r="Z152" i="3" s="1"/>
  <c r="AR153" i="3"/>
  <c r="B153" i="3"/>
  <c r="AQ153" i="3"/>
  <c r="A154" i="3"/>
  <c r="D153" i="3"/>
  <c r="C153" i="3"/>
  <c r="S153" i="3"/>
  <c r="T153" i="3"/>
  <c r="AM153" i="3"/>
  <c r="AK153" i="3"/>
  <c r="Q153" i="3"/>
  <c r="P153" i="3"/>
  <c r="AD153" i="3"/>
  <c r="O153" i="3"/>
  <c r="M153" i="3"/>
  <c r="U153" i="3"/>
  <c r="AE153" i="3"/>
  <c r="AF153" i="3"/>
  <c r="V153" i="3"/>
  <c r="R153" i="3"/>
  <c r="F153" i="3"/>
  <c r="G153" i="3"/>
  <c r="H153" i="3" s="1"/>
  <c r="BA150" i="3"/>
  <c r="AW151" i="3"/>
  <c r="AU151" i="3"/>
  <c r="AH152" i="3"/>
  <c r="AN152" i="3"/>
  <c r="AT151" i="3"/>
  <c r="BC150" i="3" l="1"/>
  <c r="BG150" i="3" s="1"/>
  <c r="BH150" i="3" s="1"/>
  <c r="BI150" i="3" s="1"/>
  <c r="BM153" i="3"/>
  <c r="BN153" i="3"/>
  <c r="AU152" i="3"/>
  <c r="BG149" i="3"/>
  <c r="BH149" i="3" s="1"/>
  <c r="BI149" i="3" s="1"/>
  <c r="AY151" i="3"/>
  <c r="AO153" i="3"/>
  <c r="AH153" i="3"/>
  <c r="BQ150" i="3"/>
  <c r="BF150" i="3"/>
  <c r="BJ149" i="3" s="1"/>
  <c r="BB150" i="3"/>
  <c r="Y153" i="3"/>
  <c r="Z153" i="3" s="1"/>
  <c r="AX152" i="3"/>
  <c r="AG153" i="3"/>
  <c r="AN153" i="3"/>
  <c r="AT152" i="3"/>
  <c r="AV151" i="3"/>
  <c r="BA151" i="3"/>
  <c r="AR154" i="3"/>
  <c r="B154" i="3"/>
  <c r="AQ154" i="3"/>
  <c r="A155" i="3"/>
  <c r="D154" i="3"/>
  <c r="AK154" i="3"/>
  <c r="T154" i="3"/>
  <c r="AM154" i="3"/>
  <c r="S154" i="3"/>
  <c r="R154" i="3"/>
  <c r="Q154" i="3"/>
  <c r="P154" i="3"/>
  <c r="AD154" i="3"/>
  <c r="AE154" i="3"/>
  <c r="U154" i="3"/>
  <c r="O154" i="3"/>
  <c r="AF154" i="3"/>
  <c r="M154" i="3"/>
  <c r="V154" i="3"/>
  <c r="C154" i="3"/>
  <c r="F154" i="3"/>
  <c r="G154" i="3"/>
  <c r="H154" i="3" s="1"/>
  <c r="X153" i="3"/>
  <c r="AW152" i="3"/>
  <c r="BD150" i="3" l="1"/>
  <c r="AN154" i="3"/>
  <c r="AT153" i="3"/>
  <c r="BK149" i="3"/>
  <c r="BN154" i="3"/>
  <c r="BC151" i="3"/>
  <c r="BG151" i="3" s="1"/>
  <c r="BH151" i="3" s="1"/>
  <c r="BI151" i="3" s="1"/>
  <c r="BM154" i="3"/>
  <c r="AU153" i="3"/>
  <c r="AY152" i="3"/>
  <c r="AX153" i="3"/>
  <c r="AH154" i="3"/>
  <c r="AQ155" i="3"/>
  <c r="B155" i="3"/>
  <c r="A156" i="3"/>
  <c r="AR155" i="3"/>
  <c r="C155" i="3"/>
  <c r="AM155" i="3"/>
  <c r="AK155" i="3"/>
  <c r="Q155" i="3"/>
  <c r="AD155" i="3"/>
  <c r="P155" i="3"/>
  <c r="R155" i="3"/>
  <c r="O155" i="3"/>
  <c r="AE155" i="3"/>
  <c r="AF155" i="3"/>
  <c r="V155" i="3"/>
  <c r="U155" i="3"/>
  <c r="M155" i="3"/>
  <c r="G155" i="3"/>
  <c r="H155" i="3" s="1"/>
  <c r="F155" i="3"/>
  <c r="D155" i="3"/>
  <c r="T155" i="3"/>
  <c r="S155" i="3"/>
  <c r="BQ151" i="3"/>
  <c r="BB151" i="3"/>
  <c r="BF151" i="3"/>
  <c r="BJ150" i="3" s="1"/>
  <c r="BK150" i="3" s="1"/>
  <c r="BA152" i="3"/>
  <c r="AV152" i="3"/>
  <c r="X154" i="3"/>
  <c r="AG154" i="3"/>
  <c r="AO154" i="3"/>
  <c r="AW153" i="3"/>
  <c r="Y154" i="3"/>
  <c r="Z154" i="3" s="1"/>
  <c r="BM155" i="3" l="1"/>
  <c r="BD151" i="3"/>
  <c r="AV153" i="3"/>
  <c r="AY153" i="3"/>
  <c r="AT154" i="3"/>
  <c r="AU154" i="3"/>
  <c r="BC152" i="3"/>
  <c r="BG152" i="3" s="1"/>
  <c r="BH152" i="3" s="1"/>
  <c r="BI152" i="3" s="1"/>
  <c r="AX154" i="3"/>
  <c r="AN155" i="3"/>
  <c r="BA153" i="3"/>
  <c r="BB153" i="3" s="1"/>
  <c r="X155" i="3"/>
  <c r="A157" i="3"/>
  <c r="B156" i="3"/>
  <c r="AR156" i="3"/>
  <c r="AQ156" i="3"/>
  <c r="C156" i="3"/>
  <c r="AM156" i="3"/>
  <c r="AK156" i="3"/>
  <c r="S156" i="3"/>
  <c r="T156" i="3"/>
  <c r="AD156" i="3"/>
  <c r="Q156" i="3"/>
  <c r="P156" i="3"/>
  <c r="O156" i="3"/>
  <c r="AE156" i="3"/>
  <c r="V156" i="3"/>
  <c r="U156" i="3"/>
  <c r="M156" i="3"/>
  <c r="AF156" i="3"/>
  <c r="R156" i="3"/>
  <c r="F156" i="3"/>
  <c r="D156" i="3"/>
  <c r="G156" i="3"/>
  <c r="H156" i="3" s="1"/>
  <c r="AW154" i="3"/>
  <c r="Y155" i="3"/>
  <c r="Z155" i="3" s="1"/>
  <c r="AG155" i="3"/>
  <c r="AH155" i="3"/>
  <c r="AO155" i="3"/>
  <c r="BF152" i="3"/>
  <c r="BJ151" i="3" s="1"/>
  <c r="BK151" i="3" s="1"/>
  <c r="BB152" i="3"/>
  <c r="BQ152" i="3"/>
  <c r="BN155" i="3"/>
  <c r="AY154" i="3" l="1"/>
  <c r="BC153" i="3"/>
  <c r="BG153" i="3" s="1"/>
  <c r="BH153" i="3" s="1"/>
  <c r="BI153" i="3" s="1"/>
  <c r="AV154" i="3"/>
  <c r="BN156" i="3"/>
  <c r="BM156" i="3"/>
  <c r="AH156" i="3"/>
  <c r="BD152" i="3"/>
  <c r="AO156" i="3"/>
  <c r="BF153" i="3"/>
  <c r="BJ152" i="3" s="1"/>
  <c r="BK152" i="3" s="1"/>
  <c r="BQ153" i="3"/>
  <c r="AW155" i="3"/>
  <c r="AG156" i="3"/>
  <c r="AN156" i="3"/>
  <c r="Y156" i="3"/>
  <c r="Z156" i="3" s="1"/>
  <c r="AR157" i="3"/>
  <c r="B157" i="3"/>
  <c r="AQ157" i="3"/>
  <c r="A158" i="3"/>
  <c r="C157" i="3"/>
  <c r="AK157" i="3"/>
  <c r="AM157" i="3"/>
  <c r="R157" i="3"/>
  <c r="AD157" i="3"/>
  <c r="P157" i="3"/>
  <c r="O157" i="3"/>
  <c r="M157" i="3"/>
  <c r="AE157" i="3"/>
  <c r="V157" i="3"/>
  <c r="U157" i="3"/>
  <c r="AF157" i="3"/>
  <c r="Q157" i="3"/>
  <c r="D157" i="3"/>
  <c r="G157" i="3"/>
  <c r="H157" i="3" s="1"/>
  <c r="F157" i="3"/>
  <c r="S157" i="3"/>
  <c r="T157" i="3"/>
  <c r="AT155" i="3"/>
  <c r="AU155" i="3"/>
  <c r="AX155" i="3"/>
  <c r="X156" i="3"/>
  <c r="BA154" i="3"/>
  <c r="BD153" i="3" l="1"/>
  <c r="BC154" i="3"/>
  <c r="BD154" i="3" s="1"/>
  <c r="BM157" i="3"/>
  <c r="BN157" i="3"/>
  <c r="AW156" i="3"/>
  <c r="AT156" i="3"/>
  <c r="AG157" i="3"/>
  <c r="AU156" i="3"/>
  <c r="AN157" i="3"/>
  <c r="AX156" i="3"/>
  <c r="X157" i="3"/>
  <c r="AV155" i="3"/>
  <c r="BA155" i="3"/>
  <c r="AH157" i="3"/>
  <c r="AY155" i="3"/>
  <c r="BQ154" i="3"/>
  <c r="BF154" i="3"/>
  <c r="BJ153" i="3" s="1"/>
  <c r="BK153" i="3" s="1"/>
  <c r="BB154" i="3"/>
  <c r="AR158" i="3"/>
  <c r="B158" i="3"/>
  <c r="AQ158" i="3"/>
  <c r="A159" i="3"/>
  <c r="AM158" i="3"/>
  <c r="R158" i="3"/>
  <c r="AK158" i="3"/>
  <c r="S158" i="3"/>
  <c r="Q158" i="3"/>
  <c r="AD158" i="3"/>
  <c r="O158" i="3"/>
  <c r="P158" i="3"/>
  <c r="M158" i="3"/>
  <c r="AF158" i="3"/>
  <c r="AE158" i="3"/>
  <c r="V158" i="3"/>
  <c r="U158" i="3"/>
  <c r="C158" i="3"/>
  <c r="D158" i="3"/>
  <c r="G158" i="3"/>
  <c r="H158" i="3" s="1"/>
  <c r="F158" i="3"/>
  <c r="T158" i="3"/>
  <c r="Y157" i="3"/>
  <c r="Z157" i="3" s="1"/>
  <c r="AO157" i="3"/>
  <c r="BG154" i="3" l="1"/>
  <c r="BH154" i="3" s="1"/>
  <c r="BI154" i="3" s="1"/>
  <c r="AV156" i="3"/>
  <c r="AO158" i="3"/>
  <c r="BM158" i="3"/>
  <c r="AY156" i="3"/>
  <c r="AG158" i="3"/>
  <c r="AT157" i="3"/>
  <c r="BA156" i="3"/>
  <c r="BF156" i="3" s="1"/>
  <c r="AW157" i="3"/>
  <c r="AQ159" i="3"/>
  <c r="B159" i="3"/>
  <c r="A160" i="3"/>
  <c r="AR159" i="3"/>
  <c r="D159" i="3"/>
  <c r="C159" i="3"/>
  <c r="AK159" i="3"/>
  <c r="AM159" i="3"/>
  <c r="S159" i="3"/>
  <c r="Q159" i="3"/>
  <c r="AD159" i="3"/>
  <c r="M159" i="3"/>
  <c r="AE159" i="3"/>
  <c r="O159" i="3"/>
  <c r="AF159" i="3"/>
  <c r="U159" i="3"/>
  <c r="V159" i="3"/>
  <c r="P159" i="3"/>
  <c r="R159" i="3"/>
  <c r="G159" i="3"/>
  <c r="H159" i="3" s="1"/>
  <c r="F159" i="3"/>
  <c r="T159" i="3"/>
  <c r="AN158" i="3"/>
  <c r="Y158" i="3"/>
  <c r="Z158" i="3" s="1"/>
  <c r="BN158" i="3"/>
  <c r="X158" i="3"/>
  <c r="AH158" i="3"/>
  <c r="AU157" i="3"/>
  <c r="BC155" i="3"/>
  <c r="BB155" i="3"/>
  <c r="BQ155" i="3"/>
  <c r="BF155" i="3"/>
  <c r="BJ154" i="3" s="1"/>
  <c r="BK154" i="3" s="1"/>
  <c r="AX157" i="3"/>
  <c r="BC156" i="3" l="1"/>
  <c r="BD156" i="3" s="1"/>
  <c r="BB156" i="3"/>
  <c r="AU158" i="3"/>
  <c r="BQ156" i="3"/>
  <c r="BM159" i="3"/>
  <c r="AY157" i="3"/>
  <c r="AV157" i="3"/>
  <c r="AG159" i="3"/>
  <c r="AO159" i="3"/>
  <c r="AW158" i="3"/>
  <c r="BD155" i="3"/>
  <c r="BG155" i="3"/>
  <c r="BH155" i="3" s="1"/>
  <c r="BI155" i="3" s="1"/>
  <c r="AX158" i="3"/>
  <c r="AT158" i="3"/>
  <c r="BJ155" i="3"/>
  <c r="Y159" i="3"/>
  <c r="Z159" i="3" s="1"/>
  <c r="BN159" i="3"/>
  <c r="AN159" i="3"/>
  <c r="X159" i="3"/>
  <c r="BA157" i="3"/>
  <c r="A161" i="3"/>
  <c r="B160" i="3"/>
  <c r="AR160" i="3"/>
  <c r="AQ160" i="3"/>
  <c r="AM160" i="3"/>
  <c r="S160" i="3"/>
  <c r="C160" i="3"/>
  <c r="AK160" i="3"/>
  <c r="Q160" i="3"/>
  <c r="R160" i="3"/>
  <c r="AD160" i="3"/>
  <c r="P160" i="3"/>
  <c r="O160" i="3"/>
  <c r="M160" i="3"/>
  <c r="AE160" i="3"/>
  <c r="AF160" i="3"/>
  <c r="V160" i="3"/>
  <c r="U160" i="3"/>
  <c r="D160" i="3"/>
  <c r="G160" i="3"/>
  <c r="H160" i="3" s="1"/>
  <c r="F160" i="3"/>
  <c r="T160" i="3"/>
  <c r="AH159" i="3"/>
  <c r="BM160" i="3" l="1"/>
  <c r="BG156" i="3"/>
  <c r="BH156" i="3" s="1"/>
  <c r="BI156" i="3" s="1"/>
  <c r="BK155" i="3"/>
  <c r="AO160" i="3"/>
  <c r="BC157" i="3"/>
  <c r="BG157" i="3" s="1"/>
  <c r="BH157" i="3" s="1"/>
  <c r="BI157" i="3" s="1"/>
  <c r="BN160" i="3"/>
  <c r="AX159" i="3"/>
  <c r="AY158" i="3"/>
  <c r="AU159" i="3"/>
  <c r="Y160" i="3"/>
  <c r="Z160" i="3" s="1"/>
  <c r="AR161" i="3"/>
  <c r="B161" i="3"/>
  <c r="AQ161" i="3"/>
  <c r="A162" i="3"/>
  <c r="D161" i="3"/>
  <c r="S161" i="3"/>
  <c r="AM161" i="3"/>
  <c r="AK161" i="3"/>
  <c r="T161" i="3"/>
  <c r="Q161" i="3"/>
  <c r="R161" i="3"/>
  <c r="AD161" i="3"/>
  <c r="P161" i="3"/>
  <c r="V161" i="3"/>
  <c r="O161" i="3"/>
  <c r="AE161" i="3"/>
  <c r="M161" i="3"/>
  <c r="AF161" i="3"/>
  <c r="U161" i="3"/>
  <c r="C161" i="3"/>
  <c r="G161" i="3"/>
  <c r="H161" i="3" s="1"/>
  <c r="F161" i="3"/>
  <c r="AV158" i="3"/>
  <c r="BA158" i="3"/>
  <c r="AG160" i="3"/>
  <c r="AH160" i="3"/>
  <c r="X160" i="3"/>
  <c r="AN160" i="3"/>
  <c r="AT159" i="3"/>
  <c r="AW159" i="3"/>
  <c r="BF157" i="3"/>
  <c r="BJ156" i="3" s="1"/>
  <c r="BQ157" i="3"/>
  <c r="BB157" i="3"/>
  <c r="BN161" i="3" l="1"/>
  <c r="BK156" i="3"/>
  <c r="BM161" i="3"/>
  <c r="BD157" i="3"/>
  <c r="AY159" i="3"/>
  <c r="BC158" i="3"/>
  <c r="BD158" i="3" s="1"/>
  <c r="AN161" i="3"/>
  <c r="AT160" i="3"/>
  <c r="BB158" i="3"/>
  <c r="BF158" i="3"/>
  <c r="BJ157" i="3" s="1"/>
  <c r="BK157" i="3" s="1"/>
  <c r="BQ158" i="3"/>
  <c r="AR162" i="3"/>
  <c r="B162" i="3"/>
  <c r="AQ162" i="3"/>
  <c r="A163" i="3"/>
  <c r="C162" i="3"/>
  <c r="AK162" i="3"/>
  <c r="S162" i="3"/>
  <c r="R162" i="3"/>
  <c r="Q162" i="3"/>
  <c r="AM162" i="3"/>
  <c r="D162" i="3"/>
  <c r="AD162" i="3"/>
  <c r="O162" i="3"/>
  <c r="M162" i="3"/>
  <c r="AE162" i="3"/>
  <c r="V162" i="3"/>
  <c r="AF162" i="3"/>
  <c r="U162" i="3"/>
  <c r="G162" i="3"/>
  <c r="H162" i="3" s="1"/>
  <c r="BN162" i="3" s="1"/>
  <c r="F162" i="3"/>
  <c r="P162" i="3"/>
  <c r="T162" i="3"/>
  <c r="AU160" i="3"/>
  <c r="AW160" i="3"/>
  <c r="X161" i="3"/>
  <c r="AG161" i="3"/>
  <c r="AH161" i="3"/>
  <c r="AO161" i="3"/>
  <c r="BA159" i="3"/>
  <c r="AV159" i="3"/>
  <c r="Y161" i="3"/>
  <c r="Z161" i="3" s="1"/>
  <c r="AX160" i="3"/>
  <c r="AN162" i="3" l="1"/>
  <c r="BC159" i="3"/>
  <c r="BD159" i="3" s="1"/>
  <c r="AV160" i="3"/>
  <c r="BG158" i="3"/>
  <c r="BH158" i="3" s="1"/>
  <c r="BI158" i="3" s="1"/>
  <c r="AT161" i="3"/>
  <c r="AX161" i="3"/>
  <c r="AG162" i="3"/>
  <c r="Y162" i="3"/>
  <c r="Z162" i="3" s="1"/>
  <c r="AQ163" i="3"/>
  <c r="B163" i="3"/>
  <c r="A164" i="3"/>
  <c r="AR163" i="3"/>
  <c r="C163" i="3"/>
  <c r="AM163" i="3"/>
  <c r="T163" i="3"/>
  <c r="Q163" i="3"/>
  <c r="AK163" i="3"/>
  <c r="R163" i="3"/>
  <c r="P163" i="3"/>
  <c r="AD163" i="3"/>
  <c r="M163" i="3"/>
  <c r="AF163" i="3"/>
  <c r="V163" i="3"/>
  <c r="O163" i="3"/>
  <c r="AE163" i="3"/>
  <c r="U163" i="3"/>
  <c r="F163" i="3"/>
  <c r="D163" i="3"/>
  <c r="G163" i="3"/>
  <c r="H163" i="3" s="1"/>
  <c r="S163" i="3"/>
  <c r="X162" i="3"/>
  <c r="AU161" i="3"/>
  <c r="AW161" i="3"/>
  <c r="AY160" i="3"/>
  <c r="BM162" i="3"/>
  <c r="AH162" i="3"/>
  <c r="AO162" i="3"/>
  <c r="BA160" i="3"/>
  <c r="BQ159" i="3"/>
  <c r="BF159" i="3"/>
  <c r="BJ158" i="3" s="1"/>
  <c r="BK158" i="3" s="1"/>
  <c r="BB159" i="3"/>
  <c r="BM163" i="3" l="1"/>
  <c r="BG159" i="3"/>
  <c r="BH159" i="3" s="1"/>
  <c r="BI159" i="3" s="1"/>
  <c r="AT162" i="3"/>
  <c r="BC160" i="3"/>
  <c r="BG160" i="3" s="1"/>
  <c r="BH160" i="3" s="1"/>
  <c r="BI160" i="3" s="1"/>
  <c r="AV161" i="3"/>
  <c r="BN163" i="3"/>
  <c r="AG163" i="3"/>
  <c r="BA161" i="3"/>
  <c r="BF161" i="3" s="1"/>
  <c r="AY161" i="3"/>
  <c r="AO163" i="3"/>
  <c r="AX162" i="3"/>
  <c r="BQ160" i="3"/>
  <c r="BB160" i="3"/>
  <c r="BF160" i="3"/>
  <c r="BJ159" i="3" s="1"/>
  <c r="BK159" i="3" s="1"/>
  <c r="Y163" i="3"/>
  <c r="Z163" i="3" s="1"/>
  <c r="AU162" i="3"/>
  <c r="X163" i="3"/>
  <c r="AH163" i="3"/>
  <c r="AN163" i="3"/>
  <c r="A165" i="3"/>
  <c r="B164" i="3"/>
  <c r="AR164" i="3"/>
  <c r="AQ164" i="3"/>
  <c r="C164" i="3"/>
  <c r="AM164" i="3"/>
  <c r="T164" i="3"/>
  <c r="AK164" i="3"/>
  <c r="R164" i="3"/>
  <c r="Q164" i="3"/>
  <c r="AD164" i="3"/>
  <c r="P164" i="3"/>
  <c r="M164" i="3"/>
  <c r="U164" i="3"/>
  <c r="V164" i="3"/>
  <c r="O164" i="3"/>
  <c r="AF164" i="3"/>
  <c r="AE164" i="3"/>
  <c r="D164" i="3"/>
  <c r="G164" i="3"/>
  <c r="H164" i="3" s="1"/>
  <c r="F164" i="3"/>
  <c r="BM164" i="3" s="1"/>
  <c r="S164" i="3"/>
  <c r="AW162" i="3"/>
  <c r="BD160" i="3" l="1"/>
  <c r="AV162" i="3"/>
  <c r="BC161" i="3"/>
  <c r="BG161" i="3" s="1"/>
  <c r="BH161" i="3" s="1"/>
  <c r="BI161" i="3" s="1"/>
  <c r="AO164" i="3"/>
  <c r="AY162" i="3"/>
  <c r="BN164" i="3"/>
  <c r="AX163" i="3"/>
  <c r="BB161" i="3"/>
  <c r="AU163" i="3"/>
  <c r="AT163" i="3"/>
  <c r="AG164" i="3"/>
  <c r="BQ161" i="3"/>
  <c r="X164" i="3"/>
  <c r="Y164" i="3"/>
  <c r="Z164" i="3" s="1"/>
  <c r="AR165" i="3"/>
  <c r="B165" i="3"/>
  <c r="AQ165" i="3"/>
  <c r="A166" i="3"/>
  <c r="AM165" i="3"/>
  <c r="R165" i="3"/>
  <c r="C165" i="3"/>
  <c r="AK165" i="3"/>
  <c r="Q165" i="3"/>
  <c r="AD165" i="3"/>
  <c r="S165" i="3"/>
  <c r="P165" i="3"/>
  <c r="O165" i="3"/>
  <c r="AE165" i="3"/>
  <c r="U165" i="3"/>
  <c r="V165" i="3"/>
  <c r="M165" i="3"/>
  <c r="AF165" i="3"/>
  <c r="D165" i="3"/>
  <c r="G165" i="3"/>
  <c r="H165" i="3" s="1"/>
  <c r="F165" i="3"/>
  <c r="T165" i="3"/>
  <c r="AH164" i="3"/>
  <c r="BA162" i="3"/>
  <c r="AN164" i="3"/>
  <c r="AW163" i="3"/>
  <c r="BJ160" i="3"/>
  <c r="BK160" i="3" s="1"/>
  <c r="BD161" i="3" l="1"/>
  <c r="BM165" i="3"/>
  <c r="BC162" i="3"/>
  <c r="BG162" i="3" s="1"/>
  <c r="BH162" i="3" s="1"/>
  <c r="BI162" i="3" s="1"/>
  <c r="BN165" i="3"/>
  <c r="AT164" i="3"/>
  <c r="AY163" i="3"/>
  <c r="AV163" i="3"/>
  <c r="AW164" i="3"/>
  <c r="AU164" i="3"/>
  <c r="Y165" i="3"/>
  <c r="Z165" i="3" s="1"/>
  <c r="AO165" i="3"/>
  <c r="BQ162" i="3"/>
  <c r="BF162" i="3"/>
  <c r="BB162" i="3"/>
  <c r="BA163" i="3"/>
  <c r="AX164" i="3"/>
  <c r="X165" i="3"/>
  <c r="AN165" i="3"/>
  <c r="AR166" i="3"/>
  <c r="B166" i="3"/>
  <c r="AQ166" i="3"/>
  <c r="A167" i="3"/>
  <c r="C166" i="3"/>
  <c r="D166" i="3"/>
  <c r="AK166" i="3"/>
  <c r="Q166" i="3"/>
  <c r="AM166" i="3"/>
  <c r="AD166" i="3"/>
  <c r="T166" i="3"/>
  <c r="R166" i="3"/>
  <c r="P166" i="3"/>
  <c r="M166" i="3"/>
  <c r="AE166" i="3"/>
  <c r="V166" i="3"/>
  <c r="U166" i="3"/>
  <c r="O166" i="3"/>
  <c r="AF166" i="3"/>
  <c r="G166" i="3"/>
  <c r="H166" i="3" s="1"/>
  <c r="F166" i="3"/>
  <c r="BM166" i="3" s="1"/>
  <c r="S166" i="3"/>
  <c r="AG165" i="3"/>
  <c r="AH165" i="3"/>
  <c r="BN166" i="3" l="1"/>
  <c r="BD162" i="3"/>
  <c r="AV164" i="3"/>
  <c r="AN166" i="3"/>
  <c r="AY164" i="3"/>
  <c r="BC163" i="3"/>
  <c r="BG163" i="3" s="1"/>
  <c r="BH163" i="3" s="1"/>
  <c r="BI163" i="3" s="1"/>
  <c r="BA164" i="3"/>
  <c r="BQ164" i="3" s="1"/>
  <c r="AX165" i="3"/>
  <c r="Y166" i="3"/>
  <c r="Z166" i="3" s="1"/>
  <c r="AQ167" i="3"/>
  <c r="B167" i="3"/>
  <c r="A168" i="3"/>
  <c r="AR167" i="3"/>
  <c r="D167" i="3"/>
  <c r="AK167" i="3"/>
  <c r="AM167" i="3"/>
  <c r="R167" i="3"/>
  <c r="P167" i="3"/>
  <c r="Q167" i="3"/>
  <c r="AD167" i="3"/>
  <c r="U167" i="3"/>
  <c r="O167" i="3"/>
  <c r="M167" i="3"/>
  <c r="AF167" i="3"/>
  <c r="AE167" i="3"/>
  <c r="V167" i="3"/>
  <c r="C167" i="3"/>
  <c r="G167" i="3"/>
  <c r="H167" i="3" s="1"/>
  <c r="F167" i="3"/>
  <c r="T167" i="3"/>
  <c r="S167" i="3"/>
  <c r="BF163" i="3"/>
  <c r="BJ162" i="3" s="1"/>
  <c r="BK162" i="3" s="1"/>
  <c r="BQ163" i="3"/>
  <c r="BB163" i="3"/>
  <c r="BJ161" i="3"/>
  <c r="BK161" i="3" s="1"/>
  <c r="AW165" i="3"/>
  <c r="X166" i="3"/>
  <c r="AH166" i="3"/>
  <c r="AT165" i="3"/>
  <c r="AG166" i="3"/>
  <c r="AO166" i="3"/>
  <c r="AU165" i="3"/>
  <c r="BM167" i="3" l="1"/>
  <c r="BN167" i="3"/>
  <c r="BC164" i="3"/>
  <c r="BD164" i="3" s="1"/>
  <c r="BD163" i="3"/>
  <c r="AY165" i="3"/>
  <c r="BB164" i="3"/>
  <c r="BF164" i="3"/>
  <c r="BJ163" i="3" s="1"/>
  <c r="BK163" i="3" s="1"/>
  <c r="AU166" i="3"/>
  <c r="X167" i="3"/>
  <c r="AG167" i="3"/>
  <c r="AO167" i="3"/>
  <c r="AT166" i="3"/>
  <c r="AV165" i="3"/>
  <c r="BA165" i="3"/>
  <c r="A169" i="3"/>
  <c r="B168" i="3"/>
  <c r="AR168" i="3"/>
  <c r="AQ168" i="3"/>
  <c r="D168" i="3"/>
  <c r="C168" i="3"/>
  <c r="AK168" i="3"/>
  <c r="AM168" i="3"/>
  <c r="S168" i="3"/>
  <c r="R168" i="3"/>
  <c r="AD168" i="3"/>
  <c r="P168" i="3"/>
  <c r="Q168" i="3"/>
  <c r="AF168" i="3"/>
  <c r="AE168" i="3"/>
  <c r="M168" i="3"/>
  <c r="U168" i="3"/>
  <c r="O168" i="3"/>
  <c r="V168" i="3"/>
  <c r="F168" i="3"/>
  <c r="G168" i="3"/>
  <c r="H168" i="3" s="1"/>
  <c r="T168" i="3"/>
  <c r="AW166" i="3"/>
  <c r="AX166" i="3"/>
  <c r="Y167" i="3"/>
  <c r="Z167" i="3" s="1"/>
  <c r="AH167" i="3"/>
  <c r="AN167" i="3"/>
  <c r="BG164" i="3" l="1"/>
  <c r="BH164" i="3" s="1"/>
  <c r="BI164" i="3" s="1"/>
  <c r="BM168" i="3"/>
  <c r="BC165" i="3"/>
  <c r="BG165" i="3" s="1"/>
  <c r="BH165" i="3" s="1"/>
  <c r="BI165" i="3" s="1"/>
  <c r="AV166" i="3"/>
  <c r="AN168" i="3"/>
  <c r="BN168" i="3"/>
  <c r="AX167" i="3"/>
  <c r="Y168" i="3"/>
  <c r="Z168" i="3" s="1"/>
  <c r="BA166" i="3"/>
  <c r="AY166" i="3"/>
  <c r="AR169" i="3"/>
  <c r="B169" i="3"/>
  <c r="AQ169" i="3"/>
  <c r="A170" i="3"/>
  <c r="C169" i="3"/>
  <c r="AM169" i="3"/>
  <c r="AK169" i="3"/>
  <c r="R169" i="3"/>
  <c r="Q169" i="3"/>
  <c r="AD169" i="3"/>
  <c r="S169" i="3"/>
  <c r="P169" i="3"/>
  <c r="O169" i="3"/>
  <c r="V169" i="3"/>
  <c r="U169" i="3"/>
  <c r="M169" i="3"/>
  <c r="AE169" i="3"/>
  <c r="AF169" i="3"/>
  <c r="F169" i="3"/>
  <c r="D169" i="3"/>
  <c r="G169" i="3"/>
  <c r="H169" i="3" s="1"/>
  <c r="T169" i="3"/>
  <c r="AW167" i="3"/>
  <c r="AT167" i="3"/>
  <c r="AU167" i="3"/>
  <c r="AG168" i="3"/>
  <c r="AH168" i="3"/>
  <c r="AO168" i="3"/>
  <c r="BF165" i="3"/>
  <c r="BJ164" i="3" s="1"/>
  <c r="BK164" i="3" s="1"/>
  <c r="BB165" i="3"/>
  <c r="BQ165" i="3"/>
  <c r="X168" i="3"/>
  <c r="BM169" i="3" l="1"/>
  <c r="BD165" i="3"/>
  <c r="BC166" i="3"/>
  <c r="BG166" i="3" s="1"/>
  <c r="BH166" i="3" s="1"/>
  <c r="BI166" i="3" s="1"/>
  <c r="BN169" i="3"/>
  <c r="AY167" i="3"/>
  <c r="AU168" i="3"/>
  <c r="AN169" i="3"/>
  <c r="Y169" i="3"/>
  <c r="Z169" i="3" s="1"/>
  <c r="AT168" i="3"/>
  <c r="AX168" i="3"/>
  <c r="BQ166" i="3"/>
  <c r="BB166" i="3"/>
  <c r="BF166" i="3"/>
  <c r="BJ165" i="3" s="1"/>
  <c r="BK165" i="3" s="1"/>
  <c r="AG169" i="3"/>
  <c r="AO169" i="3"/>
  <c r="X169" i="3"/>
  <c r="AV167" i="3"/>
  <c r="BA167" i="3"/>
  <c r="AR170" i="3"/>
  <c r="B170" i="3"/>
  <c r="AQ170" i="3"/>
  <c r="A171" i="3"/>
  <c r="D170" i="3"/>
  <c r="R170" i="3"/>
  <c r="AM170" i="3"/>
  <c r="AK170" i="3"/>
  <c r="O170" i="3"/>
  <c r="Q170" i="3"/>
  <c r="AD170" i="3"/>
  <c r="P170" i="3"/>
  <c r="AE170" i="3"/>
  <c r="AF170" i="3"/>
  <c r="U170" i="3"/>
  <c r="V170" i="3"/>
  <c r="M170" i="3"/>
  <c r="C170" i="3"/>
  <c r="F170" i="3"/>
  <c r="G170" i="3"/>
  <c r="H170" i="3" s="1"/>
  <c r="T170" i="3"/>
  <c r="S170" i="3"/>
  <c r="AW168" i="3"/>
  <c r="AH169" i="3"/>
  <c r="BC167" i="3" l="1"/>
  <c r="BD167" i="3" s="1"/>
  <c r="BD166" i="3"/>
  <c r="AX169" i="3"/>
  <c r="BM170" i="3"/>
  <c r="BN170" i="3"/>
  <c r="AV168" i="3"/>
  <c r="AO170" i="3"/>
  <c r="X170" i="3"/>
  <c r="AY168" i="3"/>
  <c r="Y170" i="3"/>
  <c r="Z170" i="3" s="1"/>
  <c r="AG170" i="3"/>
  <c r="AH170" i="3"/>
  <c r="AN170" i="3"/>
  <c r="AU169" i="3"/>
  <c r="AQ171" i="3"/>
  <c r="B171" i="3"/>
  <c r="A172" i="3"/>
  <c r="AR171" i="3"/>
  <c r="S171" i="3"/>
  <c r="R171" i="3"/>
  <c r="AM171" i="3"/>
  <c r="AK171" i="3"/>
  <c r="Q171" i="3"/>
  <c r="AD171" i="3"/>
  <c r="O171" i="3"/>
  <c r="M171" i="3"/>
  <c r="AE171" i="3"/>
  <c r="AF171" i="3"/>
  <c r="U171" i="3"/>
  <c r="V171" i="3"/>
  <c r="C171" i="3"/>
  <c r="D171" i="3"/>
  <c r="F171" i="3"/>
  <c r="G171" i="3"/>
  <c r="H171" i="3" s="1"/>
  <c r="T171" i="3"/>
  <c r="P171" i="3"/>
  <c r="BF167" i="3"/>
  <c r="BJ166" i="3" s="1"/>
  <c r="BK166" i="3" s="1"/>
  <c r="BB167" i="3"/>
  <c r="BQ167" i="3"/>
  <c r="AT169" i="3"/>
  <c r="AW169" i="3"/>
  <c r="BA168" i="3"/>
  <c r="AY169" i="3" l="1"/>
  <c r="BG167" i="3"/>
  <c r="BH167" i="3" s="1"/>
  <c r="BI167" i="3" s="1"/>
  <c r="BN171" i="3"/>
  <c r="BM171" i="3"/>
  <c r="AT170" i="3"/>
  <c r="BC168" i="3"/>
  <c r="AG171" i="3"/>
  <c r="AN171" i="3"/>
  <c r="AX170" i="3"/>
  <c r="BF168" i="3"/>
  <c r="BJ167" i="3" s="1"/>
  <c r="BK167" i="3" s="1"/>
  <c r="BB168" i="3"/>
  <c r="BQ168" i="3"/>
  <c r="BA169" i="3"/>
  <c r="AV169" i="3"/>
  <c r="Y171" i="3"/>
  <c r="Z171" i="3" s="1"/>
  <c r="AH171" i="3"/>
  <c r="AO171" i="3"/>
  <c r="AU170" i="3"/>
  <c r="AW170" i="3"/>
  <c r="A173" i="3"/>
  <c r="B172" i="3"/>
  <c r="AR172" i="3"/>
  <c r="AQ172" i="3"/>
  <c r="C172" i="3"/>
  <c r="AK172" i="3"/>
  <c r="AM172" i="3"/>
  <c r="S172" i="3"/>
  <c r="R172" i="3"/>
  <c r="D172" i="3"/>
  <c r="Q172" i="3"/>
  <c r="AD172" i="3"/>
  <c r="O172" i="3"/>
  <c r="AF172" i="3"/>
  <c r="M172" i="3"/>
  <c r="U172" i="3"/>
  <c r="P172" i="3"/>
  <c r="AE172" i="3"/>
  <c r="V172" i="3"/>
  <c r="G172" i="3"/>
  <c r="H172" i="3" s="1"/>
  <c r="F172" i="3"/>
  <c r="BM172" i="3" s="1"/>
  <c r="T172" i="3"/>
  <c r="X171" i="3"/>
  <c r="BC169" i="3" l="1"/>
  <c r="BD169" i="3" s="1"/>
  <c r="BN172" i="3"/>
  <c r="AV170" i="3"/>
  <c r="AT171" i="3"/>
  <c r="BG168" i="3"/>
  <c r="BH168" i="3" s="1"/>
  <c r="BI168" i="3" s="1"/>
  <c r="BD168" i="3"/>
  <c r="BA170" i="3"/>
  <c r="BF170" i="3" s="1"/>
  <c r="AW171" i="3"/>
  <c r="AY170" i="3"/>
  <c r="AO172" i="3"/>
  <c r="AX171" i="3"/>
  <c r="AU171" i="3"/>
  <c r="Y172" i="3"/>
  <c r="Z172" i="3" s="1"/>
  <c r="AR173" i="3"/>
  <c r="B173" i="3"/>
  <c r="AQ173" i="3"/>
  <c r="A174" i="3"/>
  <c r="AK173" i="3"/>
  <c r="AM173" i="3"/>
  <c r="T173" i="3"/>
  <c r="AD173" i="3"/>
  <c r="P173" i="3"/>
  <c r="R173" i="3"/>
  <c r="O173" i="3"/>
  <c r="AE173" i="3"/>
  <c r="AF173" i="3"/>
  <c r="M173" i="3"/>
  <c r="U173" i="3"/>
  <c r="V173" i="3"/>
  <c r="Q173" i="3"/>
  <c r="C173" i="3"/>
  <c r="D173" i="3"/>
  <c r="G173" i="3"/>
  <c r="H173" i="3" s="1"/>
  <c r="F173" i="3"/>
  <c r="S173" i="3"/>
  <c r="AN172" i="3"/>
  <c r="X172" i="3"/>
  <c r="AH172" i="3"/>
  <c r="AG172" i="3"/>
  <c r="BQ169" i="3"/>
  <c r="BF169" i="3"/>
  <c r="BJ168" i="3" s="1"/>
  <c r="BK168" i="3" s="1"/>
  <c r="BB169" i="3"/>
  <c r="BG169" i="3" l="1"/>
  <c r="BH169" i="3" s="1"/>
  <c r="BI169" i="3" s="1"/>
  <c r="BC170" i="3"/>
  <c r="BD170" i="3" s="1"/>
  <c r="BB170" i="3"/>
  <c r="BQ170" i="3"/>
  <c r="BM173" i="3"/>
  <c r="AO173" i="3"/>
  <c r="BA171" i="3"/>
  <c r="BF171" i="3" s="1"/>
  <c r="BJ170" i="3" s="1"/>
  <c r="AV171" i="3"/>
  <c r="AY171" i="3"/>
  <c r="AX172" i="3"/>
  <c r="Y173" i="3"/>
  <c r="Z173" i="3" s="1"/>
  <c r="BN173" i="3"/>
  <c r="AR174" i="3"/>
  <c r="B174" i="3"/>
  <c r="AQ174" i="3"/>
  <c r="A175" i="3"/>
  <c r="D174" i="3"/>
  <c r="T174" i="3"/>
  <c r="C174" i="3"/>
  <c r="AK174" i="3"/>
  <c r="AM174" i="3"/>
  <c r="Q174" i="3"/>
  <c r="S174" i="3"/>
  <c r="R174" i="3"/>
  <c r="AD174" i="3"/>
  <c r="O174" i="3"/>
  <c r="P174" i="3"/>
  <c r="AE174" i="3"/>
  <c r="M174" i="3"/>
  <c r="V174" i="3"/>
  <c r="U174" i="3"/>
  <c r="AF174" i="3"/>
  <c r="G174" i="3"/>
  <c r="H174" i="3" s="1"/>
  <c r="BN174" i="3" s="1"/>
  <c r="F174" i="3"/>
  <c r="AU172" i="3"/>
  <c r="AW172" i="3"/>
  <c r="AT172" i="3"/>
  <c r="X173" i="3"/>
  <c r="AG173" i="3"/>
  <c r="AH173" i="3"/>
  <c r="AN173" i="3"/>
  <c r="BJ169" i="3"/>
  <c r="BK169" i="3" l="1"/>
  <c r="BG170" i="3"/>
  <c r="BH170" i="3" s="1"/>
  <c r="BI170" i="3" s="1"/>
  <c r="AY172" i="3"/>
  <c r="BK170" i="3"/>
  <c r="BB171" i="3"/>
  <c r="BM174" i="3"/>
  <c r="BQ171" i="3"/>
  <c r="BC171" i="3"/>
  <c r="BD171" i="3" s="1"/>
  <c r="AU173" i="3"/>
  <c r="AT173" i="3"/>
  <c r="AH174" i="3"/>
  <c r="AN174" i="3"/>
  <c r="BA172" i="3"/>
  <c r="BQ172" i="3" s="1"/>
  <c r="Y174" i="3"/>
  <c r="Z174" i="3" s="1"/>
  <c r="AX173" i="3"/>
  <c r="X174" i="3"/>
  <c r="AQ175" i="3"/>
  <c r="B175" i="3"/>
  <c r="A176" i="3"/>
  <c r="AR175" i="3"/>
  <c r="D175" i="3"/>
  <c r="AK175" i="3"/>
  <c r="AM175" i="3"/>
  <c r="S175" i="3"/>
  <c r="R175" i="3"/>
  <c r="T175" i="3"/>
  <c r="AD175" i="3"/>
  <c r="P175" i="3"/>
  <c r="O175" i="3"/>
  <c r="AE175" i="3"/>
  <c r="M175" i="3"/>
  <c r="AF175" i="3"/>
  <c r="U175" i="3"/>
  <c r="V175" i="3"/>
  <c r="F175" i="3"/>
  <c r="Q175" i="3"/>
  <c r="C175" i="3"/>
  <c r="G175" i="3"/>
  <c r="H175" i="3" s="1"/>
  <c r="AW173" i="3"/>
  <c r="AV172" i="3"/>
  <c r="AG174" i="3"/>
  <c r="AO174" i="3"/>
  <c r="BC172" i="3" l="1"/>
  <c r="BG172" i="3" s="1"/>
  <c r="BH172" i="3" s="1"/>
  <c r="BI172" i="3" s="1"/>
  <c r="BB172" i="3"/>
  <c r="BN175" i="3"/>
  <c r="AV173" i="3"/>
  <c r="BG171" i="3"/>
  <c r="BH171" i="3" s="1"/>
  <c r="BI171" i="3" s="1"/>
  <c r="AG175" i="3"/>
  <c r="AY173" i="3"/>
  <c r="AO175" i="3"/>
  <c r="BF172" i="3"/>
  <c r="BJ171" i="3" s="1"/>
  <c r="BK171" i="3" s="1"/>
  <c r="AX174" i="3"/>
  <c r="Y175" i="3"/>
  <c r="Z175" i="3" s="1"/>
  <c r="A177" i="3"/>
  <c r="B176" i="3"/>
  <c r="AR176" i="3"/>
  <c r="AQ176" i="3"/>
  <c r="D176" i="3"/>
  <c r="AM176" i="3"/>
  <c r="AK176" i="3"/>
  <c r="T176" i="3"/>
  <c r="Q176" i="3"/>
  <c r="P176" i="3"/>
  <c r="R176" i="3"/>
  <c r="AD176" i="3"/>
  <c r="O176" i="3"/>
  <c r="AE176" i="3"/>
  <c r="M176" i="3"/>
  <c r="AF176" i="3"/>
  <c r="U176" i="3"/>
  <c r="V176" i="3"/>
  <c r="C176" i="3"/>
  <c r="F176" i="3"/>
  <c r="G176" i="3"/>
  <c r="H176" i="3" s="1"/>
  <c r="BN176" i="3" s="1"/>
  <c r="S176" i="3"/>
  <c r="AW174" i="3"/>
  <c r="X175" i="3"/>
  <c r="BM175" i="3"/>
  <c r="AH175" i="3"/>
  <c r="AN175" i="3"/>
  <c r="AT174" i="3"/>
  <c r="BA173" i="3"/>
  <c r="AU174" i="3"/>
  <c r="BD172" i="3" l="1"/>
  <c r="AX175" i="3"/>
  <c r="BC173" i="3"/>
  <c r="BG173" i="3" s="1"/>
  <c r="BH173" i="3" s="1"/>
  <c r="BI173" i="3" s="1"/>
  <c r="BM176" i="3"/>
  <c r="AN176" i="3"/>
  <c r="BQ173" i="3"/>
  <c r="BB173" i="3"/>
  <c r="BF173" i="3"/>
  <c r="BJ172" i="3" s="1"/>
  <c r="BK172" i="3" s="1"/>
  <c r="BA174" i="3"/>
  <c r="AY174" i="3"/>
  <c r="Y176" i="3"/>
  <c r="Z176" i="3" s="1"/>
  <c r="AR177" i="3"/>
  <c r="B177" i="3"/>
  <c r="AQ177" i="3"/>
  <c r="A178" i="3"/>
  <c r="R177" i="3"/>
  <c r="AM177" i="3"/>
  <c r="AK177" i="3"/>
  <c r="Q177" i="3"/>
  <c r="AD177" i="3"/>
  <c r="O177" i="3"/>
  <c r="AF177" i="3"/>
  <c r="AE177" i="3"/>
  <c r="P177" i="3"/>
  <c r="M177" i="3"/>
  <c r="V177" i="3"/>
  <c r="U177" i="3"/>
  <c r="D177" i="3"/>
  <c r="G177" i="3"/>
  <c r="H177" i="3" s="1"/>
  <c r="C177" i="3"/>
  <c r="F177" i="3"/>
  <c r="S177" i="3"/>
  <c r="T177" i="3"/>
  <c r="AU175" i="3"/>
  <c r="X176" i="3"/>
  <c r="AH176" i="3"/>
  <c r="AT175" i="3"/>
  <c r="AV174" i="3"/>
  <c r="AW175" i="3"/>
  <c r="AO176" i="3"/>
  <c r="AG176" i="3"/>
  <c r="AY175" i="3" l="1"/>
  <c r="BD173" i="3"/>
  <c r="BC174" i="3"/>
  <c r="BD174" i="3" s="1"/>
  <c r="AO177" i="3"/>
  <c r="AW176" i="3"/>
  <c r="AT176" i="3"/>
  <c r="X177" i="3"/>
  <c r="BA175" i="3"/>
  <c r="AV175" i="3"/>
  <c r="AR178" i="3"/>
  <c r="B178" i="3"/>
  <c r="AQ178" i="3"/>
  <c r="A179" i="3"/>
  <c r="AM178" i="3"/>
  <c r="AK178" i="3"/>
  <c r="S178" i="3"/>
  <c r="T178" i="3"/>
  <c r="C178" i="3"/>
  <c r="Q178" i="3"/>
  <c r="AD178" i="3"/>
  <c r="P178" i="3"/>
  <c r="O178" i="3"/>
  <c r="AE178" i="3"/>
  <c r="AF178" i="3"/>
  <c r="M178" i="3"/>
  <c r="U178" i="3"/>
  <c r="V178" i="3"/>
  <c r="D178" i="3"/>
  <c r="F178" i="3"/>
  <c r="R178" i="3"/>
  <c r="G178" i="3"/>
  <c r="H178" i="3" s="1"/>
  <c r="AH177" i="3"/>
  <c r="AU176" i="3"/>
  <c r="Y177" i="3"/>
  <c r="Z177" i="3" s="1"/>
  <c r="BM177" i="3"/>
  <c r="BN177" i="3"/>
  <c r="AG177" i="3"/>
  <c r="AN177" i="3"/>
  <c r="BF174" i="3"/>
  <c r="BJ173" i="3" s="1"/>
  <c r="BK173" i="3" s="1"/>
  <c r="BQ174" i="3"/>
  <c r="BB174" i="3"/>
  <c r="AX176" i="3"/>
  <c r="BC175" i="3" l="1"/>
  <c r="BG175" i="3" s="1"/>
  <c r="BH175" i="3" s="1"/>
  <c r="BI175" i="3" s="1"/>
  <c r="BN178" i="3"/>
  <c r="BM178" i="3"/>
  <c r="BG174" i="3"/>
  <c r="BH174" i="3" s="1"/>
  <c r="BI174" i="3" s="1"/>
  <c r="AT177" i="3"/>
  <c r="AG178" i="3"/>
  <c r="AY176" i="3"/>
  <c r="AW177" i="3"/>
  <c r="AO178" i="3"/>
  <c r="BA176" i="3"/>
  <c r="BB176" i="3" s="1"/>
  <c r="AU177" i="3"/>
  <c r="AX177" i="3"/>
  <c r="Y178" i="3"/>
  <c r="Z178" i="3" s="1"/>
  <c r="BB175" i="3"/>
  <c r="BF175" i="3"/>
  <c r="BJ174" i="3" s="1"/>
  <c r="BQ175" i="3"/>
  <c r="AH178" i="3"/>
  <c r="X178" i="3"/>
  <c r="AN178" i="3"/>
  <c r="AV176" i="3"/>
  <c r="AQ179" i="3"/>
  <c r="B179" i="3"/>
  <c r="A180" i="3"/>
  <c r="AR179" i="3"/>
  <c r="D179" i="3"/>
  <c r="AM179" i="3"/>
  <c r="AK179" i="3"/>
  <c r="S179" i="3"/>
  <c r="Q179" i="3"/>
  <c r="C179" i="3"/>
  <c r="AD179" i="3"/>
  <c r="R179" i="3"/>
  <c r="P179" i="3"/>
  <c r="O179" i="3"/>
  <c r="M179" i="3"/>
  <c r="AE179" i="3"/>
  <c r="AF179" i="3"/>
  <c r="V179" i="3"/>
  <c r="U179" i="3"/>
  <c r="G179" i="3"/>
  <c r="H179" i="3" s="1"/>
  <c r="F179" i="3"/>
  <c r="T179" i="3"/>
  <c r="BD175" i="3" l="1"/>
  <c r="AV177" i="3"/>
  <c r="AY177" i="3"/>
  <c r="BK174" i="3"/>
  <c r="BM179" i="3"/>
  <c r="BC176" i="3"/>
  <c r="BG176" i="3" s="1"/>
  <c r="BH176" i="3" s="1"/>
  <c r="BI176" i="3" s="1"/>
  <c r="AW178" i="3"/>
  <c r="AO179" i="3"/>
  <c r="AT178" i="3"/>
  <c r="BQ176" i="3"/>
  <c r="BF176" i="3"/>
  <c r="BJ175" i="3" s="1"/>
  <c r="BK175" i="3" s="1"/>
  <c r="BA177" i="3"/>
  <c r="BF177" i="3" s="1"/>
  <c r="Y179" i="3"/>
  <c r="Z179" i="3" s="1"/>
  <c r="BN179" i="3"/>
  <c r="AG179" i="3"/>
  <c r="X179" i="3"/>
  <c r="AN179" i="3"/>
  <c r="AU178" i="3"/>
  <c r="A181" i="3"/>
  <c r="B180" i="3"/>
  <c r="AR180" i="3"/>
  <c r="AQ180" i="3"/>
  <c r="D180" i="3"/>
  <c r="S180" i="3"/>
  <c r="R180" i="3"/>
  <c r="AM180" i="3"/>
  <c r="AK180" i="3"/>
  <c r="Q180" i="3"/>
  <c r="P180" i="3"/>
  <c r="AD180" i="3"/>
  <c r="O180" i="3"/>
  <c r="AE180" i="3"/>
  <c r="AF180" i="3"/>
  <c r="M180" i="3"/>
  <c r="U180" i="3"/>
  <c r="V180" i="3"/>
  <c r="G180" i="3"/>
  <c r="H180" i="3" s="1"/>
  <c r="C180" i="3"/>
  <c r="F180" i="3"/>
  <c r="T180" i="3"/>
  <c r="AH179" i="3"/>
  <c r="AX178" i="3"/>
  <c r="BD176" i="3" l="1"/>
  <c r="BN180" i="3"/>
  <c r="BC177" i="3"/>
  <c r="BG177" i="3" s="1"/>
  <c r="BH177" i="3" s="1"/>
  <c r="BI177" i="3" s="1"/>
  <c r="AU179" i="3"/>
  <c r="AV178" i="3"/>
  <c r="AG180" i="3"/>
  <c r="AY178" i="3"/>
  <c r="AN180" i="3"/>
  <c r="BB177" i="3"/>
  <c r="BQ177" i="3"/>
  <c r="BJ176" i="3"/>
  <c r="BK176" i="3" s="1"/>
  <c r="Y180" i="3"/>
  <c r="Z180" i="3" s="1"/>
  <c r="AW179" i="3"/>
  <c r="AX179" i="3"/>
  <c r="X180" i="3"/>
  <c r="BM180" i="3"/>
  <c r="AR181" i="3"/>
  <c r="B181" i="3"/>
  <c r="AQ181" i="3"/>
  <c r="A182" i="3"/>
  <c r="D181" i="3"/>
  <c r="AM181" i="3"/>
  <c r="AK181" i="3"/>
  <c r="T181" i="3"/>
  <c r="P181" i="3"/>
  <c r="R181" i="3"/>
  <c r="Q181" i="3"/>
  <c r="AD181" i="3"/>
  <c r="O181" i="3"/>
  <c r="AE181" i="3"/>
  <c r="AF181" i="3"/>
  <c r="M181" i="3"/>
  <c r="U181" i="3"/>
  <c r="V181" i="3"/>
  <c r="C181" i="3"/>
  <c r="G181" i="3"/>
  <c r="H181" i="3" s="1"/>
  <c r="F181" i="3"/>
  <c r="S181" i="3"/>
  <c r="BA178" i="3"/>
  <c r="AO180" i="3"/>
  <c r="AH180" i="3"/>
  <c r="AT179" i="3"/>
  <c r="BD177" i="3" l="1"/>
  <c r="BM181" i="3"/>
  <c r="BC178" i="3"/>
  <c r="BD178" i="3" s="1"/>
  <c r="AT180" i="3"/>
  <c r="BN181" i="3"/>
  <c r="AG181" i="3"/>
  <c r="AN181" i="3"/>
  <c r="AX180" i="3"/>
  <c r="AW180" i="3"/>
  <c r="AU180" i="3"/>
  <c r="X181" i="3"/>
  <c r="AV179" i="3"/>
  <c r="BA179" i="3"/>
  <c r="Y181" i="3"/>
  <c r="Z181" i="3" s="1"/>
  <c r="AH181" i="3"/>
  <c r="AO181" i="3"/>
  <c r="AY179" i="3"/>
  <c r="BB178" i="3"/>
  <c r="BF178" i="3"/>
  <c r="BJ177" i="3" s="1"/>
  <c r="BK177" i="3" s="1"/>
  <c r="BQ178" i="3"/>
  <c r="AR182" i="3"/>
  <c r="B182" i="3"/>
  <c r="AQ182" i="3"/>
  <c r="A183" i="3"/>
  <c r="C182" i="3"/>
  <c r="AK182" i="3"/>
  <c r="AM182" i="3"/>
  <c r="Q182" i="3"/>
  <c r="R182" i="3"/>
  <c r="AD182" i="3"/>
  <c r="O182" i="3"/>
  <c r="M182" i="3"/>
  <c r="AE182" i="3"/>
  <c r="U182" i="3"/>
  <c r="P182" i="3"/>
  <c r="AF182" i="3"/>
  <c r="V182" i="3"/>
  <c r="D182" i="3"/>
  <c r="G182" i="3"/>
  <c r="H182" i="3" s="1"/>
  <c r="F182" i="3"/>
  <c r="T182" i="3"/>
  <c r="S182" i="3"/>
  <c r="BG178" i="3" l="1"/>
  <c r="BH178" i="3" s="1"/>
  <c r="BI178" i="3" s="1"/>
  <c r="AV180" i="3"/>
  <c r="AU181" i="3"/>
  <c r="BN182" i="3"/>
  <c r="BM182" i="3"/>
  <c r="BA180" i="3"/>
  <c r="BQ180" i="3" s="1"/>
  <c r="AY180" i="3"/>
  <c r="AX181" i="3"/>
  <c r="AN182" i="3"/>
  <c r="AW181" i="3"/>
  <c r="AG182" i="3"/>
  <c r="Y182" i="3"/>
  <c r="Z182" i="3" s="1"/>
  <c r="AQ183" i="3"/>
  <c r="B183" i="3"/>
  <c r="A184" i="3"/>
  <c r="AR183" i="3"/>
  <c r="D183" i="3"/>
  <c r="AM183" i="3"/>
  <c r="T183" i="3"/>
  <c r="AK183" i="3"/>
  <c r="R183" i="3"/>
  <c r="AD183" i="3"/>
  <c r="P183" i="3"/>
  <c r="O183" i="3"/>
  <c r="AE183" i="3"/>
  <c r="U183" i="3"/>
  <c r="V183" i="3"/>
  <c r="M183" i="3"/>
  <c r="AF183" i="3"/>
  <c r="C183" i="3"/>
  <c r="Q183" i="3"/>
  <c r="G183" i="3"/>
  <c r="H183" i="3" s="1"/>
  <c r="F183" i="3"/>
  <c r="S183" i="3"/>
  <c r="X182" i="3"/>
  <c r="AH182" i="3"/>
  <c r="AO182" i="3"/>
  <c r="AT181" i="3"/>
  <c r="BC179" i="3"/>
  <c r="BQ179" i="3"/>
  <c r="BF179" i="3"/>
  <c r="BJ178" i="3" s="1"/>
  <c r="BK178" i="3" s="1"/>
  <c r="BB179" i="3"/>
  <c r="BC180" i="3" l="1"/>
  <c r="BD180" i="3" s="1"/>
  <c r="AY181" i="3"/>
  <c r="AO183" i="3"/>
  <c r="BB180" i="3"/>
  <c r="BN183" i="3"/>
  <c r="BF180" i="3"/>
  <c r="BJ179" i="3" s="1"/>
  <c r="AT182" i="3"/>
  <c r="AX182" i="3"/>
  <c r="X183" i="3"/>
  <c r="AV181" i="3"/>
  <c r="BA181" i="3"/>
  <c r="BD179" i="3"/>
  <c r="BG179" i="3"/>
  <c r="BH179" i="3" s="1"/>
  <c r="BI179" i="3" s="1"/>
  <c r="Y183" i="3"/>
  <c r="Z183" i="3" s="1"/>
  <c r="A185" i="3"/>
  <c r="B184" i="3"/>
  <c r="AR184" i="3"/>
  <c r="AQ184" i="3"/>
  <c r="AM184" i="3"/>
  <c r="T184" i="3"/>
  <c r="AK184" i="3"/>
  <c r="S184" i="3"/>
  <c r="R184" i="3"/>
  <c r="Q184" i="3"/>
  <c r="AD184" i="3"/>
  <c r="P184" i="3"/>
  <c r="O184" i="3"/>
  <c r="AE184" i="3"/>
  <c r="AF184" i="3"/>
  <c r="V184" i="3"/>
  <c r="M184" i="3"/>
  <c r="U184" i="3"/>
  <c r="D184" i="3"/>
  <c r="G184" i="3"/>
  <c r="H184" i="3" s="1"/>
  <c r="C184" i="3"/>
  <c r="F184" i="3"/>
  <c r="AU182" i="3"/>
  <c r="AW182" i="3"/>
  <c r="BM183" i="3"/>
  <c r="AH183" i="3"/>
  <c r="AG183" i="3"/>
  <c r="AN183" i="3"/>
  <c r="BG180" i="3" l="1"/>
  <c r="BH180" i="3" s="1"/>
  <c r="BI180" i="3" s="1"/>
  <c r="AO184" i="3"/>
  <c r="BC181" i="3"/>
  <c r="BG181" i="3" s="1"/>
  <c r="BH181" i="3" s="1"/>
  <c r="BI181" i="3" s="1"/>
  <c r="BK179" i="3"/>
  <c r="BM184" i="3"/>
  <c r="BN184" i="3"/>
  <c r="AT183" i="3"/>
  <c r="AG184" i="3"/>
  <c r="AY182" i="3"/>
  <c r="AH184" i="3"/>
  <c r="BA182" i="3"/>
  <c r="BF182" i="3" s="1"/>
  <c r="Y184" i="3"/>
  <c r="Z184" i="3" s="1"/>
  <c r="AR185" i="3"/>
  <c r="B185" i="3"/>
  <c r="AQ185" i="3"/>
  <c r="A186" i="3"/>
  <c r="C185" i="3"/>
  <c r="D185" i="3"/>
  <c r="AK185" i="3"/>
  <c r="AM185" i="3"/>
  <c r="Q185" i="3"/>
  <c r="AD185" i="3"/>
  <c r="P185" i="3"/>
  <c r="T185" i="3"/>
  <c r="O185" i="3"/>
  <c r="M185" i="3"/>
  <c r="AE185" i="3"/>
  <c r="AF185" i="3"/>
  <c r="U185" i="3"/>
  <c r="V185" i="3"/>
  <c r="G185" i="3"/>
  <c r="H185" i="3" s="1"/>
  <c r="R185" i="3"/>
  <c r="F185" i="3"/>
  <c r="BM185" i="3" s="1"/>
  <c r="S185" i="3"/>
  <c r="AW183" i="3"/>
  <c r="X184" i="3"/>
  <c r="AN184" i="3"/>
  <c r="AV182" i="3"/>
  <c r="AU183" i="3"/>
  <c r="AX183" i="3"/>
  <c r="BB181" i="3"/>
  <c r="BQ181" i="3"/>
  <c r="BF181" i="3"/>
  <c r="BJ180" i="3" s="1"/>
  <c r="BD181" i="3" l="1"/>
  <c r="BK180" i="3"/>
  <c r="BC182" i="3"/>
  <c r="BD182" i="3" s="1"/>
  <c r="AT184" i="3"/>
  <c r="BN185" i="3"/>
  <c r="AW184" i="3"/>
  <c r="AU184" i="3"/>
  <c r="AO185" i="3"/>
  <c r="AX184" i="3"/>
  <c r="AG185" i="3"/>
  <c r="BB182" i="3"/>
  <c r="BQ182" i="3"/>
  <c r="BA183" i="3"/>
  <c r="BQ183" i="3" s="1"/>
  <c r="Y185" i="3"/>
  <c r="Z185" i="3" s="1"/>
  <c r="AR186" i="3"/>
  <c r="B186" i="3"/>
  <c r="AQ186" i="3"/>
  <c r="A187" i="3"/>
  <c r="AM186" i="3"/>
  <c r="S186" i="3"/>
  <c r="AK186" i="3"/>
  <c r="T186" i="3"/>
  <c r="Q186" i="3"/>
  <c r="R186" i="3"/>
  <c r="AD186" i="3"/>
  <c r="P186" i="3"/>
  <c r="O186" i="3"/>
  <c r="AE186" i="3"/>
  <c r="U186" i="3"/>
  <c r="AF186" i="3"/>
  <c r="M186" i="3"/>
  <c r="V186" i="3"/>
  <c r="D186" i="3"/>
  <c r="G186" i="3"/>
  <c r="H186" i="3" s="1"/>
  <c r="C186" i="3"/>
  <c r="F186" i="3"/>
  <c r="AY183" i="3"/>
  <c r="X185" i="3"/>
  <c r="AH185" i="3"/>
  <c r="AN185" i="3"/>
  <c r="BJ181" i="3"/>
  <c r="BK181" i="3" s="1"/>
  <c r="AV183" i="3"/>
  <c r="AO186" i="3" l="1"/>
  <c r="BG182" i="3"/>
  <c r="BH182" i="3" s="1"/>
  <c r="BI182" i="3" s="1"/>
  <c r="AV184" i="3"/>
  <c r="BA184" i="3"/>
  <c r="BQ184" i="3" s="1"/>
  <c r="AY184" i="3"/>
  <c r="AT185" i="3"/>
  <c r="AW185" i="3"/>
  <c r="BB183" i="3"/>
  <c r="BF183" i="3"/>
  <c r="BJ182" i="3" s="1"/>
  <c r="X186" i="3"/>
  <c r="AU185" i="3"/>
  <c r="AX185" i="3"/>
  <c r="AH186" i="3"/>
  <c r="AG186" i="3"/>
  <c r="AQ187" i="3"/>
  <c r="B187" i="3"/>
  <c r="A188" i="3"/>
  <c r="AR187" i="3"/>
  <c r="D187" i="3"/>
  <c r="AK187" i="3"/>
  <c r="AM187" i="3"/>
  <c r="R187" i="3"/>
  <c r="Q187" i="3"/>
  <c r="AD187" i="3"/>
  <c r="P187" i="3"/>
  <c r="O187" i="3"/>
  <c r="M187" i="3"/>
  <c r="V187" i="3"/>
  <c r="U187" i="3"/>
  <c r="AE187" i="3"/>
  <c r="AF187" i="3"/>
  <c r="C187" i="3"/>
  <c r="G187" i="3"/>
  <c r="H187" i="3" s="1"/>
  <c r="F187" i="3"/>
  <c r="T187" i="3"/>
  <c r="S187" i="3"/>
  <c r="BC183" i="3"/>
  <c r="BM186" i="3"/>
  <c r="BN186" i="3"/>
  <c r="Y186" i="3"/>
  <c r="Z186" i="3" s="1"/>
  <c r="AN186" i="3"/>
  <c r="BK182" i="3" l="1"/>
  <c r="BM187" i="3"/>
  <c r="BN187" i="3"/>
  <c r="BC184" i="3"/>
  <c r="BD184" i="3" s="1"/>
  <c r="BF184" i="3"/>
  <c r="BJ183" i="3" s="1"/>
  <c r="BB184" i="3"/>
  <c r="AN187" i="3"/>
  <c r="AV185" i="3"/>
  <c r="AY185" i="3"/>
  <c r="AU186" i="3"/>
  <c r="AT186" i="3"/>
  <c r="BD183" i="3"/>
  <c r="BG183" i="3"/>
  <c r="BH183" i="3" s="1"/>
  <c r="BI183" i="3" s="1"/>
  <c r="X187" i="3"/>
  <c r="AG187" i="3"/>
  <c r="AH187" i="3"/>
  <c r="AO187" i="3"/>
  <c r="AW186" i="3"/>
  <c r="BA185" i="3"/>
  <c r="Y187" i="3"/>
  <c r="Z187" i="3" s="1"/>
  <c r="A189" i="3"/>
  <c r="B188" i="3"/>
  <c r="AR188" i="3"/>
  <c r="AQ188" i="3"/>
  <c r="D188" i="3"/>
  <c r="AK188" i="3"/>
  <c r="T188" i="3"/>
  <c r="Q188" i="3"/>
  <c r="AM188" i="3"/>
  <c r="S188" i="3"/>
  <c r="AD188" i="3"/>
  <c r="O188" i="3"/>
  <c r="P188" i="3"/>
  <c r="AE188" i="3"/>
  <c r="AF188" i="3"/>
  <c r="V188" i="3"/>
  <c r="U188" i="3"/>
  <c r="M188" i="3"/>
  <c r="C188" i="3"/>
  <c r="F188" i="3"/>
  <c r="R188" i="3"/>
  <c r="G188" i="3"/>
  <c r="H188" i="3" s="1"/>
  <c r="AX186" i="3"/>
  <c r="BG184" i="3" l="1"/>
  <c r="BH184" i="3" s="1"/>
  <c r="BI184" i="3" s="1"/>
  <c r="BK183" i="3"/>
  <c r="AN188" i="3"/>
  <c r="BC185" i="3"/>
  <c r="BD185" i="3" s="1"/>
  <c r="AV186" i="3"/>
  <c r="AU187" i="3"/>
  <c r="AT187" i="3"/>
  <c r="X188" i="3"/>
  <c r="AR189" i="3"/>
  <c r="B189" i="3"/>
  <c r="AQ189" i="3"/>
  <c r="A190" i="3"/>
  <c r="Q189" i="3"/>
  <c r="D189" i="3"/>
  <c r="AK189" i="3"/>
  <c r="AM189" i="3"/>
  <c r="R189" i="3"/>
  <c r="AD189" i="3"/>
  <c r="P189" i="3"/>
  <c r="M189" i="3"/>
  <c r="V189" i="3"/>
  <c r="O189" i="3"/>
  <c r="AE189" i="3"/>
  <c r="AF189" i="3"/>
  <c r="U189" i="3"/>
  <c r="F189" i="3"/>
  <c r="C189" i="3"/>
  <c r="G189" i="3"/>
  <c r="H189" i="3" s="1"/>
  <c r="T189" i="3"/>
  <c r="S189" i="3"/>
  <c r="BQ185" i="3"/>
  <c r="BB185" i="3"/>
  <c r="BF185" i="3"/>
  <c r="BJ184" i="3" s="1"/>
  <c r="BK184" i="3" s="1"/>
  <c r="AH188" i="3"/>
  <c r="BN188" i="3"/>
  <c r="BM188" i="3"/>
  <c r="AG188" i="3"/>
  <c r="AO188" i="3"/>
  <c r="AX187" i="3"/>
  <c r="Y188" i="3"/>
  <c r="Z188" i="3" s="1"/>
  <c r="AY186" i="3"/>
  <c r="AW187" i="3"/>
  <c r="BA186" i="3"/>
  <c r="BN189" i="3" l="1"/>
  <c r="BG185" i="3"/>
  <c r="BH185" i="3" s="1"/>
  <c r="BI185" i="3" s="1"/>
  <c r="BC186" i="3"/>
  <c r="BD186" i="3" s="1"/>
  <c r="AO189" i="3"/>
  <c r="AV187" i="3"/>
  <c r="AU188" i="3"/>
  <c r="AW188" i="3"/>
  <c r="AG189" i="3"/>
  <c r="AT188" i="3"/>
  <c r="X189" i="3"/>
  <c r="BA187" i="3"/>
  <c r="BF187" i="3" s="1"/>
  <c r="BQ186" i="3"/>
  <c r="BB186" i="3"/>
  <c r="BF186" i="3"/>
  <c r="AY187" i="3"/>
  <c r="Y189" i="3"/>
  <c r="Z189" i="3" s="1"/>
  <c r="AR190" i="3"/>
  <c r="B190" i="3"/>
  <c r="AQ190" i="3"/>
  <c r="A191" i="3"/>
  <c r="D190" i="3"/>
  <c r="C190" i="3"/>
  <c r="AM190" i="3"/>
  <c r="S190" i="3"/>
  <c r="R190" i="3"/>
  <c r="AK190" i="3"/>
  <c r="Q190" i="3"/>
  <c r="P190" i="3"/>
  <c r="AD190" i="3"/>
  <c r="O190" i="3"/>
  <c r="AE190" i="3"/>
  <c r="M190" i="3"/>
  <c r="AF190" i="3"/>
  <c r="U190" i="3"/>
  <c r="V190" i="3"/>
  <c r="G190" i="3"/>
  <c r="H190" i="3" s="1"/>
  <c r="F190" i="3"/>
  <c r="T190" i="3"/>
  <c r="AX188" i="3"/>
  <c r="BM189" i="3"/>
  <c r="AH189" i="3"/>
  <c r="AN189" i="3"/>
  <c r="BC187" i="3" l="1"/>
  <c r="BD187" i="3" s="1"/>
  <c r="BG186" i="3"/>
  <c r="BH186" i="3" s="1"/>
  <c r="BI186" i="3" s="1"/>
  <c r="BN190" i="3"/>
  <c r="AV188" i="3"/>
  <c r="BA188" i="3"/>
  <c r="BQ188" i="3" s="1"/>
  <c r="BB187" i="3"/>
  <c r="AO190" i="3"/>
  <c r="BQ187" i="3"/>
  <c r="AX189" i="3"/>
  <c r="AY188" i="3"/>
  <c r="BM190" i="3"/>
  <c r="AG190" i="3"/>
  <c r="AH190" i="3"/>
  <c r="AN190" i="3"/>
  <c r="AU189" i="3"/>
  <c r="AQ191" i="3"/>
  <c r="B191" i="3"/>
  <c r="A192" i="3"/>
  <c r="AR191" i="3"/>
  <c r="AM191" i="3"/>
  <c r="Q191" i="3"/>
  <c r="C191" i="3"/>
  <c r="AK191" i="3"/>
  <c r="AD191" i="3"/>
  <c r="O191" i="3"/>
  <c r="S191" i="3"/>
  <c r="P191" i="3"/>
  <c r="AE191" i="3"/>
  <c r="AF191" i="3"/>
  <c r="V191" i="3"/>
  <c r="M191" i="3"/>
  <c r="U191" i="3"/>
  <c r="F191" i="3"/>
  <c r="R191" i="3"/>
  <c r="D191" i="3"/>
  <c r="G191" i="3"/>
  <c r="H191" i="3" s="1"/>
  <c r="T191" i="3"/>
  <c r="BJ186" i="3"/>
  <c r="BK186" i="3" s="1"/>
  <c r="BJ185" i="3"/>
  <c r="BK185" i="3" s="1"/>
  <c r="Y190" i="3"/>
  <c r="Z190" i="3" s="1"/>
  <c r="X190" i="3"/>
  <c r="AT189" i="3"/>
  <c r="AW189" i="3"/>
  <c r="BG187" i="3" l="1"/>
  <c r="BH187" i="3" s="1"/>
  <c r="BI187" i="3" s="1"/>
  <c r="AO191" i="3"/>
  <c r="BM191" i="3"/>
  <c r="BB188" i="3"/>
  <c r="BF188" i="3"/>
  <c r="BJ187" i="3" s="1"/>
  <c r="BK187" i="3" s="1"/>
  <c r="BC188" i="3"/>
  <c r="BG188" i="3" s="1"/>
  <c r="BH188" i="3" s="1"/>
  <c r="BI188" i="3" s="1"/>
  <c r="AY189" i="3"/>
  <c r="AT190" i="3"/>
  <c r="AU190" i="3"/>
  <c r="Y191" i="3"/>
  <c r="Z191" i="3" s="1"/>
  <c r="A193" i="3"/>
  <c r="B192" i="3"/>
  <c r="AR192" i="3"/>
  <c r="AQ192" i="3"/>
  <c r="D192" i="3"/>
  <c r="C192" i="3"/>
  <c r="AM192" i="3"/>
  <c r="AK192" i="3"/>
  <c r="R192" i="3"/>
  <c r="AD192" i="3"/>
  <c r="Q192" i="3"/>
  <c r="P192" i="3"/>
  <c r="O192" i="3"/>
  <c r="V192" i="3"/>
  <c r="AE192" i="3"/>
  <c r="M192" i="3"/>
  <c r="AF192" i="3"/>
  <c r="U192" i="3"/>
  <c r="G192" i="3"/>
  <c r="H192" i="3" s="1"/>
  <c r="F192" i="3"/>
  <c r="S192" i="3"/>
  <c r="T192" i="3"/>
  <c r="BN191" i="3"/>
  <c r="AG191" i="3"/>
  <c r="AH191" i="3"/>
  <c r="X191" i="3"/>
  <c r="AN191" i="3"/>
  <c r="AX190" i="3"/>
  <c r="BA189" i="3"/>
  <c r="AV189" i="3"/>
  <c r="AW190" i="3"/>
  <c r="BM192" i="3" l="1"/>
  <c r="BN192" i="3"/>
  <c r="BC189" i="3"/>
  <c r="BG189" i="3" s="1"/>
  <c r="BH189" i="3" s="1"/>
  <c r="BI189" i="3" s="1"/>
  <c r="BD188" i="3"/>
  <c r="AV190" i="3"/>
  <c r="AW191" i="3"/>
  <c r="AO192" i="3"/>
  <c r="AH192" i="3"/>
  <c r="AY190" i="3"/>
  <c r="Y192" i="3"/>
  <c r="Z192" i="3" s="1"/>
  <c r="AR193" i="3"/>
  <c r="B193" i="3"/>
  <c r="AQ193" i="3"/>
  <c r="A194" i="3"/>
  <c r="AK193" i="3"/>
  <c r="T193" i="3"/>
  <c r="Q193" i="3"/>
  <c r="AM193" i="3"/>
  <c r="C193" i="3"/>
  <c r="S193" i="3"/>
  <c r="R193" i="3"/>
  <c r="AD193" i="3"/>
  <c r="P193" i="3"/>
  <c r="M193" i="3"/>
  <c r="O193" i="3"/>
  <c r="AF193" i="3"/>
  <c r="AE193" i="3"/>
  <c r="V193" i="3"/>
  <c r="U193" i="3"/>
  <c r="D193" i="3"/>
  <c r="F193" i="3"/>
  <c r="G193" i="3"/>
  <c r="H193" i="3" s="1"/>
  <c r="AT191" i="3"/>
  <c r="AX191" i="3"/>
  <c r="X192" i="3"/>
  <c r="AG192" i="3"/>
  <c r="AN192" i="3"/>
  <c r="BA190" i="3"/>
  <c r="BB189" i="3"/>
  <c r="BQ189" i="3"/>
  <c r="BF189" i="3"/>
  <c r="BJ188" i="3" s="1"/>
  <c r="BK188" i="3" s="1"/>
  <c r="AU191" i="3"/>
  <c r="BM193" i="3" l="1"/>
  <c r="BD189" i="3"/>
  <c r="BN193" i="3"/>
  <c r="AT192" i="3"/>
  <c r="AY191" i="3"/>
  <c r="BC190" i="3"/>
  <c r="BD190" i="3" s="1"/>
  <c r="AN193" i="3"/>
  <c r="AX192" i="3"/>
  <c r="AU192" i="3"/>
  <c r="BA191" i="3"/>
  <c r="AV191" i="3"/>
  <c r="Y193" i="3"/>
  <c r="Z193" i="3" s="1"/>
  <c r="AR194" i="3"/>
  <c r="B194" i="3"/>
  <c r="AQ194" i="3"/>
  <c r="A195" i="3"/>
  <c r="C194" i="3"/>
  <c r="AK194" i="3"/>
  <c r="S194" i="3"/>
  <c r="AM194" i="3"/>
  <c r="R194" i="3"/>
  <c r="Q194" i="3"/>
  <c r="AD194" i="3"/>
  <c r="P194" i="3"/>
  <c r="AE194" i="3"/>
  <c r="V194" i="3"/>
  <c r="O194" i="3"/>
  <c r="M194" i="3"/>
  <c r="AF194" i="3"/>
  <c r="U194" i="3"/>
  <c r="G194" i="3"/>
  <c r="H194" i="3" s="1"/>
  <c r="F194" i="3"/>
  <c r="D194" i="3"/>
  <c r="T194" i="3"/>
  <c r="BB190" i="3"/>
  <c r="BQ190" i="3"/>
  <c r="BF190" i="3"/>
  <c r="BJ189" i="3" s="1"/>
  <c r="BK189" i="3" s="1"/>
  <c r="AH193" i="3"/>
  <c r="AW192" i="3"/>
  <c r="AG193" i="3"/>
  <c r="X193" i="3"/>
  <c r="AO193" i="3"/>
  <c r="AN194" i="3" l="1"/>
  <c r="BC191" i="3"/>
  <c r="BG191" i="3" s="1"/>
  <c r="BH191" i="3" s="1"/>
  <c r="BI191" i="3" s="1"/>
  <c r="AY192" i="3"/>
  <c r="BG190" i="3"/>
  <c r="BH190" i="3" s="1"/>
  <c r="BI190" i="3" s="1"/>
  <c r="AV192" i="3"/>
  <c r="BN194" i="3"/>
  <c r="AU193" i="3"/>
  <c r="AT193" i="3"/>
  <c r="BQ191" i="3"/>
  <c r="BF191" i="3"/>
  <c r="BJ190" i="3" s="1"/>
  <c r="BB191" i="3"/>
  <c r="AH194" i="3"/>
  <c r="X194" i="3"/>
  <c r="AQ195" i="3"/>
  <c r="B195" i="3"/>
  <c r="A196" i="3"/>
  <c r="AR195" i="3"/>
  <c r="AM195" i="3"/>
  <c r="D195" i="3"/>
  <c r="AK195" i="3"/>
  <c r="R195" i="3"/>
  <c r="T195" i="3"/>
  <c r="P195" i="3"/>
  <c r="S195" i="3"/>
  <c r="Q195" i="3"/>
  <c r="AD195" i="3"/>
  <c r="AE195" i="3"/>
  <c r="O195" i="3"/>
  <c r="M195" i="3"/>
  <c r="AF195" i="3"/>
  <c r="V195" i="3"/>
  <c r="U195" i="3"/>
  <c r="G195" i="3"/>
  <c r="H195" i="3" s="1"/>
  <c r="C195" i="3"/>
  <c r="F195" i="3"/>
  <c r="AG194" i="3"/>
  <c r="AW193" i="3"/>
  <c r="AX193" i="3"/>
  <c r="BA192" i="3"/>
  <c r="Y194" i="3"/>
  <c r="Z194" i="3" s="1"/>
  <c r="BM194" i="3"/>
  <c r="AO194" i="3"/>
  <c r="BK190" i="3" l="1"/>
  <c r="BN195" i="3"/>
  <c r="BD191" i="3"/>
  <c r="BC192" i="3"/>
  <c r="BD192" i="3" s="1"/>
  <c r="AO195" i="3"/>
  <c r="AV193" i="3"/>
  <c r="BM195" i="3"/>
  <c r="AU194" i="3"/>
  <c r="AX194" i="3"/>
  <c r="AG195" i="3"/>
  <c r="AY193" i="3"/>
  <c r="BQ192" i="3"/>
  <c r="BF192" i="3"/>
  <c r="BJ191" i="3" s="1"/>
  <c r="BK191" i="3" s="1"/>
  <c r="BB192" i="3"/>
  <c r="Y195" i="3"/>
  <c r="Z195" i="3" s="1"/>
  <c r="AT194" i="3"/>
  <c r="AW194" i="3"/>
  <c r="A197" i="3"/>
  <c r="B196" i="3"/>
  <c r="AR196" i="3"/>
  <c r="AQ196" i="3"/>
  <c r="S196" i="3"/>
  <c r="AM196" i="3"/>
  <c r="AK196" i="3"/>
  <c r="T196" i="3"/>
  <c r="R196" i="3"/>
  <c r="AD196" i="3"/>
  <c r="Q196" i="3"/>
  <c r="P196" i="3"/>
  <c r="M196" i="3"/>
  <c r="V196" i="3"/>
  <c r="U196" i="3"/>
  <c r="O196" i="3"/>
  <c r="AF196" i="3"/>
  <c r="AE196" i="3"/>
  <c r="C196" i="3"/>
  <c r="D196" i="3"/>
  <c r="G196" i="3"/>
  <c r="H196" i="3" s="1"/>
  <c r="F196" i="3"/>
  <c r="BA193" i="3"/>
  <c r="X195" i="3"/>
  <c r="AH195" i="3"/>
  <c r="AN195" i="3"/>
  <c r="BG192" i="3" l="1"/>
  <c r="BH192" i="3" s="1"/>
  <c r="BI192" i="3" s="1"/>
  <c r="AG196" i="3"/>
  <c r="BC193" i="3"/>
  <c r="BD193" i="3" s="1"/>
  <c r="BM196" i="3"/>
  <c r="AY194" i="3"/>
  <c r="AN196" i="3"/>
  <c r="Y196" i="3"/>
  <c r="Z196" i="3" s="1"/>
  <c r="AH196" i="3"/>
  <c r="AU195" i="3"/>
  <c r="AX195" i="3"/>
  <c r="BF193" i="3"/>
  <c r="BJ192" i="3" s="1"/>
  <c r="BB193" i="3"/>
  <c r="BQ193" i="3"/>
  <c r="AR197" i="3"/>
  <c r="B197" i="3"/>
  <c r="AQ197" i="3"/>
  <c r="A198" i="3"/>
  <c r="C197" i="3"/>
  <c r="D197" i="3"/>
  <c r="AM197" i="3"/>
  <c r="R197" i="3"/>
  <c r="AK197" i="3"/>
  <c r="Q197" i="3"/>
  <c r="AD197" i="3"/>
  <c r="P197" i="3"/>
  <c r="AE197" i="3"/>
  <c r="V197" i="3"/>
  <c r="O197" i="3"/>
  <c r="M197" i="3"/>
  <c r="AF197" i="3"/>
  <c r="U197" i="3"/>
  <c r="G197" i="3"/>
  <c r="H197" i="3" s="1"/>
  <c r="F197" i="3"/>
  <c r="T197" i="3"/>
  <c r="S197" i="3"/>
  <c r="AV194" i="3"/>
  <c r="BA194" i="3"/>
  <c r="AT195" i="3"/>
  <c r="AW195" i="3"/>
  <c r="BN196" i="3"/>
  <c r="X196" i="3"/>
  <c r="AO196" i="3"/>
  <c r="BK192" i="3" l="1"/>
  <c r="AO197" i="3"/>
  <c r="BC194" i="3"/>
  <c r="BD194" i="3" s="1"/>
  <c r="BG193" i="3"/>
  <c r="BH193" i="3" s="1"/>
  <c r="BI193" i="3" s="1"/>
  <c r="AU196" i="3"/>
  <c r="BN197" i="3"/>
  <c r="AT196" i="3"/>
  <c r="AW196" i="3"/>
  <c r="Y197" i="3"/>
  <c r="Z197" i="3" s="1"/>
  <c r="AV195" i="3"/>
  <c r="BA195" i="3"/>
  <c r="BB194" i="3"/>
  <c r="BQ194" i="3"/>
  <c r="BF194" i="3"/>
  <c r="BJ193" i="3" s="1"/>
  <c r="AR198" i="3"/>
  <c r="B198" i="3"/>
  <c r="AQ198" i="3"/>
  <c r="A199" i="3"/>
  <c r="C198" i="3"/>
  <c r="AK198" i="3"/>
  <c r="AM198" i="3"/>
  <c r="T198" i="3"/>
  <c r="Q198" i="3"/>
  <c r="R198" i="3"/>
  <c r="AD198" i="3"/>
  <c r="P198" i="3"/>
  <c r="O198" i="3"/>
  <c r="M198" i="3"/>
  <c r="AE198" i="3"/>
  <c r="AF198" i="3"/>
  <c r="V198" i="3"/>
  <c r="U198" i="3"/>
  <c r="D198" i="3"/>
  <c r="G198" i="3"/>
  <c r="H198" i="3" s="1"/>
  <c r="F198" i="3"/>
  <c r="S198" i="3"/>
  <c r="AG197" i="3"/>
  <c r="AH197" i="3"/>
  <c r="AN197" i="3"/>
  <c r="AY195" i="3"/>
  <c r="X197" i="3"/>
  <c r="BM197" i="3"/>
  <c r="AX196" i="3"/>
  <c r="BK193" i="3" l="1"/>
  <c r="BM198" i="3"/>
  <c r="BG194" i="3"/>
  <c r="BH194" i="3" s="1"/>
  <c r="BI194" i="3" s="1"/>
  <c r="AV196" i="3"/>
  <c r="BN198" i="3"/>
  <c r="BA196" i="3"/>
  <c r="BF196" i="3" s="1"/>
  <c r="AX197" i="3"/>
  <c r="AH198" i="3"/>
  <c r="X198" i="3"/>
  <c r="Y198" i="3"/>
  <c r="Z198" i="3" s="1"/>
  <c r="BF195" i="3"/>
  <c r="BJ194" i="3" s="1"/>
  <c r="BK194" i="3" s="1"/>
  <c r="BB195" i="3"/>
  <c r="BQ195" i="3"/>
  <c r="AU197" i="3"/>
  <c r="AT197" i="3"/>
  <c r="AW197" i="3"/>
  <c r="AG198" i="3"/>
  <c r="AY196" i="3"/>
  <c r="AN198" i="3"/>
  <c r="AO198" i="3"/>
  <c r="AQ199" i="3"/>
  <c r="B199" i="3"/>
  <c r="A200" i="3"/>
  <c r="AR199" i="3"/>
  <c r="D199" i="3"/>
  <c r="AM199" i="3"/>
  <c r="C199" i="3"/>
  <c r="AK199" i="3"/>
  <c r="R199" i="3"/>
  <c r="P199" i="3"/>
  <c r="S199" i="3"/>
  <c r="AD199" i="3"/>
  <c r="O199" i="3"/>
  <c r="AF199" i="3"/>
  <c r="M199" i="3"/>
  <c r="AE199" i="3"/>
  <c r="V199" i="3"/>
  <c r="U199" i="3"/>
  <c r="Q199" i="3"/>
  <c r="G199" i="3"/>
  <c r="H199" i="3" s="1"/>
  <c r="F199" i="3"/>
  <c r="T199" i="3"/>
  <c r="BC195" i="3"/>
  <c r="BM199" i="3" l="1"/>
  <c r="BC196" i="3"/>
  <c r="BD196" i="3" s="1"/>
  <c r="AG199" i="3"/>
  <c r="AO199" i="3"/>
  <c r="BN199" i="3"/>
  <c r="AY197" i="3"/>
  <c r="BQ196" i="3"/>
  <c r="AU198" i="3"/>
  <c r="BB196" i="3"/>
  <c r="AT198" i="3"/>
  <c r="AX198" i="3"/>
  <c r="Y199" i="3"/>
  <c r="Z199" i="3" s="1"/>
  <c r="BD195" i="3"/>
  <c r="BG195" i="3"/>
  <c r="BH195" i="3" s="1"/>
  <c r="BI195" i="3" s="1"/>
  <c r="A201" i="3"/>
  <c r="B200" i="3"/>
  <c r="AR200" i="3"/>
  <c r="AQ200" i="3"/>
  <c r="AM200" i="3"/>
  <c r="S200" i="3"/>
  <c r="R200" i="3"/>
  <c r="AK200" i="3"/>
  <c r="Q200" i="3"/>
  <c r="P200" i="3"/>
  <c r="AD200" i="3"/>
  <c r="O200" i="3"/>
  <c r="M200" i="3"/>
  <c r="AE200" i="3"/>
  <c r="U200" i="3"/>
  <c r="AF200" i="3"/>
  <c r="V200" i="3"/>
  <c r="C200" i="3"/>
  <c r="D200" i="3"/>
  <c r="F200" i="3"/>
  <c r="G200" i="3"/>
  <c r="H200" i="3" s="1"/>
  <c r="T200" i="3"/>
  <c r="BA197" i="3"/>
  <c r="AV197" i="3"/>
  <c r="X199" i="3"/>
  <c r="AW198" i="3"/>
  <c r="AH199" i="3"/>
  <c r="AN199" i="3"/>
  <c r="BJ195" i="3"/>
  <c r="BC197" i="3" l="1"/>
  <c r="BD197" i="3" s="1"/>
  <c r="BM200" i="3"/>
  <c r="BG196" i="3"/>
  <c r="BH196" i="3" s="1"/>
  <c r="BI196" i="3" s="1"/>
  <c r="AU199" i="3"/>
  <c r="BK195" i="3"/>
  <c r="AV198" i="3"/>
  <c r="BN200" i="3"/>
  <c r="AO200" i="3"/>
  <c r="AY198" i="3"/>
  <c r="AG200" i="3"/>
  <c r="AW199" i="3"/>
  <c r="Y200" i="3"/>
  <c r="Z200" i="3" s="1"/>
  <c r="BQ197" i="3"/>
  <c r="BF197" i="3"/>
  <c r="BJ196" i="3" s="1"/>
  <c r="BB197" i="3"/>
  <c r="AR201" i="3"/>
  <c r="B201" i="3"/>
  <c r="AQ201" i="3"/>
  <c r="A202" i="3"/>
  <c r="D201" i="3"/>
  <c r="AM201" i="3"/>
  <c r="AK201" i="3"/>
  <c r="S201" i="3"/>
  <c r="Q201" i="3"/>
  <c r="AD201" i="3"/>
  <c r="R201" i="3"/>
  <c r="P201" i="3"/>
  <c r="O201" i="3"/>
  <c r="AE201" i="3"/>
  <c r="M201" i="3"/>
  <c r="V201" i="3"/>
  <c r="U201" i="3"/>
  <c r="AF201" i="3"/>
  <c r="C201" i="3"/>
  <c r="F201" i="3"/>
  <c r="G201" i="3"/>
  <c r="H201" i="3" s="1"/>
  <c r="T201" i="3"/>
  <c r="AX199" i="3"/>
  <c r="AT199" i="3"/>
  <c r="BA198" i="3"/>
  <c r="AH200" i="3"/>
  <c r="AN200" i="3"/>
  <c r="X200" i="3"/>
  <c r="BN201" i="3" l="1"/>
  <c r="BG197" i="3"/>
  <c r="BH197" i="3" s="1"/>
  <c r="BI197" i="3" s="1"/>
  <c r="BK196" i="3"/>
  <c r="AY199" i="3"/>
  <c r="BC198" i="3"/>
  <c r="BD198" i="3" s="1"/>
  <c r="AX200" i="3"/>
  <c r="BM201" i="3"/>
  <c r="AN201" i="3"/>
  <c r="AU200" i="3"/>
  <c r="Y201" i="3"/>
  <c r="Z201" i="3" s="1"/>
  <c r="BQ198" i="3"/>
  <c r="BF198" i="3"/>
  <c r="BJ197" i="3" s="1"/>
  <c r="BK197" i="3" s="1"/>
  <c r="BB198" i="3"/>
  <c r="AV199" i="3"/>
  <c r="BA199" i="3"/>
  <c r="AT200" i="3"/>
  <c r="AG201" i="3"/>
  <c r="AW200" i="3"/>
  <c r="X201" i="3"/>
  <c r="AO201" i="3"/>
  <c r="AR202" i="3"/>
  <c r="B202" i="3"/>
  <c r="AQ202" i="3"/>
  <c r="A203" i="3"/>
  <c r="AM202" i="3"/>
  <c r="R202" i="3"/>
  <c r="D202" i="3"/>
  <c r="AK202" i="3"/>
  <c r="AD202" i="3"/>
  <c r="Q202" i="3"/>
  <c r="P202" i="3"/>
  <c r="M202" i="3"/>
  <c r="AF202" i="3"/>
  <c r="AE202" i="3"/>
  <c r="V202" i="3"/>
  <c r="O202" i="3"/>
  <c r="U202" i="3"/>
  <c r="C202" i="3"/>
  <c r="G202" i="3"/>
  <c r="H202" i="3" s="1"/>
  <c r="F202" i="3"/>
  <c r="S202" i="3"/>
  <c r="T202" i="3"/>
  <c r="AH201" i="3"/>
  <c r="BN202" i="3" l="1"/>
  <c r="BM202" i="3"/>
  <c r="BC199" i="3"/>
  <c r="BD199" i="3" s="1"/>
  <c r="AV200" i="3"/>
  <c r="BG198" i="3"/>
  <c r="BH198" i="3" s="1"/>
  <c r="BI198" i="3" s="1"/>
  <c r="AU201" i="3"/>
  <c r="AY200" i="3"/>
  <c r="AN202" i="3"/>
  <c r="X202" i="3"/>
  <c r="AQ203" i="3"/>
  <c r="B203" i="3"/>
  <c r="A204" i="3"/>
  <c r="AR203" i="3"/>
  <c r="AK203" i="3"/>
  <c r="T203" i="3"/>
  <c r="S203" i="3"/>
  <c r="R203" i="3"/>
  <c r="AM203" i="3"/>
  <c r="Q203" i="3"/>
  <c r="O203" i="3"/>
  <c r="AD203" i="3"/>
  <c r="AE203" i="3"/>
  <c r="AF203" i="3"/>
  <c r="U203" i="3"/>
  <c r="M203" i="3"/>
  <c r="V203" i="3"/>
  <c r="G203" i="3"/>
  <c r="H203" i="3" s="1"/>
  <c r="D203" i="3"/>
  <c r="C203" i="3"/>
  <c r="F203" i="3"/>
  <c r="P203" i="3"/>
  <c r="BB199" i="3"/>
  <c r="BQ199" i="3"/>
  <c r="BF199" i="3"/>
  <c r="BJ198" i="3" s="1"/>
  <c r="AH202" i="3"/>
  <c r="AX201" i="3"/>
  <c r="Y202" i="3"/>
  <c r="Z202" i="3" s="1"/>
  <c r="AG202" i="3"/>
  <c r="AO202" i="3"/>
  <c r="AT201" i="3"/>
  <c r="AW201" i="3"/>
  <c r="BA200" i="3"/>
  <c r="BG199" i="3" l="1"/>
  <c r="BH199" i="3" s="1"/>
  <c r="BI199" i="3" s="1"/>
  <c r="BK198" i="3"/>
  <c r="BC200" i="3"/>
  <c r="BG200" i="3" s="1"/>
  <c r="BH200" i="3" s="1"/>
  <c r="BI200" i="3" s="1"/>
  <c r="AN203" i="3"/>
  <c r="BN203" i="3"/>
  <c r="AT202" i="3"/>
  <c r="AU202" i="3"/>
  <c r="AW202" i="3"/>
  <c r="Y203" i="3"/>
  <c r="Z203" i="3" s="1"/>
  <c r="X203" i="3"/>
  <c r="AY201" i="3"/>
  <c r="BB200" i="3"/>
  <c r="BF200" i="3"/>
  <c r="BJ199" i="3" s="1"/>
  <c r="BK199" i="3" s="1"/>
  <c r="BQ200" i="3"/>
  <c r="AV201" i="3"/>
  <c r="BA201" i="3"/>
  <c r="A205" i="3"/>
  <c r="B204" i="3"/>
  <c r="AR204" i="3"/>
  <c r="AQ204" i="3"/>
  <c r="C204" i="3"/>
  <c r="D204" i="3"/>
  <c r="AK204" i="3"/>
  <c r="AM204" i="3"/>
  <c r="S204" i="3"/>
  <c r="R204" i="3"/>
  <c r="AD204" i="3"/>
  <c r="O204" i="3"/>
  <c r="P204" i="3"/>
  <c r="M204" i="3"/>
  <c r="AF204" i="3"/>
  <c r="AE204" i="3"/>
  <c r="V204" i="3"/>
  <c r="U204" i="3"/>
  <c r="Q204" i="3"/>
  <c r="F204" i="3"/>
  <c r="G204" i="3"/>
  <c r="H204" i="3" s="1"/>
  <c r="T204" i="3"/>
  <c r="BM203" i="3"/>
  <c r="AG203" i="3"/>
  <c r="AO203" i="3"/>
  <c r="AX202" i="3"/>
  <c r="AH203" i="3"/>
  <c r="BD200" i="3" l="1"/>
  <c r="BM204" i="3"/>
  <c r="AN204" i="3"/>
  <c r="AV202" i="3"/>
  <c r="BN204" i="3"/>
  <c r="AY202" i="3"/>
  <c r="AG204" i="3"/>
  <c r="BC201" i="3"/>
  <c r="BG201" i="3" s="1"/>
  <c r="BH201" i="3" s="1"/>
  <c r="BI201" i="3" s="1"/>
  <c r="AX203" i="3"/>
  <c r="Y204" i="3"/>
  <c r="Z204" i="3" s="1"/>
  <c r="BB201" i="3"/>
  <c r="BF201" i="3"/>
  <c r="BJ200" i="3" s="1"/>
  <c r="BK200" i="3" s="1"/>
  <c r="BQ201" i="3"/>
  <c r="AW203" i="3"/>
  <c r="BA202" i="3"/>
  <c r="AR205" i="3"/>
  <c r="B205" i="3"/>
  <c r="AQ205" i="3"/>
  <c r="A206" i="3"/>
  <c r="D205" i="3"/>
  <c r="AK205" i="3"/>
  <c r="AM205" i="3"/>
  <c r="T205" i="3"/>
  <c r="Q205" i="3"/>
  <c r="R205" i="3"/>
  <c r="P205" i="3"/>
  <c r="AD205" i="3"/>
  <c r="O205" i="3"/>
  <c r="AE205" i="3"/>
  <c r="M205" i="3"/>
  <c r="U205" i="3"/>
  <c r="AF205" i="3"/>
  <c r="V205" i="3"/>
  <c r="F205" i="3"/>
  <c r="C205" i="3"/>
  <c r="G205" i="3"/>
  <c r="H205" i="3" s="1"/>
  <c r="S205" i="3"/>
  <c r="AU203" i="3"/>
  <c r="AT203" i="3"/>
  <c r="AH204" i="3"/>
  <c r="AO204" i="3"/>
  <c r="X204" i="3"/>
  <c r="BN205" i="3" l="1"/>
  <c r="BC202" i="3"/>
  <c r="BG202" i="3" s="1"/>
  <c r="BH202" i="3" s="1"/>
  <c r="BI202" i="3" s="1"/>
  <c r="AO205" i="3"/>
  <c r="BD201" i="3"/>
  <c r="AG205" i="3"/>
  <c r="AT204" i="3"/>
  <c r="AY203" i="3"/>
  <c r="X205" i="3"/>
  <c r="AV203" i="3"/>
  <c r="BA203" i="3"/>
  <c r="Y205" i="3"/>
  <c r="Z205" i="3" s="1"/>
  <c r="AH205" i="3"/>
  <c r="AX204" i="3"/>
  <c r="BM205" i="3"/>
  <c r="AN205" i="3"/>
  <c r="AU204" i="3"/>
  <c r="AW204" i="3"/>
  <c r="AR206" i="3"/>
  <c r="B206" i="3"/>
  <c r="AQ206" i="3"/>
  <c r="A207" i="3"/>
  <c r="D206" i="3"/>
  <c r="AM206" i="3"/>
  <c r="S206" i="3"/>
  <c r="C206" i="3"/>
  <c r="AK206" i="3"/>
  <c r="R206" i="3"/>
  <c r="AD206" i="3"/>
  <c r="T206" i="3"/>
  <c r="O206" i="3"/>
  <c r="P206" i="3"/>
  <c r="M206" i="3"/>
  <c r="AE206" i="3"/>
  <c r="AF206" i="3"/>
  <c r="V206" i="3"/>
  <c r="U206" i="3"/>
  <c r="G206" i="3"/>
  <c r="H206" i="3" s="1"/>
  <c r="F206" i="3"/>
  <c r="Q206" i="3"/>
  <c r="BF202" i="3"/>
  <c r="BB202" i="3"/>
  <c r="BQ202" i="3"/>
  <c r="BC203" i="3" l="1"/>
  <c r="BD203" i="3" s="1"/>
  <c r="BD202" i="3"/>
  <c r="BM206" i="3"/>
  <c r="AU205" i="3"/>
  <c r="BN206" i="3"/>
  <c r="AW205" i="3"/>
  <c r="AV204" i="3"/>
  <c r="AX205" i="3"/>
  <c r="AO206" i="3"/>
  <c r="AH206" i="3"/>
  <c r="BJ201" i="3"/>
  <c r="BK201" i="3" s="1"/>
  <c r="AQ207" i="3"/>
  <c r="B207" i="3"/>
  <c r="A208" i="3"/>
  <c r="AR207" i="3"/>
  <c r="AK207" i="3"/>
  <c r="T207" i="3"/>
  <c r="AM207" i="3"/>
  <c r="Q207" i="3"/>
  <c r="R207" i="3"/>
  <c r="AD207" i="3"/>
  <c r="P207" i="3"/>
  <c r="O207" i="3"/>
  <c r="M207" i="3"/>
  <c r="AE207" i="3"/>
  <c r="U207" i="3"/>
  <c r="AF207" i="3"/>
  <c r="V207" i="3"/>
  <c r="D207" i="3"/>
  <c r="C207" i="3"/>
  <c r="G207" i="3"/>
  <c r="H207" i="3" s="1"/>
  <c r="F207" i="3"/>
  <c r="S207" i="3"/>
  <c r="BA204" i="3"/>
  <c r="AY204" i="3"/>
  <c r="AG206" i="3"/>
  <c r="X206" i="3"/>
  <c r="AN206" i="3"/>
  <c r="AT205" i="3"/>
  <c r="Y206" i="3"/>
  <c r="Z206" i="3" s="1"/>
  <c r="BQ203" i="3"/>
  <c r="BF203" i="3"/>
  <c r="BJ202" i="3" s="1"/>
  <c r="BK202" i="3" s="1"/>
  <c r="BB203" i="3"/>
  <c r="BM207" i="3" l="1"/>
  <c r="BN207" i="3"/>
  <c r="BG203" i="3"/>
  <c r="BH203" i="3" s="1"/>
  <c r="BI203" i="3" s="1"/>
  <c r="BC204" i="3"/>
  <c r="BG204" i="3" s="1"/>
  <c r="BH204" i="3" s="1"/>
  <c r="BI204" i="3" s="1"/>
  <c r="AU206" i="3"/>
  <c r="AN207" i="3"/>
  <c r="AY205" i="3"/>
  <c r="AX206" i="3"/>
  <c r="AG207" i="3"/>
  <c r="AW206" i="3"/>
  <c r="X207" i="3"/>
  <c r="AV205" i="3"/>
  <c r="BA205" i="3"/>
  <c r="BF204" i="3"/>
  <c r="BJ203" i="3" s="1"/>
  <c r="BK203" i="3" s="1"/>
  <c r="BQ204" i="3"/>
  <c r="BB204" i="3"/>
  <c r="A209" i="3"/>
  <c r="B208" i="3"/>
  <c r="AR208" i="3"/>
  <c r="AQ208" i="3"/>
  <c r="AM208" i="3"/>
  <c r="T208" i="3"/>
  <c r="AK208" i="3"/>
  <c r="C208" i="3"/>
  <c r="Q208" i="3"/>
  <c r="R208" i="3"/>
  <c r="AD208" i="3"/>
  <c r="P208" i="3"/>
  <c r="S208" i="3"/>
  <c r="O208" i="3"/>
  <c r="M208" i="3"/>
  <c r="AE208" i="3"/>
  <c r="AF208" i="3"/>
  <c r="U208" i="3"/>
  <c r="V208" i="3"/>
  <c r="D208" i="3"/>
  <c r="G208" i="3"/>
  <c r="H208" i="3" s="1"/>
  <c r="F208" i="3"/>
  <c r="AH207" i="3"/>
  <c r="AT206" i="3"/>
  <c r="AO207" i="3"/>
  <c r="Y207" i="3"/>
  <c r="Z207" i="3" s="1"/>
  <c r="BD204" i="3" l="1"/>
  <c r="BM208" i="3"/>
  <c r="AU207" i="3"/>
  <c r="BC205" i="3"/>
  <c r="BD205" i="3" s="1"/>
  <c r="AY206" i="3"/>
  <c r="AO208" i="3"/>
  <c r="BN208" i="3"/>
  <c r="AT207" i="3"/>
  <c r="AW207" i="3"/>
  <c r="AR209" i="3"/>
  <c r="B209" i="3"/>
  <c r="AQ209" i="3"/>
  <c r="A210" i="3"/>
  <c r="D209" i="3"/>
  <c r="C209" i="3"/>
  <c r="R209" i="3"/>
  <c r="AK209" i="3"/>
  <c r="AM209" i="3"/>
  <c r="Q209" i="3"/>
  <c r="S209" i="3"/>
  <c r="AD209" i="3"/>
  <c r="P209" i="3"/>
  <c r="AF209" i="3"/>
  <c r="O209" i="3"/>
  <c r="AE209" i="3"/>
  <c r="M209" i="3"/>
  <c r="V209" i="3"/>
  <c r="U209" i="3"/>
  <c r="G209" i="3"/>
  <c r="H209" i="3" s="1"/>
  <c r="F209" i="3"/>
  <c r="T209" i="3"/>
  <c r="BA206" i="3"/>
  <c r="AV206" i="3"/>
  <c r="Y208" i="3"/>
  <c r="Z208" i="3" s="1"/>
  <c r="AN208" i="3"/>
  <c r="AG208" i="3"/>
  <c r="X208" i="3"/>
  <c r="BQ205" i="3"/>
  <c r="BF205" i="3"/>
  <c r="BJ204" i="3" s="1"/>
  <c r="BK204" i="3" s="1"/>
  <c r="BB205" i="3"/>
  <c r="AX207" i="3"/>
  <c r="AH208" i="3"/>
  <c r="AV207" i="3" l="1"/>
  <c r="BC206" i="3"/>
  <c r="BG206" i="3" s="1"/>
  <c r="BH206" i="3" s="1"/>
  <c r="BI206" i="3" s="1"/>
  <c r="BG205" i="3"/>
  <c r="BH205" i="3" s="1"/>
  <c r="BI205" i="3" s="1"/>
  <c r="AG209" i="3"/>
  <c r="AT208" i="3"/>
  <c r="AO209" i="3"/>
  <c r="BN209" i="3"/>
  <c r="BA207" i="3"/>
  <c r="BB207" i="3" s="1"/>
  <c r="BQ206" i="3"/>
  <c r="BB206" i="3"/>
  <c r="BF206" i="3"/>
  <c r="BJ205" i="3" s="1"/>
  <c r="BK205" i="3" s="1"/>
  <c r="AX208" i="3"/>
  <c r="AY207" i="3"/>
  <c r="AU208" i="3"/>
  <c r="AW208" i="3"/>
  <c r="BM209" i="3"/>
  <c r="AN209" i="3"/>
  <c r="AR210" i="3"/>
  <c r="B210" i="3"/>
  <c r="AQ210" i="3"/>
  <c r="A211" i="3"/>
  <c r="AK210" i="3"/>
  <c r="Q210" i="3"/>
  <c r="AM210" i="3"/>
  <c r="T210" i="3"/>
  <c r="AD210" i="3"/>
  <c r="P210" i="3"/>
  <c r="O210" i="3"/>
  <c r="U210" i="3"/>
  <c r="AE210" i="3"/>
  <c r="M210" i="3"/>
  <c r="AF210" i="3"/>
  <c r="V210" i="3"/>
  <c r="R210" i="3"/>
  <c r="C210" i="3"/>
  <c r="F210" i="3"/>
  <c r="D210" i="3"/>
  <c r="G210" i="3"/>
  <c r="H210" i="3" s="1"/>
  <c r="S210" i="3"/>
  <c r="Y209" i="3"/>
  <c r="Z209" i="3" s="1"/>
  <c r="AH209" i="3"/>
  <c r="X209" i="3"/>
  <c r="BD206" i="3" l="1"/>
  <c r="BC207" i="3"/>
  <c r="BG207" i="3" s="1"/>
  <c r="BH207" i="3" s="1"/>
  <c r="BI207" i="3" s="1"/>
  <c r="AN210" i="3"/>
  <c r="AV208" i="3"/>
  <c r="BN210" i="3"/>
  <c r="BM210" i="3"/>
  <c r="BQ207" i="3"/>
  <c r="BF207" i="3"/>
  <c r="BJ206" i="3" s="1"/>
  <c r="BK206" i="3" s="1"/>
  <c r="AX209" i="3"/>
  <c r="BA208" i="3"/>
  <c r="BQ208" i="3" s="1"/>
  <c r="AY208" i="3"/>
  <c r="AG210" i="3"/>
  <c r="AH210" i="3"/>
  <c r="AO210" i="3"/>
  <c r="AT209" i="3"/>
  <c r="Y210" i="3"/>
  <c r="Z210" i="3" s="1"/>
  <c r="AQ211" i="3"/>
  <c r="B211" i="3"/>
  <c r="A212" i="3"/>
  <c r="AR211" i="3"/>
  <c r="AK211" i="3"/>
  <c r="AM211" i="3"/>
  <c r="C211" i="3"/>
  <c r="R211" i="3"/>
  <c r="Q211" i="3"/>
  <c r="AD211" i="3"/>
  <c r="P211" i="3"/>
  <c r="M211" i="3"/>
  <c r="AF211" i="3"/>
  <c r="U211" i="3"/>
  <c r="O211" i="3"/>
  <c r="AE211" i="3"/>
  <c r="V211" i="3"/>
  <c r="D211" i="3"/>
  <c r="G211" i="3"/>
  <c r="H211" i="3" s="1"/>
  <c r="F211" i="3"/>
  <c r="S211" i="3"/>
  <c r="T211" i="3"/>
  <c r="X210" i="3"/>
  <c r="AW209" i="3"/>
  <c r="AU209" i="3"/>
  <c r="BD207" i="3" l="1"/>
  <c r="BB208" i="3"/>
  <c r="AY209" i="3"/>
  <c r="BC208" i="3"/>
  <c r="BN211" i="3"/>
  <c r="AO211" i="3"/>
  <c r="BM211" i="3"/>
  <c r="AG211" i="3"/>
  <c r="BF208" i="3"/>
  <c r="BJ207" i="3" s="1"/>
  <c r="BK207" i="3" s="1"/>
  <c r="Y211" i="3"/>
  <c r="Z211" i="3" s="1"/>
  <c r="A213" i="3"/>
  <c r="B212" i="3"/>
  <c r="AR212" i="3"/>
  <c r="AQ212" i="3"/>
  <c r="D212" i="3"/>
  <c r="AM212" i="3"/>
  <c r="Q212" i="3"/>
  <c r="R212" i="3"/>
  <c r="C212" i="3"/>
  <c r="AK212" i="3"/>
  <c r="P212" i="3"/>
  <c r="AD212" i="3"/>
  <c r="AF212" i="3"/>
  <c r="U212" i="3"/>
  <c r="O212" i="3"/>
  <c r="AE212" i="3"/>
  <c r="M212" i="3"/>
  <c r="V212" i="3"/>
  <c r="F212" i="3"/>
  <c r="G212" i="3"/>
  <c r="H212" i="3" s="1"/>
  <c r="S212" i="3"/>
  <c r="T212" i="3"/>
  <c r="BA209" i="3"/>
  <c r="AV209" i="3"/>
  <c r="X211" i="3"/>
  <c r="AW210" i="3"/>
  <c r="AU210" i="3"/>
  <c r="AX210" i="3"/>
  <c r="AH211" i="3"/>
  <c r="AN211" i="3"/>
  <c r="AT210" i="3"/>
  <c r="AO212" i="3" l="1"/>
  <c r="BM212" i="3"/>
  <c r="BC209" i="3"/>
  <c r="BG209" i="3" s="1"/>
  <c r="BH209" i="3" s="1"/>
  <c r="BI209" i="3" s="1"/>
  <c r="BG208" i="3"/>
  <c r="BH208" i="3" s="1"/>
  <c r="BI208" i="3" s="1"/>
  <c r="BD208" i="3"/>
  <c r="BN212" i="3"/>
  <c r="AG212" i="3"/>
  <c r="AX211" i="3"/>
  <c r="Y212" i="3"/>
  <c r="Z212" i="3" s="1"/>
  <c r="X212" i="3"/>
  <c r="AV210" i="3"/>
  <c r="BA210" i="3"/>
  <c r="BQ209" i="3"/>
  <c r="BF209" i="3"/>
  <c r="BJ208" i="3" s="1"/>
  <c r="BK208" i="3" s="1"/>
  <c r="BB209" i="3"/>
  <c r="AR213" i="3"/>
  <c r="B213" i="3"/>
  <c r="AQ213" i="3"/>
  <c r="A214" i="3"/>
  <c r="AK213" i="3"/>
  <c r="T213" i="3"/>
  <c r="AM213" i="3"/>
  <c r="S213" i="3"/>
  <c r="R213" i="3"/>
  <c r="AD213" i="3"/>
  <c r="P213" i="3"/>
  <c r="M213" i="3"/>
  <c r="AF213" i="3"/>
  <c r="U213" i="3"/>
  <c r="O213" i="3"/>
  <c r="AE213" i="3"/>
  <c r="V213" i="3"/>
  <c r="Q213" i="3"/>
  <c r="C213" i="3"/>
  <c r="D213" i="3"/>
  <c r="G213" i="3"/>
  <c r="H213" i="3" s="1"/>
  <c r="F213" i="3"/>
  <c r="AT211" i="3"/>
  <c r="AW211" i="3"/>
  <c r="AY210" i="3"/>
  <c r="AU211" i="3"/>
  <c r="AH212" i="3"/>
  <c r="AN212" i="3"/>
  <c r="BD209" i="3" l="1"/>
  <c r="AN213" i="3"/>
  <c r="AT212" i="3"/>
  <c r="BN213" i="3"/>
  <c r="BC210" i="3"/>
  <c r="BG210" i="3" s="1"/>
  <c r="BH210" i="3" s="1"/>
  <c r="BI210" i="3" s="1"/>
  <c r="AY211" i="3"/>
  <c r="AW212" i="3"/>
  <c r="AU212" i="3"/>
  <c r="X213" i="3"/>
  <c r="Y213" i="3"/>
  <c r="Z213" i="3" s="1"/>
  <c r="AR214" i="3"/>
  <c r="B214" i="3"/>
  <c r="AQ214" i="3"/>
  <c r="A215" i="3"/>
  <c r="D214" i="3"/>
  <c r="AM214" i="3"/>
  <c r="AK214" i="3"/>
  <c r="S214" i="3"/>
  <c r="Q214" i="3"/>
  <c r="R214" i="3"/>
  <c r="AD214" i="3"/>
  <c r="P214" i="3"/>
  <c r="O214" i="3"/>
  <c r="AE214" i="3"/>
  <c r="M214" i="3"/>
  <c r="AF214" i="3"/>
  <c r="V214" i="3"/>
  <c r="U214" i="3"/>
  <c r="F214" i="3"/>
  <c r="C214" i="3"/>
  <c r="G214" i="3"/>
  <c r="H214" i="3" s="1"/>
  <c r="T214" i="3"/>
  <c r="AX212" i="3"/>
  <c r="BM213" i="3"/>
  <c r="AG213" i="3"/>
  <c r="AH213" i="3"/>
  <c r="AV211" i="3"/>
  <c r="BA211" i="3"/>
  <c r="BB210" i="3"/>
  <c r="BF210" i="3"/>
  <c r="BJ209" i="3" s="1"/>
  <c r="BK209" i="3" s="1"/>
  <c r="BQ210" i="3"/>
  <c r="AO213" i="3"/>
  <c r="BN214" i="3" l="1"/>
  <c r="BD210" i="3"/>
  <c r="AY212" i="3"/>
  <c r="AO214" i="3"/>
  <c r="AV212" i="3"/>
  <c r="BM214" i="3"/>
  <c r="BC211" i="3"/>
  <c r="BG211" i="3" s="1"/>
  <c r="BH211" i="3" s="1"/>
  <c r="BI211" i="3" s="1"/>
  <c r="AT213" i="3"/>
  <c r="AH214" i="3"/>
  <c r="BA212" i="3"/>
  <c r="BB212" i="3" s="1"/>
  <c r="BB211" i="3"/>
  <c r="BF211" i="3"/>
  <c r="BJ210" i="3" s="1"/>
  <c r="BK210" i="3" s="1"/>
  <c r="BQ211" i="3"/>
  <c r="AQ215" i="3"/>
  <c r="B215" i="3"/>
  <c r="A216" i="3"/>
  <c r="AR215" i="3"/>
  <c r="C215" i="3"/>
  <c r="S215" i="3"/>
  <c r="AK215" i="3"/>
  <c r="AM215" i="3"/>
  <c r="T215" i="3"/>
  <c r="Q215" i="3"/>
  <c r="R215" i="3"/>
  <c r="AD215" i="3"/>
  <c r="P215" i="3"/>
  <c r="M215" i="3"/>
  <c r="AE215" i="3"/>
  <c r="O215" i="3"/>
  <c r="V215" i="3"/>
  <c r="AF215" i="3"/>
  <c r="U215" i="3"/>
  <c r="G215" i="3"/>
  <c r="H215" i="3" s="1"/>
  <c r="D215" i="3"/>
  <c r="F215" i="3"/>
  <c r="AX213" i="3"/>
  <c r="AU213" i="3"/>
  <c r="AW213" i="3"/>
  <c r="Y214" i="3"/>
  <c r="Z214" i="3" s="1"/>
  <c r="X214" i="3"/>
  <c r="AG214" i="3"/>
  <c r="AN214" i="3"/>
  <c r="BC212" i="3" l="1"/>
  <c r="BD212" i="3" s="1"/>
  <c r="BD211" i="3"/>
  <c r="BM215" i="3"/>
  <c r="AO215" i="3"/>
  <c r="BQ212" i="3"/>
  <c r="BF212" i="3"/>
  <c r="BJ211" i="3" s="1"/>
  <c r="BK211" i="3" s="1"/>
  <c r="AT214" i="3"/>
  <c r="AX214" i="3"/>
  <c r="AY213" i="3"/>
  <c r="AG215" i="3"/>
  <c r="BA213" i="3"/>
  <c r="BQ213" i="3" s="1"/>
  <c r="AW214" i="3"/>
  <c r="AU214" i="3"/>
  <c r="BN215" i="3"/>
  <c r="AH215" i="3"/>
  <c r="AN215" i="3"/>
  <c r="AV213" i="3"/>
  <c r="Y215" i="3"/>
  <c r="Z215" i="3" s="1"/>
  <c r="A217" i="3"/>
  <c r="B216" i="3"/>
  <c r="AR216" i="3"/>
  <c r="AQ216" i="3"/>
  <c r="AK216" i="3"/>
  <c r="Q216" i="3"/>
  <c r="AM216" i="3"/>
  <c r="T216" i="3"/>
  <c r="R216" i="3"/>
  <c r="AD216" i="3"/>
  <c r="P216" i="3"/>
  <c r="O216" i="3"/>
  <c r="M216" i="3"/>
  <c r="AE216" i="3"/>
  <c r="V216" i="3"/>
  <c r="AF216" i="3"/>
  <c r="U216" i="3"/>
  <c r="D216" i="3"/>
  <c r="F216" i="3"/>
  <c r="C216" i="3"/>
  <c r="G216" i="3"/>
  <c r="H216" i="3" s="1"/>
  <c r="S216" i="3"/>
  <c r="X215" i="3"/>
  <c r="BC213" i="3" l="1"/>
  <c r="BG213" i="3" s="1"/>
  <c r="BH213" i="3" s="1"/>
  <c r="BI213" i="3" s="1"/>
  <c r="BG212" i="3"/>
  <c r="BH212" i="3" s="1"/>
  <c r="BI212" i="3" s="1"/>
  <c r="AN216" i="3"/>
  <c r="AY214" i="3"/>
  <c r="AV214" i="3"/>
  <c r="AT215" i="3"/>
  <c r="AU215" i="3"/>
  <c r="AW215" i="3"/>
  <c r="AH216" i="3"/>
  <c r="BB213" i="3"/>
  <c r="BF213" i="3"/>
  <c r="BJ212" i="3" s="1"/>
  <c r="X216" i="3"/>
  <c r="Y216" i="3"/>
  <c r="Z216" i="3" s="1"/>
  <c r="BN216" i="3"/>
  <c r="AR217" i="3"/>
  <c r="B217" i="3"/>
  <c r="AQ217" i="3"/>
  <c r="A218" i="3"/>
  <c r="D217" i="3"/>
  <c r="AM217" i="3"/>
  <c r="AK217" i="3"/>
  <c r="T217" i="3"/>
  <c r="P217" i="3"/>
  <c r="Q217" i="3"/>
  <c r="AD217" i="3"/>
  <c r="O217" i="3"/>
  <c r="M217" i="3"/>
  <c r="AE217" i="3"/>
  <c r="AF217" i="3"/>
  <c r="V217" i="3"/>
  <c r="U217" i="3"/>
  <c r="R217" i="3"/>
  <c r="C217" i="3"/>
  <c r="G217" i="3"/>
  <c r="H217" i="3" s="1"/>
  <c r="F217" i="3"/>
  <c r="S217" i="3"/>
  <c r="BM216" i="3"/>
  <c r="AO216" i="3"/>
  <c r="BA214" i="3"/>
  <c r="AX215" i="3"/>
  <c r="AG216" i="3"/>
  <c r="BD213" i="3" l="1"/>
  <c r="BM217" i="3"/>
  <c r="BK212" i="3"/>
  <c r="BC214" i="3"/>
  <c r="BG214" i="3" s="1"/>
  <c r="BH214" i="3" s="1"/>
  <c r="BI214" i="3" s="1"/>
  <c r="AW216" i="3"/>
  <c r="BN217" i="3"/>
  <c r="AV215" i="3"/>
  <c r="BA215" i="3"/>
  <c r="BQ215" i="3" s="1"/>
  <c r="AN217" i="3"/>
  <c r="AG217" i="3"/>
  <c r="X217" i="3"/>
  <c r="BQ214" i="3"/>
  <c r="BB214" i="3"/>
  <c r="BF214" i="3"/>
  <c r="BJ213" i="3" s="1"/>
  <c r="BK213" i="3" s="1"/>
  <c r="Y217" i="3"/>
  <c r="Z217" i="3" s="1"/>
  <c r="AY215" i="3"/>
  <c r="AU216" i="3"/>
  <c r="AT216" i="3"/>
  <c r="AX216" i="3"/>
  <c r="AH217" i="3"/>
  <c r="AO217" i="3"/>
  <c r="AR218" i="3"/>
  <c r="B218" i="3"/>
  <c r="AQ218" i="3"/>
  <c r="A219" i="3"/>
  <c r="D218" i="3"/>
  <c r="C218" i="3"/>
  <c r="AM218" i="3"/>
  <c r="T218" i="3"/>
  <c r="AK218" i="3"/>
  <c r="R218" i="3"/>
  <c r="S218" i="3"/>
  <c r="Q218" i="3"/>
  <c r="P218" i="3"/>
  <c r="AD218" i="3"/>
  <c r="O218" i="3"/>
  <c r="M218" i="3"/>
  <c r="AF218" i="3"/>
  <c r="AE218" i="3"/>
  <c r="U218" i="3"/>
  <c r="V218" i="3"/>
  <c r="G218" i="3"/>
  <c r="H218" i="3" s="1"/>
  <c r="F218" i="3"/>
  <c r="BM218" i="3" s="1"/>
  <c r="BN218" i="3" l="1"/>
  <c r="BF215" i="3"/>
  <c r="BJ214" i="3" s="1"/>
  <c r="BK214" i="3" s="1"/>
  <c r="AO218" i="3"/>
  <c r="AT217" i="3"/>
  <c r="BD214" i="3"/>
  <c r="AY216" i="3"/>
  <c r="AW217" i="3"/>
  <c r="BC215" i="3"/>
  <c r="BD215" i="3" s="1"/>
  <c r="AU217" i="3"/>
  <c r="BB215" i="3"/>
  <c r="AG218" i="3"/>
  <c r="AX217" i="3"/>
  <c r="Y218" i="3"/>
  <c r="Z218" i="3" s="1"/>
  <c r="AH218" i="3"/>
  <c r="AN218" i="3"/>
  <c r="AQ219" i="3"/>
  <c r="B219" i="3"/>
  <c r="A220" i="3"/>
  <c r="AR219" i="3"/>
  <c r="AK219" i="3"/>
  <c r="AM219" i="3"/>
  <c r="R219" i="3"/>
  <c r="AD219" i="3"/>
  <c r="P219" i="3"/>
  <c r="S219" i="3"/>
  <c r="O219" i="3"/>
  <c r="M219" i="3"/>
  <c r="AE219" i="3"/>
  <c r="AF219" i="3"/>
  <c r="V219" i="3"/>
  <c r="U219" i="3"/>
  <c r="Q219" i="3"/>
  <c r="D219" i="3"/>
  <c r="F219" i="3"/>
  <c r="C219" i="3"/>
  <c r="G219" i="3"/>
  <c r="H219" i="3" s="1"/>
  <c r="T219" i="3"/>
  <c r="BA216" i="3"/>
  <c r="AV216" i="3"/>
  <c r="X218" i="3"/>
  <c r="BC216" i="3" l="1"/>
  <c r="BD216" i="3" s="1"/>
  <c r="AV217" i="3"/>
  <c r="AY217" i="3"/>
  <c r="BN219" i="3"/>
  <c r="BM219" i="3"/>
  <c r="BG215" i="3"/>
  <c r="BH215" i="3" s="1"/>
  <c r="BI215" i="3" s="1"/>
  <c r="BA217" i="3"/>
  <c r="BQ217" i="3" s="1"/>
  <c r="AO219" i="3"/>
  <c r="AX218" i="3"/>
  <c r="AG219" i="3"/>
  <c r="A221" i="3"/>
  <c r="B220" i="3"/>
  <c r="AR220" i="3"/>
  <c r="AQ220" i="3"/>
  <c r="AK220" i="3"/>
  <c r="AM220" i="3"/>
  <c r="D220" i="3"/>
  <c r="S220" i="3"/>
  <c r="T220" i="3"/>
  <c r="Q220" i="3"/>
  <c r="AD220" i="3"/>
  <c r="O220" i="3"/>
  <c r="P220" i="3"/>
  <c r="AE220" i="3"/>
  <c r="M220" i="3"/>
  <c r="V220" i="3"/>
  <c r="U220" i="3"/>
  <c r="AF220" i="3"/>
  <c r="R220" i="3"/>
  <c r="F220" i="3"/>
  <c r="C220" i="3"/>
  <c r="G220" i="3"/>
  <c r="H220" i="3" s="1"/>
  <c r="Y219" i="3"/>
  <c r="Z219" i="3" s="1"/>
  <c r="AU218" i="3"/>
  <c r="X219" i="3"/>
  <c r="AH219" i="3"/>
  <c r="AN219" i="3"/>
  <c r="AT218" i="3"/>
  <c r="AW218" i="3"/>
  <c r="BQ216" i="3"/>
  <c r="BF216" i="3"/>
  <c r="BJ215" i="3" s="1"/>
  <c r="BB216" i="3"/>
  <c r="BK215" i="3" l="1"/>
  <c r="BC217" i="3"/>
  <c r="BG217" i="3" s="1"/>
  <c r="BH217" i="3" s="1"/>
  <c r="BI217" i="3" s="1"/>
  <c r="AU219" i="3"/>
  <c r="BB217" i="3"/>
  <c r="BG216" i="3"/>
  <c r="BH216" i="3" s="1"/>
  <c r="BI216" i="3" s="1"/>
  <c r="BN220" i="3"/>
  <c r="BF217" i="3"/>
  <c r="BJ216" i="3" s="1"/>
  <c r="BK216" i="3" s="1"/>
  <c r="BM220" i="3"/>
  <c r="AN220" i="3"/>
  <c r="AT219" i="3"/>
  <c r="AH220" i="3"/>
  <c r="AY218" i="3"/>
  <c r="Y220" i="3"/>
  <c r="Z220" i="3" s="1"/>
  <c r="AR221" i="3"/>
  <c r="B221" i="3"/>
  <c r="AQ221" i="3"/>
  <c r="A222" i="3"/>
  <c r="AM221" i="3"/>
  <c r="D221" i="3"/>
  <c r="AK221" i="3"/>
  <c r="Q221" i="3"/>
  <c r="R221" i="3"/>
  <c r="AD221" i="3"/>
  <c r="P221" i="3"/>
  <c r="M221" i="3"/>
  <c r="O221" i="3"/>
  <c r="V221" i="3"/>
  <c r="AF221" i="3"/>
  <c r="AE221" i="3"/>
  <c r="U221" i="3"/>
  <c r="C221" i="3"/>
  <c r="G221" i="3"/>
  <c r="H221" i="3" s="1"/>
  <c r="F221" i="3"/>
  <c r="S221" i="3"/>
  <c r="T221" i="3"/>
  <c r="AX219" i="3"/>
  <c r="AW219" i="3"/>
  <c r="X220" i="3"/>
  <c r="AO220" i="3"/>
  <c r="AV218" i="3"/>
  <c r="BA218" i="3"/>
  <c r="AG220" i="3"/>
  <c r="AO221" i="3" l="1"/>
  <c r="BM221" i="3"/>
  <c r="AV219" i="3"/>
  <c r="BD217" i="3"/>
  <c r="BC218" i="3"/>
  <c r="BG218" i="3" s="1"/>
  <c r="BH218" i="3" s="1"/>
  <c r="BI218" i="3" s="1"/>
  <c r="BN221" i="3"/>
  <c r="AX220" i="3"/>
  <c r="AU220" i="3"/>
  <c r="X221" i="3"/>
  <c r="AY219" i="3"/>
  <c r="AN221" i="3"/>
  <c r="BF218" i="3"/>
  <c r="BJ217" i="3" s="1"/>
  <c r="BK217" i="3" s="1"/>
  <c r="BQ218" i="3"/>
  <c r="BB218" i="3"/>
  <c r="AR222" i="3"/>
  <c r="B222" i="3"/>
  <c r="AQ222" i="3"/>
  <c r="A223" i="3"/>
  <c r="C222" i="3"/>
  <c r="D222" i="3"/>
  <c r="R222" i="3"/>
  <c r="AK222" i="3"/>
  <c r="AM222" i="3"/>
  <c r="Q222" i="3"/>
  <c r="S222" i="3"/>
  <c r="P222" i="3"/>
  <c r="AD222" i="3"/>
  <c r="O222" i="3"/>
  <c r="M222" i="3"/>
  <c r="AE222" i="3"/>
  <c r="AF222" i="3"/>
  <c r="U222" i="3"/>
  <c r="V222" i="3"/>
  <c r="F222" i="3"/>
  <c r="G222" i="3"/>
  <c r="H222" i="3" s="1"/>
  <c r="T222" i="3"/>
  <c r="AW220" i="3"/>
  <c r="AT220" i="3"/>
  <c r="BA219" i="3"/>
  <c r="Y221" i="3"/>
  <c r="Z221" i="3" s="1"/>
  <c r="AG221" i="3"/>
  <c r="AH221" i="3"/>
  <c r="BD218" i="3" l="1"/>
  <c r="BC219" i="3"/>
  <c r="BD219" i="3" s="1"/>
  <c r="AY220" i="3"/>
  <c r="BM222" i="3"/>
  <c r="AX221" i="3"/>
  <c r="AG222" i="3"/>
  <c r="AO222" i="3"/>
  <c r="Y222" i="3"/>
  <c r="Z222" i="3" s="1"/>
  <c r="AV220" i="3"/>
  <c r="BA220" i="3"/>
  <c r="BQ219" i="3"/>
  <c r="BF219" i="3"/>
  <c r="BJ218" i="3" s="1"/>
  <c r="BK218" i="3" s="1"/>
  <c r="BB219" i="3"/>
  <c r="AW221" i="3"/>
  <c r="BN222" i="3"/>
  <c r="AH222" i="3"/>
  <c r="AN222" i="3"/>
  <c r="X222" i="3"/>
  <c r="AT221" i="3"/>
  <c r="AQ223" i="3"/>
  <c r="B223" i="3"/>
  <c r="A224" i="3"/>
  <c r="AR223" i="3"/>
  <c r="AM223" i="3"/>
  <c r="Q223" i="3"/>
  <c r="AK223" i="3"/>
  <c r="AD223" i="3"/>
  <c r="O223" i="3"/>
  <c r="M223" i="3"/>
  <c r="U223" i="3"/>
  <c r="V223" i="3"/>
  <c r="P223" i="3"/>
  <c r="AF223" i="3"/>
  <c r="AE223" i="3"/>
  <c r="R223" i="3"/>
  <c r="F223" i="3"/>
  <c r="C223" i="3"/>
  <c r="D223" i="3"/>
  <c r="G223" i="3"/>
  <c r="H223" i="3" s="1"/>
  <c r="S223" i="3"/>
  <c r="T223" i="3"/>
  <c r="AU221" i="3"/>
  <c r="AY221" i="3" l="1"/>
  <c r="BG219" i="3"/>
  <c r="BH219" i="3" s="1"/>
  <c r="BI219" i="3" s="1"/>
  <c r="BC220" i="3"/>
  <c r="BG220" i="3" s="1"/>
  <c r="BH220" i="3" s="1"/>
  <c r="BI220" i="3" s="1"/>
  <c r="AO223" i="3"/>
  <c r="BM223" i="3"/>
  <c r="AW222" i="3"/>
  <c r="AG223" i="3"/>
  <c r="AT222" i="3"/>
  <c r="AX222" i="3"/>
  <c r="X223" i="3"/>
  <c r="AV221" i="3"/>
  <c r="BA221" i="3"/>
  <c r="Y223" i="3"/>
  <c r="Z223" i="3" s="1"/>
  <c r="BN223" i="3"/>
  <c r="AH223" i="3"/>
  <c r="AU222" i="3"/>
  <c r="A225" i="3"/>
  <c r="B224" i="3"/>
  <c r="AR224" i="3"/>
  <c r="AQ224" i="3"/>
  <c r="C224" i="3"/>
  <c r="D224" i="3"/>
  <c r="AM224" i="3"/>
  <c r="AK224" i="3"/>
  <c r="S224" i="3"/>
  <c r="R224" i="3"/>
  <c r="AD224" i="3"/>
  <c r="Q224" i="3"/>
  <c r="P224" i="3"/>
  <c r="O224" i="3"/>
  <c r="AF224" i="3"/>
  <c r="U224" i="3"/>
  <c r="V224" i="3"/>
  <c r="M224" i="3"/>
  <c r="AE224" i="3"/>
  <c r="F224" i="3"/>
  <c r="G224" i="3"/>
  <c r="H224" i="3" s="1"/>
  <c r="T224" i="3"/>
  <c r="BB220" i="3"/>
  <c r="BQ220" i="3"/>
  <c r="BF220" i="3"/>
  <c r="AN223" i="3"/>
  <c r="BD220" i="3" l="1"/>
  <c r="BC221" i="3"/>
  <c r="BD221" i="3" s="1"/>
  <c r="AU223" i="3"/>
  <c r="AV222" i="3"/>
  <c r="AG224" i="3"/>
  <c r="BM224" i="3"/>
  <c r="BN224" i="3"/>
  <c r="AY222" i="3"/>
  <c r="AW223" i="3"/>
  <c r="AN224" i="3"/>
  <c r="AT223" i="3"/>
  <c r="BJ219" i="3"/>
  <c r="BK219" i="3" s="1"/>
  <c r="Y224" i="3"/>
  <c r="Z224" i="3" s="1"/>
  <c r="AO224" i="3"/>
  <c r="AX223" i="3"/>
  <c r="BA222" i="3"/>
  <c r="AR225" i="3"/>
  <c r="B225" i="3"/>
  <c r="AQ225" i="3"/>
  <c r="A226" i="3"/>
  <c r="D225" i="3"/>
  <c r="AK225" i="3"/>
  <c r="AM225" i="3"/>
  <c r="Q225" i="3"/>
  <c r="R225" i="3"/>
  <c r="AD225" i="3"/>
  <c r="T225" i="3"/>
  <c r="P225" i="3"/>
  <c r="O225" i="3"/>
  <c r="V225" i="3"/>
  <c r="M225" i="3"/>
  <c r="AF225" i="3"/>
  <c r="AE225" i="3"/>
  <c r="U225" i="3"/>
  <c r="F225" i="3"/>
  <c r="G225" i="3"/>
  <c r="H225" i="3" s="1"/>
  <c r="C225" i="3"/>
  <c r="S225" i="3"/>
  <c r="BB221" i="3"/>
  <c r="BQ221" i="3"/>
  <c r="BF221" i="3"/>
  <c r="BJ220" i="3" s="1"/>
  <c r="BK220" i="3" s="1"/>
  <c r="AH224" i="3"/>
  <c r="X224" i="3"/>
  <c r="AV223" i="3" l="1"/>
  <c r="BG221" i="3"/>
  <c r="BH221" i="3" s="1"/>
  <c r="BI221" i="3" s="1"/>
  <c r="BC222" i="3"/>
  <c r="BD222" i="3" s="1"/>
  <c r="AX224" i="3"/>
  <c r="BN225" i="3"/>
  <c r="BM225" i="3"/>
  <c r="AN225" i="3"/>
  <c r="AY223" i="3"/>
  <c r="AG225" i="3"/>
  <c r="BA223" i="3"/>
  <c r="BQ223" i="3" s="1"/>
  <c r="AR226" i="3"/>
  <c r="B226" i="3"/>
  <c r="AQ226" i="3"/>
  <c r="A227" i="3"/>
  <c r="S226" i="3"/>
  <c r="R226" i="3"/>
  <c r="AK226" i="3"/>
  <c r="AM226" i="3"/>
  <c r="Q226" i="3"/>
  <c r="AD226" i="3"/>
  <c r="P226" i="3"/>
  <c r="O226" i="3"/>
  <c r="M226" i="3"/>
  <c r="AF226" i="3"/>
  <c r="V226" i="3"/>
  <c r="U226" i="3"/>
  <c r="AE226" i="3"/>
  <c r="C226" i="3"/>
  <c r="D226" i="3"/>
  <c r="F226" i="3"/>
  <c r="G226" i="3"/>
  <c r="H226" i="3" s="1"/>
  <c r="T226" i="3"/>
  <c r="BF222" i="3"/>
  <c r="BJ221" i="3" s="1"/>
  <c r="BK221" i="3" s="1"/>
  <c r="BB222" i="3"/>
  <c r="BQ222" i="3"/>
  <c r="AT224" i="3"/>
  <c r="AW224" i="3"/>
  <c r="X225" i="3"/>
  <c r="AH225" i="3"/>
  <c r="AO225" i="3"/>
  <c r="AU224" i="3"/>
  <c r="Y225" i="3"/>
  <c r="Z225" i="3" s="1"/>
  <c r="BC223" i="3" l="1"/>
  <c r="BG223" i="3" s="1"/>
  <c r="BH223" i="3" s="1"/>
  <c r="BI223" i="3" s="1"/>
  <c r="BN226" i="3"/>
  <c r="BG222" i="3"/>
  <c r="BH222" i="3" s="1"/>
  <c r="BI222" i="3" s="1"/>
  <c r="AY224" i="3"/>
  <c r="BM226" i="3"/>
  <c r="AO226" i="3"/>
  <c r="BB223" i="3"/>
  <c r="BF223" i="3"/>
  <c r="BJ222" i="3" s="1"/>
  <c r="BK222" i="3" s="1"/>
  <c r="AX225" i="3"/>
  <c r="AU225" i="3"/>
  <c r="AV224" i="3"/>
  <c r="AG226" i="3"/>
  <c r="AQ227" i="3"/>
  <c r="B227" i="3"/>
  <c r="A228" i="3"/>
  <c r="AR227" i="3"/>
  <c r="D227" i="3"/>
  <c r="C227" i="3"/>
  <c r="AM227" i="3"/>
  <c r="AK227" i="3"/>
  <c r="T227" i="3"/>
  <c r="S227" i="3"/>
  <c r="R227" i="3"/>
  <c r="Q227" i="3"/>
  <c r="AD227" i="3"/>
  <c r="P227" i="3"/>
  <c r="O227" i="3"/>
  <c r="AE227" i="3"/>
  <c r="M227" i="3"/>
  <c r="V227" i="3"/>
  <c r="U227" i="3"/>
  <c r="AF227" i="3"/>
  <c r="G227" i="3"/>
  <c r="H227" i="3" s="1"/>
  <c r="F227" i="3"/>
  <c r="BM227" i="3" s="1"/>
  <c r="AT225" i="3"/>
  <c r="AW225" i="3"/>
  <c r="BA224" i="3"/>
  <c r="Y226" i="3"/>
  <c r="Z226" i="3" s="1"/>
  <c r="X226" i="3"/>
  <c r="AH226" i="3"/>
  <c r="AN226" i="3"/>
  <c r="BD223" i="3" l="1"/>
  <c r="BN227" i="3"/>
  <c r="BC224" i="3"/>
  <c r="BD224" i="3" s="1"/>
  <c r="AX226" i="3"/>
  <c r="AO227" i="3"/>
  <c r="AY225" i="3"/>
  <c r="AV225" i="3"/>
  <c r="AG227" i="3"/>
  <c r="AT226" i="3"/>
  <c r="BQ224" i="3"/>
  <c r="BF224" i="3"/>
  <c r="BJ223" i="3" s="1"/>
  <c r="BK223" i="3" s="1"/>
  <c r="BB224" i="3"/>
  <c r="Y227" i="3"/>
  <c r="Z227" i="3" s="1"/>
  <c r="A229" i="3"/>
  <c r="B228" i="3"/>
  <c r="AR228" i="3"/>
  <c r="AQ228" i="3"/>
  <c r="AK228" i="3"/>
  <c r="T228" i="3"/>
  <c r="AM228" i="3"/>
  <c r="R228" i="3"/>
  <c r="Q228" i="3"/>
  <c r="AD228" i="3"/>
  <c r="P228" i="3"/>
  <c r="O228" i="3"/>
  <c r="M228" i="3"/>
  <c r="AF228" i="3"/>
  <c r="V228" i="3"/>
  <c r="AE228" i="3"/>
  <c r="U228" i="3"/>
  <c r="D228" i="3"/>
  <c r="C228" i="3"/>
  <c r="G228" i="3"/>
  <c r="H228" i="3" s="1"/>
  <c r="F228" i="3"/>
  <c r="S228" i="3"/>
  <c r="AW226" i="3"/>
  <c r="BA225" i="3"/>
  <c r="AH227" i="3"/>
  <c r="AN227" i="3"/>
  <c r="AU226" i="3"/>
  <c r="X227" i="3"/>
  <c r="BM228" i="3" l="1"/>
  <c r="BN228" i="3"/>
  <c r="AN228" i="3"/>
  <c r="AY226" i="3"/>
  <c r="BG224" i="3"/>
  <c r="BH224" i="3" s="1"/>
  <c r="BI224" i="3" s="1"/>
  <c r="AG228" i="3"/>
  <c r="BC225" i="3"/>
  <c r="BD225" i="3" s="1"/>
  <c r="AV226" i="3"/>
  <c r="AX227" i="3"/>
  <c r="AT227" i="3"/>
  <c r="AW227" i="3"/>
  <c r="BB225" i="3"/>
  <c r="BF225" i="3"/>
  <c r="BJ224" i="3" s="1"/>
  <c r="BK224" i="3" s="1"/>
  <c r="BQ225" i="3"/>
  <c r="Y228" i="3"/>
  <c r="Z228" i="3" s="1"/>
  <c r="AU227" i="3"/>
  <c r="AO228" i="3"/>
  <c r="X228" i="3"/>
  <c r="AH228" i="3"/>
  <c r="BA226" i="3"/>
  <c r="AR229" i="3"/>
  <c r="B229" i="3"/>
  <c r="AQ229" i="3"/>
  <c r="A230" i="3"/>
  <c r="C229" i="3"/>
  <c r="AM229" i="3"/>
  <c r="AK229" i="3"/>
  <c r="S229" i="3"/>
  <c r="R229" i="3"/>
  <c r="Q229" i="3"/>
  <c r="AD229" i="3"/>
  <c r="P229" i="3"/>
  <c r="O229" i="3"/>
  <c r="AE229" i="3"/>
  <c r="AF229" i="3"/>
  <c r="M229" i="3"/>
  <c r="V229" i="3"/>
  <c r="U229" i="3"/>
  <c r="D229" i="3"/>
  <c r="F229" i="3"/>
  <c r="G229" i="3"/>
  <c r="H229" i="3" s="1"/>
  <c r="T229" i="3"/>
  <c r="BN229" i="3" l="1"/>
  <c r="BC226" i="3"/>
  <c r="BG226" i="3" s="1"/>
  <c r="BH226" i="3" s="1"/>
  <c r="BI226" i="3" s="1"/>
  <c r="AY227" i="3"/>
  <c r="AT228" i="3"/>
  <c r="AU228" i="3"/>
  <c r="AO229" i="3"/>
  <c r="BG225" i="3"/>
  <c r="BH225" i="3" s="1"/>
  <c r="BI225" i="3" s="1"/>
  <c r="AV227" i="3"/>
  <c r="BA227" i="3"/>
  <c r="BB227" i="3" s="1"/>
  <c r="AW228" i="3"/>
  <c r="AR230" i="3"/>
  <c r="B230" i="3"/>
  <c r="AQ230" i="3"/>
  <c r="A231" i="3"/>
  <c r="AK230" i="3"/>
  <c r="S230" i="3"/>
  <c r="C230" i="3"/>
  <c r="AM230" i="3"/>
  <c r="T230" i="3"/>
  <c r="Q230" i="3"/>
  <c r="AD230" i="3"/>
  <c r="O230" i="3"/>
  <c r="R230" i="3"/>
  <c r="P230" i="3"/>
  <c r="AF230" i="3"/>
  <c r="M230" i="3"/>
  <c r="V230" i="3"/>
  <c r="AE230" i="3"/>
  <c r="U230" i="3"/>
  <c r="F230" i="3"/>
  <c r="D230" i="3"/>
  <c r="G230" i="3"/>
  <c r="H230" i="3" s="1"/>
  <c r="BF226" i="3"/>
  <c r="BJ225" i="3" s="1"/>
  <c r="BK225" i="3" s="1"/>
  <c r="BQ226" i="3"/>
  <c r="BB226" i="3"/>
  <c r="Y229" i="3"/>
  <c r="Z229" i="3" s="1"/>
  <c r="BM229" i="3"/>
  <c r="AG229" i="3"/>
  <c r="AN229" i="3"/>
  <c r="AX228" i="3"/>
  <c r="AH229" i="3"/>
  <c r="X229" i="3"/>
  <c r="BD226" i="3" l="1"/>
  <c r="BC227" i="3"/>
  <c r="BD227" i="3" s="1"/>
  <c r="BQ227" i="3"/>
  <c r="AV228" i="3"/>
  <c r="BA228" i="3"/>
  <c r="BF228" i="3" s="1"/>
  <c r="BF227" i="3"/>
  <c r="BJ226" i="3" s="1"/>
  <c r="BK226" i="3" s="1"/>
  <c r="AO230" i="3"/>
  <c r="AX229" i="3"/>
  <c r="AW229" i="3"/>
  <c r="AH230" i="3"/>
  <c r="X230" i="3"/>
  <c r="AY228" i="3"/>
  <c r="Y230" i="3"/>
  <c r="Z230" i="3" s="1"/>
  <c r="AQ231" i="3"/>
  <c r="B231" i="3"/>
  <c r="A232" i="3"/>
  <c r="AR231" i="3"/>
  <c r="C231" i="3"/>
  <c r="AK231" i="3"/>
  <c r="S231" i="3"/>
  <c r="AM231" i="3"/>
  <c r="R231" i="3"/>
  <c r="Q231" i="3"/>
  <c r="P231" i="3"/>
  <c r="AD231" i="3"/>
  <c r="AE231" i="3"/>
  <c r="M231" i="3"/>
  <c r="O231" i="3"/>
  <c r="AF231" i="3"/>
  <c r="U231" i="3"/>
  <c r="V231" i="3"/>
  <c r="G231" i="3"/>
  <c r="H231" i="3" s="1"/>
  <c r="F231" i="3"/>
  <c r="D231" i="3"/>
  <c r="T231" i="3"/>
  <c r="AT229" i="3"/>
  <c r="AU229" i="3"/>
  <c r="BN230" i="3"/>
  <c r="BM230" i="3"/>
  <c r="AG230" i="3"/>
  <c r="AN230" i="3"/>
  <c r="BG227" i="3" l="1"/>
  <c r="BH227" i="3" s="1"/>
  <c r="BI227" i="3" s="1"/>
  <c r="BC228" i="3"/>
  <c r="BG228" i="3" s="1"/>
  <c r="BH228" i="3" s="1"/>
  <c r="BI228" i="3" s="1"/>
  <c r="AN231" i="3"/>
  <c r="AY229" i="3"/>
  <c r="BB228" i="3"/>
  <c r="BQ228" i="3"/>
  <c r="BM231" i="3"/>
  <c r="AO231" i="3"/>
  <c r="AH231" i="3"/>
  <c r="AT230" i="3"/>
  <c r="Y231" i="3"/>
  <c r="Z231" i="3" s="1"/>
  <c r="AV229" i="3"/>
  <c r="BA229" i="3"/>
  <c r="A233" i="3"/>
  <c r="B232" i="3"/>
  <c r="AR232" i="3"/>
  <c r="AQ232" i="3"/>
  <c r="C232" i="3"/>
  <c r="AK232" i="3"/>
  <c r="AM232" i="3"/>
  <c r="R232" i="3"/>
  <c r="D232" i="3"/>
  <c r="S232" i="3"/>
  <c r="P232" i="3"/>
  <c r="AD232" i="3"/>
  <c r="AE232" i="3"/>
  <c r="M232" i="3"/>
  <c r="O232" i="3"/>
  <c r="AF232" i="3"/>
  <c r="V232" i="3"/>
  <c r="U232" i="3"/>
  <c r="G232" i="3"/>
  <c r="H232" i="3" s="1"/>
  <c r="Q232" i="3"/>
  <c r="F232" i="3"/>
  <c r="BM232" i="3" s="1"/>
  <c r="T232" i="3"/>
  <c r="BJ227" i="3"/>
  <c r="BK227" i="3" s="1"/>
  <c r="AW230" i="3"/>
  <c r="BN231" i="3"/>
  <c r="AG231" i="3"/>
  <c r="X231" i="3"/>
  <c r="AU230" i="3"/>
  <c r="AX230" i="3"/>
  <c r="BN232" i="3" l="1"/>
  <c r="BD228" i="3"/>
  <c r="BC229" i="3"/>
  <c r="BG229" i="3" s="1"/>
  <c r="BH229" i="3" s="1"/>
  <c r="BI229" i="3" s="1"/>
  <c r="AW231" i="3"/>
  <c r="AV230" i="3"/>
  <c r="AO232" i="3"/>
  <c r="AT231" i="3"/>
  <c r="AU231" i="3"/>
  <c r="AH232" i="3"/>
  <c r="AY230" i="3"/>
  <c r="Y232" i="3"/>
  <c r="Z232" i="3" s="1"/>
  <c r="AR233" i="3"/>
  <c r="B233" i="3"/>
  <c r="AQ233" i="3"/>
  <c r="A234" i="3"/>
  <c r="D233" i="3"/>
  <c r="R233" i="3"/>
  <c r="AM233" i="3"/>
  <c r="AK233" i="3"/>
  <c r="AD233" i="3"/>
  <c r="P233" i="3"/>
  <c r="V233" i="3"/>
  <c r="O233" i="3"/>
  <c r="AE233" i="3"/>
  <c r="M233" i="3"/>
  <c r="AF233" i="3"/>
  <c r="U233" i="3"/>
  <c r="F233" i="3"/>
  <c r="Q233" i="3"/>
  <c r="C233" i="3"/>
  <c r="G233" i="3"/>
  <c r="H233" i="3" s="1"/>
  <c r="S233" i="3"/>
  <c r="T233" i="3"/>
  <c r="AX231" i="3"/>
  <c r="AG232" i="3"/>
  <c r="AN232" i="3"/>
  <c r="X232" i="3"/>
  <c r="BA230" i="3"/>
  <c r="BF229" i="3"/>
  <c r="BJ228" i="3" s="1"/>
  <c r="BK228" i="3" s="1"/>
  <c r="BQ229" i="3"/>
  <c r="BB229" i="3"/>
  <c r="BD229" i="3" l="1"/>
  <c r="AT232" i="3"/>
  <c r="BC230" i="3"/>
  <c r="BD230" i="3" s="1"/>
  <c r="AV231" i="3"/>
  <c r="BN233" i="3"/>
  <c r="BA231" i="3"/>
  <c r="BF231" i="3" s="1"/>
  <c r="AU232" i="3"/>
  <c r="AN233" i="3"/>
  <c r="AX232" i="3"/>
  <c r="X233" i="3"/>
  <c r="Y233" i="3"/>
  <c r="Z233" i="3" s="1"/>
  <c r="AY231" i="3"/>
  <c r="AW232" i="3"/>
  <c r="BM233" i="3"/>
  <c r="AG233" i="3"/>
  <c r="AH233" i="3"/>
  <c r="BF230" i="3"/>
  <c r="BJ229" i="3" s="1"/>
  <c r="BK229" i="3" s="1"/>
  <c r="BB230" i="3"/>
  <c r="BQ230" i="3"/>
  <c r="AR234" i="3"/>
  <c r="B234" i="3"/>
  <c r="AQ234" i="3"/>
  <c r="A235" i="3"/>
  <c r="AM234" i="3"/>
  <c r="R234" i="3"/>
  <c r="AK234" i="3"/>
  <c r="AD234" i="3"/>
  <c r="P234" i="3"/>
  <c r="AE234" i="3"/>
  <c r="AF234" i="3"/>
  <c r="V234" i="3"/>
  <c r="O234" i="3"/>
  <c r="M234" i="3"/>
  <c r="U234" i="3"/>
  <c r="D234" i="3"/>
  <c r="F234" i="3"/>
  <c r="Q234" i="3"/>
  <c r="C234" i="3"/>
  <c r="G234" i="3"/>
  <c r="H234" i="3" s="1"/>
  <c r="T234" i="3"/>
  <c r="S234" i="3"/>
  <c r="AO233" i="3"/>
  <c r="BN234" i="3" l="1"/>
  <c r="AV232" i="3"/>
  <c r="AO234" i="3"/>
  <c r="BG230" i="3"/>
  <c r="BH230" i="3" s="1"/>
  <c r="BI230" i="3" s="1"/>
  <c r="BC231" i="3"/>
  <c r="BD231" i="3" s="1"/>
  <c r="BM234" i="3"/>
  <c r="BB231" i="3"/>
  <c r="BQ231" i="3"/>
  <c r="AU233" i="3"/>
  <c r="AY232" i="3"/>
  <c r="BA232" i="3"/>
  <c r="BQ232" i="3" s="1"/>
  <c r="AT233" i="3"/>
  <c r="Y234" i="3"/>
  <c r="Z234" i="3" s="1"/>
  <c r="AQ235" i="3"/>
  <c r="B235" i="3"/>
  <c r="A236" i="3"/>
  <c r="AR235" i="3"/>
  <c r="D235" i="3"/>
  <c r="AM235" i="3"/>
  <c r="R235" i="3"/>
  <c r="C235" i="3"/>
  <c r="AK235" i="3"/>
  <c r="Q235" i="3"/>
  <c r="AD235" i="3"/>
  <c r="AE235" i="3"/>
  <c r="U235" i="3"/>
  <c r="O235" i="3"/>
  <c r="M235" i="3"/>
  <c r="AF235" i="3"/>
  <c r="V235" i="3"/>
  <c r="F235" i="3"/>
  <c r="G235" i="3"/>
  <c r="H235" i="3" s="1"/>
  <c r="T235" i="3"/>
  <c r="S235" i="3"/>
  <c r="P235" i="3"/>
  <c r="X234" i="3"/>
  <c r="AG234" i="3"/>
  <c r="AH234" i="3"/>
  <c r="AX233" i="3"/>
  <c r="BJ230" i="3"/>
  <c r="BK230" i="3" s="1"/>
  <c r="AN234" i="3"/>
  <c r="AW233" i="3"/>
  <c r="BC232" i="3" l="1"/>
  <c r="BG232" i="3" s="1"/>
  <c r="BH232" i="3" s="1"/>
  <c r="BI232" i="3" s="1"/>
  <c r="BN235" i="3"/>
  <c r="BM235" i="3"/>
  <c r="BB232" i="3"/>
  <c r="BG231" i="3"/>
  <c r="BH231" i="3" s="1"/>
  <c r="BI231" i="3" s="1"/>
  <c r="AN235" i="3"/>
  <c r="AV233" i="3"/>
  <c r="BF232" i="3"/>
  <c r="BJ231" i="3" s="1"/>
  <c r="AY233" i="3"/>
  <c r="AT234" i="3"/>
  <c r="AU234" i="3"/>
  <c r="Y235" i="3"/>
  <c r="Z235" i="3" s="1"/>
  <c r="A237" i="3"/>
  <c r="B236" i="3"/>
  <c r="AR236" i="3"/>
  <c r="AQ236" i="3"/>
  <c r="AM236" i="3"/>
  <c r="R236" i="3"/>
  <c r="AK236" i="3"/>
  <c r="Q236" i="3"/>
  <c r="AD236" i="3"/>
  <c r="O236" i="3"/>
  <c r="U236" i="3"/>
  <c r="P236" i="3"/>
  <c r="M236" i="3"/>
  <c r="AE236" i="3"/>
  <c r="AF236" i="3"/>
  <c r="V236" i="3"/>
  <c r="C236" i="3"/>
  <c r="G236" i="3"/>
  <c r="H236" i="3" s="1"/>
  <c r="D236" i="3"/>
  <c r="F236" i="3"/>
  <c r="S236" i="3"/>
  <c r="T236" i="3"/>
  <c r="BA233" i="3"/>
  <c r="AW234" i="3"/>
  <c r="X235" i="3"/>
  <c r="AH235" i="3"/>
  <c r="AO235" i="3"/>
  <c r="AX234" i="3"/>
  <c r="AG235" i="3"/>
  <c r="BD232" i="3" l="1"/>
  <c r="BK231" i="3"/>
  <c r="AO236" i="3"/>
  <c r="BC233" i="3"/>
  <c r="BG233" i="3" s="1"/>
  <c r="BH233" i="3" s="1"/>
  <c r="BI233" i="3" s="1"/>
  <c r="Y236" i="3"/>
  <c r="Z236" i="3" s="1"/>
  <c r="BM236" i="3"/>
  <c r="BN236" i="3"/>
  <c r="AV234" i="3"/>
  <c r="AW235" i="3"/>
  <c r="AU235" i="3"/>
  <c r="AT235" i="3"/>
  <c r="BA234" i="3"/>
  <c r="BB234" i="3" s="1"/>
  <c r="BF233" i="3"/>
  <c r="BJ232" i="3" s="1"/>
  <c r="BK232" i="3" s="1"/>
  <c r="BB233" i="3"/>
  <c r="BQ233" i="3"/>
  <c r="AR237" i="3"/>
  <c r="B237" i="3"/>
  <c r="AQ237" i="3"/>
  <c r="A238" i="3"/>
  <c r="C237" i="3"/>
  <c r="AK237" i="3"/>
  <c r="S237" i="3"/>
  <c r="T237" i="3"/>
  <c r="AM237" i="3"/>
  <c r="Q237" i="3"/>
  <c r="AD237" i="3"/>
  <c r="P237" i="3"/>
  <c r="R237" i="3"/>
  <c r="AE237" i="3"/>
  <c r="AF237" i="3"/>
  <c r="U237" i="3"/>
  <c r="O237" i="3"/>
  <c r="M237" i="3"/>
  <c r="V237" i="3"/>
  <c r="D237" i="3"/>
  <c r="G237" i="3"/>
  <c r="H237" i="3" s="1"/>
  <c r="F237" i="3"/>
  <c r="X236" i="3"/>
  <c r="AH236" i="3"/>
  <c r="AN236" i="3"/>
  <c r="AX235" i="3"/>
  <c r="AY234" i="3"/>
  <c r="AG236" i="3"/>
  <c r="BC234" i="3" l="1"/>
  <c r="BG234" i="3" s="1"/>
  <c r="BH234" i="3" s="1"/>
  <c r="BI234" i="3" s="1"/>
  <c r="BD233" i="3"/>
  <c r="BM237" i="3"/>
  <c r="AV235" i="3"/>
  <c r="AG237" i="3"/>
  <c r="AO237" i="3"/>
  <c r="BA235" i="3"/>
  <c r="BQ235" i="3" s="1"/>
  <c r="AU236" i="3"/>
  <c r="BQ234" i="3"/>
  <c r="BF234" i="3"/>
  <c r="BJ233" i="3" s="1"/>
  <c r="BK233" i="3" s="1"/>
  <c r="Y237" i="3"/>
  <c r="Z237" i="3" s="1"/>
  <c r="AX236" i="3"/>
  <c r="BN237" i="3"/>
  <c r="AH237" i="3"/>
  <c r="AN237" i="3"/>
  <c r="X237" i="3"/>
  <c r="AY235" i="3"/>
  <c r="AT236" i="3"/>
  <c r="AW236" i="3"/>
  <c r="AR238" i="3"/>
  <c r="B238" i="3"/>
  <c r="AQ238" i="3"/>
  <c r="A239" i="3"/>
  <c r="C238" i="3"/>
  <c r="D238" i="3"/>
  <c r="T238" i="3"/>
  <c r="AK238" i="3"/>
  <c r="AM238" i="3"/>
  <c r="R238" i="3"/>
  <c r="S238" i="3"/>
  <c r="AD238" i="3"/>
  <c r="P238" i="3"/>
  <c r="O238" i="3"/>
  <c r="M238" i="3"/>
  <c r="V238" i="3"/>
  <c r="AE238" i="3"/>
  <c r="AF238" i="3"/>
  <c r="U238" i="3"/>
  <c r="Q238" i="3"/>
  <c r="G238" i="3"/>
  <c r="H238" i="3" s="1"/>
  <c r="F238" i="3"/>
  <c r="BD234" i="3" l="1"/>
  <c r="BB235" i="3"/>
  <c r="AU237" i="3"/>
  <c r="BC235" i="3"/>
  <c r="BD235" i="3" s="1"/>
  <c r="BN238" i="3"/>
  <c r="AT237" i="3"/>
  <c r="AN238" i="3"/>
  <c r="BF235" i="3"/>
  <c r="BJ234" i="3" s="1"/>
  <c r="BK234" i="3" s="1"/>
  <c r="AY236" i="3"/>
  <c r="AG238" i="3"/>
  <c r="AW237" i="3"/>
  <c r="Y238" i="3"/>
  <c r="Z238" i="3" s="1"/>
  <c r="AQ239" i="3"/>
  <c r="B239" i="3"/>
  <c r="A240" i="3"/>
  <c r="AR239" i="3"/>
  <c r="AM239" i="3"/>
  <c r="AK239" i="3"/>
  <c r="R239" i="3"/>
  <c r="T239" i="3"/>
  <c r="Q239" i="3"/>
  <c r="AD239" i="3"/>
  <c r="P239" i="3"/>
  <c r="M239" i="3"/>
  <c r="O239" i="3"/>
  <c r="AE239" i="3"/>
  <c r="AF239" i="3"/>
  <c r="U239" i="3"/>
  <c r="V239" i="3"/>
  <c r="G239" i="3"/>
  <c r="H239" i="3" s="1"/>
  <c r="D239" i="3"/>
  <c r="C239" i="3"/>
  <c r="F239" i="3"/>
  <c r="S239" i="3"/>
  <c r="X238" i="3"/>
  <c r="BM238" i="3"/>
  <c r="AH238" i="3"/>
  <c r="AO238" i="3"/>
  <c r="AX237" i="3"/>
  <c r="BA236" i="3"/>
  <c r="AV236" i="3"/>
  <c r="BG235" i="3" l="1"/>
  <c r="BH235" i="3" s="1"/>
  <c r="BI235" i="3" s="1"/>
  <c r="BC236" i="3"/>
  <c r="BG236" i="3" s="1"/>
  <c r="BH236" i="3" s="1"/>
  <c r="BI236" i="3" s="1"/>
  <c r="AY237" i="3"/>
  <c r="AV237" i="3"/>
  <c r="BM239" i="3"/>
  <c r="AN239" i="3"/>
  <c r="AX238" i="3"/>
  <c r="Y239" i="3"/>
  <c r="Z239" i="3" s="1"/>
  <c r="BB236" i="3"/>
  <c r="BF236" i="3"/>
  <c r="BJ235" i="3" s="1"/>
  <c r="BQ236" i="3"/>
  <c r="AU238" i="3"/>
  <c r="AW238" i="3"/>
  <c r="BA237" i="3"/>
  <c r="AT238" i="3"/>
  <c r="X239" i="3"/>
  <c r="BN239" i="3"/>
  <c r="AG239" i="3"/>
  <c r="AH239" i="3"/>
  <c r="AO239" i="3"/>
  <c r="A241" i="3"/>
  <c r="B240" i="3"/>
  <c r="AR240" i="3"/>
  <c r="AQ240" i="3"/>
  <c r="D240" i="3"/>
  <c r="AM240" i="3"/>
  <c r="AK240" i="3"/>
  <c r="S240" i="3"/>
  <c r="Q240" i="3"/>
  <c r="T240" i="3"/>
  <c r="O240" i="3"/>
  <c r="P240" i="3"/>
  <c r="R240" i="3"/>
  <c r="AD240" i="3"/>
  <c r="M240" i="3"/>
  <c r="AE240" i="3"/>
  <c r="AF240" i="3"/>
  <c r="V240" i="3"/>
  <c r="U240" i="3"/>
  <c r="C240" i="3"/>
  <c r="F240" i="3"/>
  <c r="G240" i="3"/>
  <c r="H240" i="3" s="1"/>
  <c r="BK235" i="3" l="1"/>
  <c r="BD236" i="3"/>
  <c r="AY238" i="3"/>
  <c r="BC237" i="3"/>
  <c r="BD237" i="3" s="1"/>
  <c r="BN240" i="3"/>
  <c r="AG240" i="3"/>
  <c r="AN240" i="3"/>
  <c r="AX239" i="3"/>
  <c r="X240" i="3"/>
  <c r="Y240" i="3"/>
  <c r="Z240" i="3" s="1"/>
  <c r="AR241" i="3"/>
  <c r="B241" i="3"/>
  <c r="AQ241" i="3"/>
  <c r="A242" i="3"/>
  <c r="AK241" i="3"/>
  <c r="R241" i="3"/>
  <c r="C241" i="3"/>
  <c r="AM241" i="3"/>
  <c r="Q241" i="3"/>
  <c r="AD241" i="3"/>
  <c r="O241" i="3"/>
  <c r="M241" i="3"/>
  <c r="U241" i="3"/>
  <c r="P241" i="3"/>
  <c r="AF241" i="3"/>
  <c r="AE241" i="3"/>
  <c r="V241" i="3"/>
  <c r="D241" i="3"/>
  <c r="G241" i="3"/>
  <c r="H241" i="3" s="1"/>
  <c r="F241" i="3"/>
  <c r="S241" i="3"/>
  <c r="T241" i="3"/>
  <c r="AU239" i="3"/>
  <c r="AW239" i="3"/>
  <c r="BA238" i="3"/>
  <c r="AV238" i="3"/>
  <c r="AH240" i="3"/>
  <c r="AT239" i="3"/>
  <c r="BM240" i="3"/>
  <c r="AO240" i="3"/>
  <c r="BB237" i="3"/>
  <c r="BQ237" i="3"/>
  <c r="BF237" i="3"/>
  <c r="BJ236" i="3" s="1"/>
  <c r="BK236" i="3" s="1"/>
  <c r="AY239" i="3" l="1"/>
  <c r="BG237" i="3"/>
  <c r="BH237" i="3" s="1"/>
  <c r="BI237" i="3" s="1"/>
  <c r="BC238" i="3"/>
  <c r="BD238" i="3" s="1"/>
  <c r="AN241" i="3"/>
  <c r="BM241" i="3"/>
  <c r="AU240" i="3"/>
  <c r="AG241" i="3"/>
  <c r="AW240" i="3"/>
  <c r="AT240" i="3"/>
  <c r="Y241" i="3"/>
  <c r="Z241" i="3" s="1"/>
  <c r="BA239" i="3"/>
  <c r="AV239" i="3"/>
  <c r="BB238" i="3"/>
  <c r="BQ238" i="3"/>
  <c r="BF238" i="3"/>
  <c r="BJ237" i="3" s="1"/>
  <c r="AX240" i="3"/>
  <c r="X241" i="3"/>
  <c r="BN241" i="3"/>
  <c r="AO241" i="3"/>
  <c r="AR242" i="3"/>
  <c r="B242" i="3"/>
  <c r="AQ242" i="3"/>
  <c r="A243" i="3"/>
  <c r="C242" i="3"/>
  <c r="D242" i="3"/>
  <c r="AM242" i="3"/>
  <c r="T242" i="3"/>
  <c r="S242" i="3"/>
  <c r="Q242" i="3"/>
  <c r="AK242" i="3"/>
  <c r="AD242" i="3"/>
  <c r="P242" i="3"/>
  <c r="AE242" i="3"/>
  <c r="O242" i="3"/>
  <c r="M242" i="3"/>
  <c r="AF242" i="3"/>
  <c r="U242" i="3"/>
  <c r="V242" i="3"/>
  <c r="G242" i="3"/>
  <c r="H242" i="3" s="1"/>
  <c r="F242" i="3"/>
  <c r="BM242" i="3" s="1"/>
  <c r="R242" i="3"/>
  <c r="AH241" i="3"/>
  <c r="BN242" i="3" l="1"/>
  <c r="AY240" i="3"/>
  <c r="BC239" i="3"/>
  <c r="BG239" i="3" s="1"/>
  <c r="BH239" i="3" s="1"/>
  <c r="BI239" i="3" s="1"/>
  <c r="BK237" i="3"/>
  <c r="AO242" i="3"/>
  <c r="BG238" i="3"/>
  <c r="BH238" i="3" s="1"/>
  <c r="BI238" i="3" s="1"/>
  <c r="AX241" i="3"/>
  <c r="AV240" i="3"/>
  <c r="AG242" i="3"/>
  <c r="AW241" i="3"/>
  <c r="BA240" i="3"/>
  <c r="BQ240" i="3" s="1"/>
  <c r="BB239" i="3"/>
  <c r="BF239" i="3"/>
  <c r="BJ238" i="3" s="1"/>
  <c r="BQ239" i="3"/>
  <c r="AN242" i="3"/>
  <c r="X242" i="3"/>
  <c r="AU241" i="3"/>
  <c r="Y242" i="3"/>
  <c r="Z242" i="3" s="1"/>
  <c r="AQ243" i="3"/>
  <c r="B243" i="3"/>
  <c r="A244" i="3"/>
  <c r="AR243" i="3"/>
  <c r="D243" i="3"/>
  <c r="AM243" i="3"/>
  <c r="AK243" i="3"/>
  <c r="S243" i="3"/>
  <c r="Q243" i="3"/>
  <c r="R243" i="3"/>
  <c r="AD243" i="3"/>
  <c r="P243" i="3"/>
  <c r="O243" i="3"/>
  <c r="U243" i="3"/>
  <c r="M243" i="3"/>
  <c r="AE243" i="3"/>
  <c r="AF243" i="3"/>
  <c r="V243" i="3"/>
  <c r="C243" i="3"/>
  <c r="G243" i="3"/>
  <c r="H243" i="3" s="1"/>
  <c r="F243" i="3"/>
  <c r="T243" i="3"/>
  <c r="AH242" i="3"/>
  <c r="AT241" i="3"/>
  <c r="BM243" i="3" l="1"/>
  <c r="BD239" i="3"/>
  <c r="BC240" i="3"/>
  <c r="BG240" i="3" s="1"/>
  <c r="BH240" i="3" s="1"/>
  <c r="BI240" i="3" s="1"/>
  <c r="BK238" i="3"/>
  <c r="AY241" i="3"/>
  <c r="AV241" i="3"/>
  <c r="BB240" i="3"/>
  <c r="BN243" i="3"/>
  <c r="Y243" i="3"/>
  <c r="Z243" i="3" s="1"/>
  <c r="BF240" i="3"/>
  <c r="BJ239" i="3" s="1"/>
  <c r="BK239" i="3" s="1"/>
  <c r="AO243" i="3"/>
  <c r="AX242" i="3"/>
  <c r="AH243" i="3"/>
  <c r="AG243" i="3"/>
  <c r="AN243" i="3"/>
  <c r="BA241" i="3"/>
  <c r="AU242" i="3"/>
  <c r="A245" i="3"/>
  <c r="B244" i="3"/>
  <c r="AR244" i="3"/>
  <c r="AQ244" i="3"/>
  <c r="D244" i="3"/>
  <c r="R244" i="3"/>
  <c r="AM244" i="3"/>
  <c r="AK244" i="3"/>
  <c r="Q244" i="3"/>
  <c r="S244" i="3"/>
  <c r="P244" i="3"/>
  <c r="AD244" i="3"/>
  <c r="AE244" i="3"/>
  <c r="M244" i="3"/>
  <c r="O244" i="3"/>
  <c r="AF244" i="3"/>
  <c r="V244" i="3"/>
  <c r="U244" i="3"/>
  <c r="C244" i="3"/>
  <c r="F244" i="3"/>
  <c r="G244" i="3"/>
  <c r="H244" i="3" s="1"/>
  <c r="BN244" i="3" s="1"/>
  <c r="T244" i="3"/>
  <c r="X243" i="3"/>
  <c r="AT242" i="3"/>
  <c r="AW242" i="3"/>
  <c r="AY242" i="3" l="1"/>
  <c r="BD240" i="3"/>
  <c r="BC241" i="3"/>
  <c r="BD241" i="3" s="1"/>
  <c r="AG244" i="3"/>
  <c r="AN244" i="3"/>
  <c r="AX243" i="3"/>
  <c r="AT243" i="3"/>
  <c r="X244" i="3"/>
  <c r="AU243" i="3"/>
  <c r="AW243" i="3"/>
  <c r="BA242" i="3"/>
  <c r="Y244" i="3"/>
  <c r="Z244" i="3" s="1"/>
  <c r="BM244" i="3"/>
  <c r="AH244" i="3"/>
  <c r="AO244" i="3"/>
  <c r="AV242" i="3"/>
  <c r="AR245" i="3"/>
  <c r="B245" i="3"/>
  <c r="AQ245" i="3"/>
  <c r="A246" i="3"/>
  <c r="C245" i="3"/>
  <c r="AK245" i="3"/>
  <c r="D245" i="3"/>
  <c r="AM245" i="3"/>
  <c r="T245" i="3"/>
  <c r="Q245" i="3"/>
  <c r="R245" i="3"/>
  <c r="AD245" i="3"/>
  <c r="P245" i="3"/>
  <c r="O245" i="3"/>
  <c r="AE245" i="3"/>
  <c r="M245" i="3"/>
  <c r="U245" i="3"/>
  <c r="AF245" i="3"/>
  <c r="V245" i="3"/>
  <c r="G245" i="3"/>
  <c r="H245" i="3" s="1"/>
  <c r="F245" i="3"/>
  <c r="S245" i="3"/>
  <c r="BF241" i="3"/>
  <c r="BJ240" i="3" s="1"/>
  <c r="BK240" i="3" s="1"/>
  <c r="BB241" i="3"/>
  <c r="BQ241" i="3"/>
  <c r="BM245" i="3" l="1"/>
  <c r="BC242" i="3"/>
  <c r="BG242" i="3" s="1"/>
  <c r="BH242" i="3" s="1"/>
  <c r="BI242" i="3" s="1"/>
  <c r="AN245" i="3"/>
  <c r="BG241" i="3"/>
  <c r="BH241" i="3" s="1"/>
  <c r="BI241" i="3" s="1"/>
  <c r="AY243" i="3"/>
  <c r="AV243" i="3"/>
  <c r="BN245" i="3"/>
  <c r="AX244" i="3"/>
  <c r="AG245" i="3"/>
  <c r="AU244" i="3"/>
  <c r="AT244" i="3"/>
  <c r="AR246" i="3"/>
  <c r="B246" i="3"/>
  <c r="AQ246" i="3"/>
  <c r="A247" i="3"/>
  <c r="C246" i="3"/>
  <c r="AK246" i="3"/>
  <c r="AM246" i="3"/>
  <c r="S246" i="3"/>
  <c r="R246" i="3"/>
  <c r="AD246" i="3"/>
  <c r="Q246" i="3"/>
  <c r="O246" i="3"/>
  <c r="AE246" i="3"/>
  <c r="M246" i="3"/>
  <c r="AF246" i="3"/>
  <c r="P246" i="3"/>
  <c r="V246" i="3"/>
  <c r="U246" i="3"/>
  <c r="D246" i="3"/>
  <c r="F246" i="3"/>
  <c r="G246" i="3"/>
  <c r="H246" i="3" s="1"/>
  <c r="T246" i="3"/>
  <c r="BQ242" i="3"/>
  <c r="BB242" i="3"/>
  <c r="BF242" i="3"/>
  <c r="BJ241" i="3" s="1"/>
  <c r="BK241" i="3" s="1"/>
  <c r="X245" i="3"/>
  <c r="AH245" i="3"/>
  <c r="AO245" i="3"/>
  <c r="AW244" i="3"/>
  <c r="Y245" i="3"/>
  <c r="Z245" i="3" s="1"/>
  <c r="BA243" i="3"/>
  <c r="BD242" i="3" l="1"/>
  <c r="BN246" i="3"/>
  <c r="AU245" i="3"/>
  <c r="BC243" i="3"/>
  <c r="BD243" i="3" s="1"/>
  <c r="BM246" i="3"/>
  <c r="AY244" i="3"/>
  <c r="AV244" i="3"/>
  <c r="AW245" i="3"/>
  <c r="AT245" i="3"/>
  <c r="AO246" i="3"/>
  <c r="Y246" i="3"/>
  <c r="Z246" i="3" s="1"/>
  <c r="BF243" i="3"/>
  <c r="BQ243" i="3"/>
  <c r="BB243" i="3"/>
  <c r="AX245" i="3"/>
  <c r="AH246" i="3"/>
  <c r="AG246" i="3"/>
  <c r="AN246" i="3"/>
  <c r="X246" i="3"/>
  <c r="BA244" i="3"/>
  <c r="AQ247" i="3"/>
  <c r="B247" i="3"/>
  <c r="A248" i="3"/>
  <c r="AR247" i="3"/>
  <c r="AK247" i="3"/>
  <c r="AM247" i="3"/>
  <c r="T247" i="3"/>
  <c r="S247" i="3"/>
  <c r="R247" i="3"/>
  <c r="AD247" i="3"/>
  <c r="P247" i="3"/>
  <c r="O247" i="3"/>
  <c r="M247" i="3"/>
  <c r="AF247" i="3"/>
  <c r="AE247" i="3"/>
  <c r="V247" i="3"/>
  <c r="U247" i="3"/>
  <c r="Q247" i="3"/>
  <c r="G247" i="3"/>
  <c r="H247" i="3" s="1"/>
  <c r="D247" i="3"/>
  <c r="C247" i="3"/>
  <c r="F247" i="3"/>
  <c r="AV245" i="3" l="1"/>
  <c r="BG243" i="3"/>
  <c r="BH243" i="3" s="1"/>
  <c r="BI243" i="3" s="1"/>
  <c r="BC244" i="3"/>
  <c r="BG244" i="3" s="1"/>
  <c r="BH244" i="3" s="1"/>
  <c r="BI244" i="3" s="1"/>
  <c r="BM247" i="3"/>
  <c r="BA245" i="3"/>
  <c r="BQ245" i="3" s="1"/>
  <c r="AU246" i="3"/>
  <c r="AT246" i="3"/>
  <c r="AN247" i="3"/>
  <c r="AY245" i="3"/>
  <c r="BF244" i="3"/>
  <c r="BJ243" i="3" s="1"/>
  <c r="BK243" i="3" s="1"/>
  <c r="BQ244" i="3"/>
  <c r="BB244" i="3"/>
  <c r="A249" i="3"/>
  <c r="B248" i="3"/>
  <c r="AR248" i="3"/>
  <c r="AQ248" i="3"/>
  <c r="D248" i="3"/>
  <c r="AK248" i="3"/>
  <c r="T248" i="3"/>
  <c r="Q248" i="3"/>
  <c r="AM248" i="3"/>
  <c r="S248" i="3"/>
  <c r="R248" i="3"/>
  <c r="AD248" i="3"/>
  <c r="P248" i="3"/>
  <c r="O248" i="3"/>
  <c r="AF248" i="3"/>
  <c r="AE248" i="3"/>
  <c r="U248" i="3"/>
  <c r="V248" i="3"/>
  <c r="M248" i="3"/>
  <c r="C248" i="3"/>
  <c r="G248" i="3"/>
  <c r="H248" i="3" s="1"/>
  <c r="F248" i="3"/>
  <c r="BJ242" i="3"/>
  <c r="BK242" i="3" s="1"/>
  <c r="X247" i="3"/>
  <c r="BN247" i="3"/>
  <c r="AG247" i="3"/>
  <c r="AO247" i="3"/>
  <c r="AW246" i="3"/>
  <c r="Y247" i="3"/>
  <c r="Z247" i="3" s="1"/>
  <c r="AH247" i="3"/>
  <c r="AX246" i="3"/>
  <c r="BN248" i="3" l="1"/>
  <c r="BC245" i="3"/>
  <c r="BG245" i="3" s="1"/>
  <c r="BH245" i="3" s="1"/>
  <c r="BI245" i="3" s="1"/>
  <c r="BM248" i="3"/>
  <c r="BD244" i="3"/>
  <c r="AT247" i="3"/>
  <c r="BF245" i="3"/>
  <c r="BJ244" i="3" s="1"/>
  <c r="BK244" i="3" s="1"/>
  <c r="AV246" i="3"/>
  <c r="AO248" i="3"/>
  <c r="BB245" i="3"/>
  <c r="AY246" i="3"/>
  <c r="AH248" i="3"/>
  <c r="AG248" i="3"/>
  <c r="Y248" i="3"/>
  <c r="Z248" i="3" s="1"/>
  <c r="AR249" i="3"/>
  <c r="B249" i="3"/>
  <c r="AQ249" i="3"/>
  <c r="A250" i="3"/>
  <c r="C249" i="3"/>
  <c r="AK249" i="3"/>
  <c r="AM249" i="3"/>
  <c r="T249" i="3"/>
  <c r="Q249" i="3"/>
  <c r="P249" i="3"/>
  <c r="AD249" i="3"/>
  <c r="O249" i="3"/>
  <c r="U249" i="3"/>
  <c r="AE249" i="3"/>
  <c r="AF249" i="3"/>
  <c r="M249" i="3"/>
  <c r="V249" i="3"/>
  <c r="D249" i="3"/>
  <c r="R249" i="3"/>
  <c r="F249" i="3"/>
  <c r="G249" i="3"/>
  <c r="H249" i="3" s="1"/>
  <c r="S249" i="3"/>
  <c r="AX247" i="3"/>
  <c r="AU247" i="3"/>
  <c r="AW247" i="3"/>
  <c r="AN248" i="3"/>
  <c r="X248" i="3"/>
  <c r="BA246" i="3"/>
  <c r="BD245" i="3" l="1"/>
  <c r="BC246" i="3"/>
  <c r="BD246" i="3" s="1"/>
  <c r="AV247" i="3"/>
  <c r="AY247" i="3"/>
  <c r="BM249" i="3"/>
  <c r="AG249" i="3"/>
  <c r="AT248" i="3"/>
  <c r="AO249" i="3"/>
  <c r="AU248" i="3"/>
  <c r="BA247" i="3"/>
  <c r="BB247" i="3" s="1"/>
  <c r="Y249" i="3"/>
  <c r="Z249" i="3" s="1"/>
  <c r="BF246" i="3"/>
  <c r="BJ245" i="3" s="1"/>
  <c r="BK245" i="3" s="1"/>
  <c r="BB246" i="3"/>
  <c r="BQ246" i="3"/>
  <c r="BN249" i="3"/>
  <c r="AH249" i="3"/>
  <c r="AN249" i="3"/>
  <c r="AX248" i="3"/>
  <c r="AR250" i="3"/>
  <c r="B250" i="3"/>
  <c r="AQ250" i="3"/>
  <c r="A251" i="3"/>
  <c r="AM250" i="3"/>
  <c r="Q250" i="3"/>
  <c r="AK250" i="3"/>
  <c r="AD250" i="3"/>
  <c r="P250" i="3"/>
  <c r="T250" i="3"/>
  <c r="S250" i="3"/>
  <c r="R250" i="3"/>
  <c r="M250" i="3"/>
  <c r="AE250" i="3"/>
  <c r="U250" i="3"/>
  <c r="O250" i="3"/>
  <c r="AF250" i="3"/>
  <c r="V250" i="3"/>
  <c r="D250" i="3"/>
  <c r="C250" i="3"/>
  <c r="G250" i="3"/>
  <c r="H250" i="3" s="1"/>
  <c r="F250" i="3"/>
  <c r="X249" i="3"/>
  <c r="AW248" i="3"/>
  <c r="BM250" i="3" l="1"/>
  <c r="BN250" i="3"/>
  <c r="BG246" i="3"/>
  <c r="BH246" i="3" s="1"/>
  <c r="BI246" i="3" s="1"/>
  <c r="AV248" i="3"/>
  <c r="AO250" i="3"/>
  <c r="BC247" i="3"/>
  <c r="BD247" i="3" s="1"/>
  <c r="AU249" i="3"/>
  <c r="AG250" i="3"/>
  <c r="AX249" i="3"/>
  <c r="BQ247" i="3"/>
  <c r="AW249" i="3"/>
  <c r="BF247" i="3"/>
  <c r="BJ246" i="3" s="1"/>
  <c r="BK246" i="3" s="1"/>
  <c r="AQ251" i="3"/>
  <c r="B251" i="3"/>
  <c r="A252" i="3"/>
  <c r="AR251" i="3"/>
  <c r="D251" i="3"/>
  <c r="AK251" i="3"/>
  <c r="S251" i="3"/>
  <c r="AM251" i="3"/>
  <c r="R251" i="3"/>
  <c r="Q251" i="3"/>
  <c r="AD251" i="3"/>
  <c r="P251" i="3"/>
  <c r="O251" i="3"/>
  <c r="AF251" i="3"/>
  <c r="V251" i="3"/>
  <c r="U251" i="3"/>
  <c r="M251" i="3"/>
  <c r="AE251" i="3"/>
  <c r="F251" i="3"/>
  <c r="C251" i="3"/>
  <c r="G251" i="3"/>
  <c r="H251" i="3" s="1"/>
  <c r="BN251" i="3" s="1"/>
  <c r="T251" i="3"/>
  <c r="Y250" i="3"/>
  <c r="Z250" i="3" s="1"/>
  <c r="X250" i="3"/>
  <c r="AH250" i="3"/>
  <c r="AY248" i="3"/>
  <c r="AN250" i="3"/>
  <c r="AT249" i="3"/>
  <c r="BA248" i="3"/>
  <c r="BC248" i="3" l="1"/>
  <c r="BG248" i="3" s="1"/>
  <c r="BH248" i="3" s="1"/>
  <c r="BI248" i="3" s="1"/>
  <c r="AN251" i="3"/>
  <c r="AY249" i="3"/>
  <c r="BG247" i="3"/>
  <c r="BH247" i="3" s="1"/>
  <c r="BI247" i="3" s="1"/>
  <c r="AU250" i="3"/>
  <c r="AW250" i="3"/>
  <c r="AT250" i="3"/>
  <c r="AG251" i="3"/>
  <c r="Y251" i="3"/>
  <c r="Z251" i="3" s="1"/>
  <c r="X251" i="3"/>
  <c r="BQ248" i="3"/>
  <c r="BF248" i="3"/>
  <c r="BJ247" i="3" s="1"/>
  <c r="BK247" i="3" s="1"/>
  <c r="BB248" i="3"/>
  <c r="AV249" i="3"/>
  <c r="BA249" i="3"/>
  <c r="A253" i="3"/>
  <c r="B252" i="3"/>
  <c r="AR252" i="3"/>
  <c r="AQ252" i="3"/>
  <c r="AK252" i="3"/>
  <c r="T252" i="3"/>
  <c r="C252" i="3"/>
  <c r="AM252" i="3"/>
  <c r="AD252" i="3"/>
  <c r="Q252" i="3"/>
  <c r="P252" i="3"/>
  <c r="M252" i="3"/>
  <c r="AE252" i="3"/>
  <c r="V252" i="3"/>
  <c r="U252" i="3"/>
  <c r="O252" i="3"/>
  <c r="AF252" i="3"/>
  <c r="D252" i="3"/>
  <c r="R252" i="3"/>
  <c r="G252" i="3"/>
  <c r="H252" i="3" s="1"/>
  <c r="F252" i="3"/>
  <c r="S252" i="3"/>
  <c r="AX250" i="3"/>
  <c r="BM251" i="3"/>
  <c r="AH251" i="3"/>
  <c r="AO251" i="3"/>
  <c r="BM252" i="3" l="1"/>
  <c r="BN252" i="3"/>
  <c r="BD248" i="3"/>
  <c r="AV250" i="3"/>
  <c r="AY250" i="3"/>
  <c r="BC249" i="3"/>
  <c r="BD249" i="3" s="1"/>
  <c r="AX251" i="3"/>
  <c r="AO252" i="3"/>
  <c r="AT251" i="3"/>
  <c r="AU251" i="3"/>
  <c r="Y252" i="3"/>
  <c r="Z252" i="3" s="1"/>
  <c r="BF249" i="3"/>
  <c r="BJ248" i="3" s="1"/>
  <c r="BK248" i="3" s="1"/>
  <c r="BQ249" i="3"/>
  <c r="BB249" i="3"/>
  <c r="AW251" i="3"/>
  <c r="BA250" i="3"/>
  <c r="X252" i="3"/>
  <c r="AN252" i="3"/>
  <c r="AR253" i="3"/>
  <c r="B253" i="3"/>
  <c r="AQ253" i="3"/>
  <c r="A254" i="3"/>
  <c r="C253" i="3"/>
  <c r="AM253" i="3"/>
  <c r="S253" i="3"/>
  <c r="AK253" i="3"/>
  <c r="R253" i="3"/>
  <c r="AD253" i="3"/>
  <c r="Q253" i="3"/>
  <c r="P253" i="3"/>
  <c r="O253" i="3"/>
  <c r="V253" i="3"/>
  <c r="AF253" i="3"/>
  <c r="M253" i="3"/>
  <c r="AE253" i="3"/>
  <c r="U253" i="3"/>
  <c r="D253" i="3"/>
  <c r="G253" i="3"/>
  <c r="H253" i="3" s="1"/>
  <c r="F253" i="3"/>
  <c r="BM253" i="3" s="1"/>
  <c r="T253" i="3"/>
  <c r="AG252" i="3"/>
  <c r="AH252" i="3"/>
  <c r="AY251" i="3" l="1"/>
  <c r="BC250" i="3"/>
  <c r="BD250" i="3" s="1"/>
  <c r="BG249" i="3"/>
  <c r="BH249" i="3" s="1"/>
  <c r="BI249" i="3" s="1"/>
  <c r="AV251" i="3"/>
  <c r="AO253" i="3"/>
  <c r="AG253" i="3"/>
  <c r="AW252" i="3"/>
  <c r="BA251" i="3"/>
  <c r="BB251" i="3" s="1"/>
  <c r="AR254" i="3"/>
  <c r="B254" i="3"/>
  <c r="AQ254" i="3"/>
  <c r="A255" i="3"/>
  <c r="C254" i="3"/>
  <c r="AM254" i="3"/>
  <c r="R254" i="3"/>
  <c r="D254" i="3"/>
  <c r="AK254" i="3"/>
  <c r="Q254" i="3"/>
  <c r="P254" i="3"/>
  <c r="AD254" i="3"/>
  <c r="M254" i="3"/>
  <c r="U254" i="3"/>
  <c r="O254" i="3"/>
  <c r="AE254" i="3"/>
  <c r="AF254" i="3"/>
  <c r="V254" i="3"/>
  <c r="G254" i="3"/>
  <c r="H254" i="3" s="1"/>
  <c r="F254" i="3"/>
  <c r="T254" i="3"/>
  <c r="S254" i="3"/>
  <c r="AT252" i="3"/>
  <c r="X253" i="3"/>
  <c r="AX252" i="3"/>
  <c r="Y253" i="3"/>
  <c r="Z253" i="3" s="1"/>
  <c r="BN253" i="3"/>
  <c r="AH253" i="3"/>
  <c r="AN253" i="3"/>
  <c r="AU252" i="3"/>
  <c r="BF250" i="3"/>
  <c r="BJ249" i="3" s="1"/>
  <c r="BK249" i="3" s="1"/>
  <c r="BB250" i="3"/>
  <c r="BQ250" i="3"/>
  <c r="BC251" i="3" l="1"/>
  <c r="BD251" i="3" s="1"/>
  <c r="BG250" i="3"/>
  <c r="BH250" i="3" s="1"/>
  <c r="BI250" i="3" s="1"/>
  <c r="AU253" i="3"/>
  <c r="BM254" i="3"/>
  <c r="AT253" i="3"/>
  <c r="BQ251" i="3"/>
  <c r="AW253" i="3"/>
  <c r="AG254" i="3"/>
  <c r="AN254" i="3"/>
  <c r="BF251" i="3"/>
  <c r="BJ250" i="3" s="1"/>
  <c r="BK250" i="3" s="1"/>
  <c r="BA252" i="3"/>
  <c r="BQ252" i="3" s="1"/>
  <c r="AY252" i="3"/>
  <c r="AX253" i="3"/>
  <c r="AV252" i="3"/>
  <c r="Y254" i="3"/>
  <c r="Z254" i="3" s="1"/>
  <c r="BN254" i="3"/>
  <c r="AO254" i="3"/>
  <c r="AQ255" i="3"/>
  <c r="B255" i="3"/>
  <c r="A256" i="3"/>
  <c r="AR255" i="3"/>
  <c r="AM255" i="3"/>
  <c r="Q255" i="3"/>
  <c r="AK255" i="3"/>
  <c r="S255" i="3"/>
  <c r="AD255" i="3"/>
  <c r="O255" i="3"/>
  <c r="AE255" i="3"/>
  <c r="M255" i="3"/>
  <c r="P255" i="3"/>
  <c r="AF255" i="3"/>
  <c r="V255" i="3"/>
  <c r="U255" i="3"/>
  <c r="G255" i="3"/>
  <c r="H255" i="3" s="1"/>
  <c r="R255" i="3"/>
  <c r="D255" i="3"/>
  <c r="C255" i="3"/>
  <c r="F255" i="3"/>
  <c r="T255" i="3"/>
  <c r="X254" i="3"/>
  <c r="AH254" i="3"/>
  <c r="BG251" i="3" l="1"/>
  <c r="BH251" i="3" s="1"/>
  <c r="BI251" i="3" s="1"/>
  <c r="AV253" i="3"/>
  <c r="AO255" i="3"/>
  <c r="BA253" i="3"/>
  <c r="BF253" i="3" s="1"/>
  <c r="BM255" i="3"/>
  <c r="BN255" i="3"/>
  <c r="BF252" i="3"/>
  <c r="BJ251" i="3" s="1"/>
  <c r="BK251" i="3" s="1"/>
  <c r="AG255" i="3"/>
  <c r="AW254" i="3"/>
  <c r="BB252" i="3"/>
  <c r="AX254" i="3"/>
  <c r="AY253" i="3"/>
  <c r="Y255" i="3"/>
  <c r="Z255" i="3" s="1"/>
  <c r="X255" i="3"/>
  <c r="AT254" i="3"/>
  <c r="A257" i="3"/>
  <c r="B256" i="3"/>
  <c r="AR256" i="3"/>
  <c r="AQ256" i="3"/>
  <c r="C256" i="3"/>
  <c r="AK256" i="3"/>
  <c r="S256" i="3"/>
  <c r="AM256" i="3"/>
  <c r="R256" i="3"/>
  <c r="AD256" i="3"/>
  <c r="Q256" i="3"/>
  <c r="P256" i="3"/>
  <c r="O256" i="3"/>
  <c r="M256" i="3"/>
  <c r="AF256" i="3"/>
  <c r="V256" i="3"/>
  <c r="AE256" i="3"/>
  <c r="U256" i="3"/>
  <c r="G256" i="3"/>
  <c r="H256" i="3" s="1"/>
  <c r="D256" i="3"/>
  <c r="F256" i="3"/>
  <c r="T256" i="3"/>
  <c r="AH255" i="3"/>
  <c r="AN255" i="3"/>
  <c r="AU254" i="3"/>
  <c r="BC252" i="3"/>
  <c r="BM256" i="3" l="1"/>
  <c r="BC253" i="3"/>
  <c r="BG253" i="3" s="1"/>
  <c r="BH253" i="3" s="1"/>
  <c r="BI253" i="3" s="1"/>
  <c r="AN256" i="3"/>
  <c r="AU255" i="3"/>
  <c r="BN256" i="3"/>
  <c r="BB253" i="3"/>
  <c r="BQ253" i="3"/>
  <c r="AY254" i="3"/>
  <c r="BJ252" i="3"/>
  <c r="BK252" i="3" s="1"/>
  <c r="AW255" i="3"/>
  <c r="AG256" i="3"/>
  <c r="BD252" i="3"/>
  <c r="BG252" i="3"/>
  <c r="BH252" i="3" s="1"/>
  <c r="BI252" i="3" s="1"/>
  <c r="AX255" i="3"/>
  <c r="Y256" i="3"/>
  <c r="Z256" i="3" s="1"/>
  <c r="AH256" i="3"/>
  <c r="AO256" i="3"/>
  <c r="AT255" i="3"/>
  <c r="AR257" i="3"/>
  <c r="B257" i="3"/>
  <c r="AQ257" i="3"/>
  <c r="A258" i="3"/>
  <c r="AM257" i="3"/>
  <c r="AK257" i="3"/>
  <c r="T257" i="3"/>
  <c r="S257" i="3"/>
  <c r="Q257" i="3"/>
  <c r="R257" i="3"/>
  <c r="AD257" i="3"/>
  <c r="P257" i="3"/>
  <c r="AE257" i="3"/>
  <c r="M257" i="3"/>
  <c r="AF257" i="3"/>
  <c r="V257" i="3"/>
  <c r="U257" i="3"/>
  <c r="O257" i="3"/>
  <c r="D257" i="3"/>
  <c r="F257" i="3"/>
  <c r="C257" i="3"/>
  <c r="G257" i="3"/>
  <c r="H257" i="3" s="1"/>
  <c r="BA254" i="3"/>
  <c r="AV254" i="3"/>
  <c r="X256" i="3"/>
  <c r="BD253" i="3" l="1"/>
  <c r="BC254" i="3"/>
  <c r="BD254" i="3" s="1"/>
  <c r="AV255" i="3"/>
  <c r="AY255" i="3"/>
  <c r="AU256" i="3"/>
  <c r="AG257" i="3"/>
  <c r="AT256" i="3"/>
  <c r="AW256" i="3"/>
  <c r="AN257" i="3"/>
  <c r="AX256" i="3"/>
  <c r="BA255" i="3"/>
  <c r="BQ255" i="3" s="1"/>
  <c r="Y257" i="3"/>
  <c r="Z257" i="3" s="1"/>
  <c r="X257" i="3"/>
  <c r="BM257" i="3"/>
  <c r="AR258" i="3"/>
  <c r="B258" i="3"/>
  <c r="AQ258" i="3"/>
  <c r="A259" i="3"/>
  <c r="D258" i="3"/>
  <c r="C258" i="3"/>
  <c r="AK258" i="3"/>
  <c r="AM258" i="3"/>
  <c r="R258" i="3"/>
  <c r="Q258" i="3"/>
  <c r="AD258" i="3"/>
  <c r="P258" i="3"/>
  <c r="O258" i="3"/>
  <c r="AF258" i="3"/>
  <c r="AE258" i="3"/>
  <c r="M258" i="3"/>
  <c r="V258" i="3"/>
  <c r="U258" i="3"/>
  <c r="F258" i="3"/>
  <c r="G258" i="3"/>
  <c r="H258" i="3" s="1"/>
  <c r="S258" i="3"/>
  <c r="T258" i="3"/>
  <c r="AH257" i="3"/>
  <c r="BN257" i="3"/>
  <c r="AO257" i="3"/>
  <c r="BQ254" i="3"/>
  <c r="BB254" i="3"/>
  <c r="BF254" i="3"/>
  <c r="BJ253" i="3" s="1"/>
  <c r="BK253" i="3" s="1"/>
  <c r="BG254" i="3" l="1"/>
  <c r="BH254" i="3" s="1"/>
  <c r="BI254" i="3" s="1"/>
  <c r="BC255" i="3"/>
  <c r="BD255" i="3" s="1"/>
  <c r="AV256" i="3"/>
  <c r="AN258" i="3"/>
  <c r="BN258" i="3"/>
  <c r="AY256" i="3"/>
  <c r="AT257" i="3"/>
  <c r="AU257" i="3"/>
  <c r="BA256" i="3"/>
  <c r="BF256" i="3" s="1"/>
  <c r="AW257" i="3"/>
  <c r="BF255" i="3"/>
  <c r="BJ254" i="3" s="1"/>
  <c r="BK254" i="3" s="1"/>
  <c r="BB255" i="3"/>
  <c r="Y258" i="3"/>
  <c r="Z258" i="3" s="1"/>
  <c r="AX257" i="3"/>
  <c r="X258" i="3"/>
  <c r="BM258" i="3"/>
  <c r="AG258" i="3"/>
  <c r="AH258" i="3"/>
  <c r="AO258" i="3"/>
  <c r="AQ259" i="3"/>
  <c r="B259" i="3"/>
  <c r="A260" i="3"/>
  <c r="AR259" i="3"/>
  <c r="C259" i="3"/>
  <c r="D259" i="3"/>
  <c r="AM259" i="3"/>
  <c r="AK259" i="3"/>
  <c r="T259" i="3"/>
  <c r="Q259" i="3"/>
  <c r="R259" i="3"/>
  <c r="AD259" i="3"/>
  <c r="P259" i="3"/>
  <c r="O259" i="3"/>
  <c r="M259" i="3"/>
  <c r="AE259" i="3"/>
  <c r="V259" i="3"/>
  <c r="AF259" i="3"/>
  <c r="U259" i="3"/>
  <c r="G259" i="3"/>
  <c r="H259" i="3" s="1"/>
  <c r="F259" i="3"/>
  <c r="BM259" i="3" s="1"/>
  <c r="S259" i="3"/>
  <c r="BN259" i="3" l="1"/>
  <c r="BC256" i="3"/>
  <c r="BG256" i="3" s="1"/>
  <c r="BH256" i="3" s="1"/>
  <c r="BI256" i="3" s="1"/>
  <c r="BG255" i="3"/>
  <c r="BH255" i="3" s="1"/>
  <c r="BI255" i="3" s="1"/>
  <c r="AV257" i="3"/>
  <c r="AG259" i="3"/>
  <c r="AT258" i="3"/>
  <c r="BQ256" i="3"/>
  <c r="BB256" i="3"/>
  <c r="BA257" i="3"/>
  <c r="BF257" i="3" s="1"/>
  <c r="BJ256" i="3" s="1"/>
  <c r="BK256" i="3" s="1"/>
  <c r="AX258" i="3"/>
  <c r="BJ255" i="3"/>
  <c r="BK255" i="3" s="1"/>
  <c r="X259" i="3"/>
  <c r="AN259" i="3"/>
  <c r="AO259" i="3"/>
  <c r="Y259" i="3"/>
  <c r="Z259" i="3" s="1"/>
  <c r="A261" i="3"/>
  <c r="B260" i="3"/>
  <c r="AR260" i="3"/>
  <c r="AQ260" i="3"/>
  <c r="C260" i="3"/>
  <c r="AM260" i="3"/>
  <c r="Q260" i="3"/>
  <c r="AK260" i="3"/>
  <c r="T260" i="3"/>
  <c r="R260" i="3"/>
  <c r="AD260" i="3"/>
  <c r="P260" i="3"/>
  <c r="O260" i="3"/>
  <c r="M260" i="3"/>
  <c r="V260" i="3"/>
  <c r="AE260" i="3"/>
  <c r="AF260" i="3"/>
  <c r="U260" i="3"/>
  <c r="G260" i="3"/>
  <c r="H260" i="3" s="1"/>
  <c r="D260" i="3"/>
  <c r="F260" i="3"/>
  <c r="BM260" i="3" s="1"/>
  <c r="S260" i="3"/>
  <c r="AH259" i="3"/>
  <c r="AY257" i="3"/>
  <c r="AU258" i="3"/>
  <c r="AW258" i="3"/>
  <c r="BD256" i="3" l="1"/>
  <c r="BC257" i="3"/>
  <c r="BD257" i="3" s="1"/>
  <c r="AU259" i="3"/>
  <c r="BB257" i="3"/>
  <c r="BN260" i="3"/>
  <c r="BQ257" i="3"/>
  <c r="AV258" i="3"/>
  <c r="AY258" i="3"/>
  <c r="AW259" i="3"/>
  <c r="AT259" i="3"/>
  <c r="BA258" i="3"/>
  <c r="BQ258" i="3" s="1"/>
  <c r="Y260" i="3"/>
  <c r="Z260" i="3" s="1"/>
  <c r="AN260" i="3"/>
  <c r="AO260" i="3"/>
  <c r="AH260" i="3"/>
  <c r="AX259" i="3"/>
  <c r="X260" i="3"/>
  <c r="AG260" i="3"/>
  <c r="AR261" i="3"/>
  <c r="B261" i="3"/>
  <c r="AQ261" i="3"/>
  <c r="A262" i="3"/>
  <c r="AK261" i="3"/>
  <c r="AM261" i="3"/>
  <c r="R261" i="3"/>
  <c r="S261" i="3"/>
  <c r="AD261" i="3"/>
  <c r="P261" i="3"/>
  <c r="O261" i="3"/>
  <c r="AE261" i="3"/>
  <c r="AF261" i="3"/>
  <c r="U261" i="3"/>
  <c r="V261" i="3"/>
  <c r="M261" i="3"/>
  <c r="Q261" i="3"/>
  <c r="C261" i="3"/>
  <c r="F261" i="3"/>
  <c r="D261" i="3"/>
  <c r="G261" i="3"/>
  <c r="H261" i="3" s="1"/>
  <c r="T261" i="3"/>
  <c r="BG257" i="3" l="1"/>
  <c r="BH257" i="3" s="1"/>
  <c r="BI257" i="3" s="1"/>
  <c r="AV259" i="3"/>
  <c r="BN261" i="3"/>
  <c r="BM261" i="3"/>
  <c r="BC258" i="3"/>
  <c r="BG258" i="3" s="1"/>
  <c r="BH258" i="3" s="1"/>
  <c r="BI258" i="3" s="1"/>
  <c r="BA259" i="3"/>
  <c r="BF259" i="3" s="1"/>
  <c r="BB258" i="3"/>
  <c r="AO261" i="3"/>
  <c r="BF258" i="3"/>
  <c r="BJ257" i="3" s="1"/>
  <c r="BK257" i="3" s="1"/>
  <c r="AU260" i="3"/>
  <c r="AY259" i="3"/>
  <c r="AX260" i="3"/>
  <c r="AW260" i="3"/>
  <c r="AR262" i="3"/>
  <c r="B262" i="3"/>
  <c r="AQ262" i="3"/>
  <c r="A263" i="3"/>
  <c r="C262" i="3"/>
  <c r="D262" i="3"/>
  <c r="AM262" i="3"/>
  <c r="T262" i="3"/>
  <c r="Q262" i="3"/>
  <c r="AK262" i="3"/>
  <c r="R262" i="3"/>
  <c r="AD262" i="3"/>
  <c r="P262" i="3"/>
  <c r="AE262" i="3"/>
  <c r="V262" i="3"/>
  <c r="U262" i="3"/>
  <c r="O262" i="3"/>
  <c r="AF262" i="3"/>
  <c r="M262" i="3"/>
  <c r="G262" i="3"/>
  <c r="H262" i="3" s="1"/>
  <c r="F262" i="3"/>
  <c r="S262" i="3"/>
  <c r="AH261" i="3"/>
  <c r="AT260" i="3"/>
  <c r="Y261" i="3"/>
  <c r="Z261" i="3" s="1"/>
  <c r="X261" i="3"/>
  <c r="AG261" i="3"/>
  <c r="AN261" i="3"/>
  <c r="BM262" i="3" l="1"/>
  <c r="BN262" i="3"/>
  <c r="BD258" i="3"/>
  <c r="BB259" i="3"/>
  <c r="BC259" i="3"/>
  <c r="BD259" i="3" s="1"/>
  <c r="AN262" i="3"/>
  <c r="BJ258" i="3"/>
  <c r="BK258" i="3" s="1"/>
  <c r="BQ259" i="3"/>
  <c r="AW261" i="3"/>
  <c r="Y262" i="3"/>
  <c r="Z262" i="3" s="1"/>
  <c r="AQ263" i="3"/>
  <c r="B263" i="3"/>
  <c r="A264" i="3"/>
  <c r="AR263" i="3"/>
  <c r="C263" i="3"/>
  <c r="AK263" i="3"/>
  <c r="AM263" i="3"/>
  <c r="Q263" i="3"/>
  <c r="R263" i="3"/>
  <c r="AD263" i="3"/>
  <c r="P263" i="3"/>
  <c r="O263" i="3"/>
  <c r="AE263" i="3"/>
  <c r="AF263" i="3"/>
  <c r="U263" i="3"/>
  <c r="M263" i="3"/>
  <c r="V263" i="3"/>
  <c r="F263" i="3"/>
  <c r="D263" i="3"/>
  <c r="G263" i="3"/>
  <c r="H263" i="3" s="1"/>
  <c r="T263" i="3"/>
  <c r="S263" i="3"/>
  <c r="AX261" i="3"/>
  <c r="AU261" i="3"/>
  <c r="AT261" i="3"/>
  <c r="X262" i="3"/>
  <c r="AG262" i="3"/>
  <c r="AH262" i="3"/>
  <c r="AO262" i="3"/>
  <c r="AY260" i="3"/>
  <c r="AV260" i="3"/>
  <c r="BA260" i="3"/>
  <c r="AY261" i="3" l="1"/>
  <c r="BG259" i="3"/>
  <c r="BH259" i="3" s="1"/>
  <c r="BI259" i="3" s="1"/>
  <c r="BN263" i="3"/>
  <c r="BM263" i="3"/>
  <c r="AT262" i="3"/>
  <c r="AO263" i="3"/>
  <c r="X263" i="3"/>
  <c r="BC260" i="3"/>
  <c r="BD260" i="3" s="1"/>
  <c r="BB260" i="3"/>
  <c r="BF260" i="3"/>
  <c r="BJ259" i="3" s="1"/>
  <c r="BK259" i="3" s="1"/>
  <c r="BQ260" i="3"/>
  <c r="A265" i="3"/>
  <c r="B264" i="3"/>
  <c r="AR264" i="3"/>
  <c r="AQ264" i="3"/>
  <c r="D264" i="3"/>
  <c r="AK264" i="3"/>
  <c r="AM264" i="3"/>
  <c r="R264" i="3"/>
  <c r="P264" i="3"/>
  <c r="S264" i="3"/>
  <c r="AD264" i="3"/>
  <c r="O264" i="3"/>
  <c r="M264" i="3"/>
  <c r="AE264" i="3"/>
  <c r="AF264" i="3"/>
  <c r="V264" i="3"/>
  <c r="U264" i="3"/>
  <c r="Q264" i="3"/>
  <c r="C264" i="3"/>
  <c r="F264" i="3"/>
  <c r="G264" i="3"/>
  <c r="H264" i="3" s="1"/>
  <c r="T264" i="3"/>
  <c r="AX262" i="3"/>
  <c r="Y263" i="3"/>
  <c r="Z263" i="3" s="1"/>
  <c r="AG263" i="3"/>
  <c r="AN263" i="3"/>
  <c r="AV261" i="3"/>
  <c r="BA261" i="3"/>
  <c r="AW262" i="3"/>
  <c r="AU262" i="3"/>
  <c r="AH263" i="3"/>
  <c r="BN264" i="3" l="1"/>
  <c r="AV262" i="3"/>
  <c r="AT263" i="3"/>
  <c r="BC261" i="3"/>
  <c r="BD261" i="3" s="1"/>
  <c r="AN264" i="3"/>
  <c r="AY262" i="3"/>
  <c r="BG260" i="3"/>
  <c r="BH260" i="3" s="1"/>
  <c r="BI260" i="3" s="1"/>
  <c r="AW263" i="3"/>
  <c r="X264" i="3"/>
  <c r="BF261" i="3"/>
  <c r="BB261" i="3"/>
  <c r="BQ261" i="3"/>
  <c r="AH264" i="3"/>
  <c r="AX263" i="3"/>
  <c r="Y264" i="3"/>
  <c r="Z264" i="3" s="1"/>
  <c r="BM264" i="3"/>
  <c r="AG264" i="3"/>
  <c r="AO264" i="3"/>
  <c r="BA262" i="3"/>
  <c r="AR265" i="3"/>
  <c r="B265" i="3"/>
  <c r="AQ265" i="3"/>
  <c r="A266" i="3"/>
  <c r="AK265" i="3"/>
  <c r="S265" i="3"/>
  <c r="AM265" i="3"/>
  <c r="R265" i="3"/>
  <c r="Q265" i="3"/>
  <c r="AD265" i="3"/>
  <c r="P265" i="3"/>
  <c r="M265" i="3"/>
  <c r="AE265" i="3"/>
  <c r="V265" i="3"/>
  <c r="O265" i="3"/>
  <c r="AF265" i="3"/>
  <c r="U265" i="3"/>
  <c r="C265" i="3"/>
  <c r="D265" i="3"/>
  <c r="G265" i="3"/>
  <c r="H265" i="3" s="1"/>
  <c r="F265" i="3"/>
  <c r="T265" i="3"/>
  <c r="AU263" i="3"/>
  <c r="BC262" i="3" l="1"/>
  <c r="BG262" i="3" s="1"/>
  <c r="BH262" i="3" s="1"/>
  <c r="BI262" i="3" s="1"/>
  <c r="AV263" i="3"/>
  <c r="AU264" i="3"/>
  <c r="BG261" i="3"/>
  <c r="BH261" i="3" s="1"/>
  <c r="BI261" i="3" s="1"/>
  <c r="AY263" i="3"/>
  <c r="AN265" i="3"/>
  <c r="BN265" i="3"/>
  <c r="AT264" i="3"/>
  <c r="X265" i="3"/>
  <c r="BJ260" i="3"/>
  <c r="BK260" i="3" s="1"/>
  <c r="BM265" i="3"/>
  <c r="AG265" i="3"/>
  <c r="AO265" i="3"/>
  <c r="BA263" i="3"/>
  <c r="AW264" i="3"/>
  <c r="AX264" i="3"/>
  <c r="AR266" i="3"/>
  <c r="B266" i="3"/>
  <c r="AQ266" i="3"/>
  <c r="A267" i="3"/>
  <c r="C266" i="3"/>
  <c r="D266" i="3"/>
  <c r="S266" i="3"/>
  <c r="Q266" i="3"/>
  <c r="R266" i="3"/>
  <c r="AM266" i="3"/>
  <c r="AK266" i="3"/>
  <c r="AD266" i="3"/>
  <c r="P266" i="3"/>
  <c r="O266" i="3"/>
  <c r="M266" i="3"/>
  <c r="AF266" i="3"/>
  <c r="U266" i="3"/>
  <c r="V266" i="3"/>
  <c r="AE266" i="3"/>
  <c r="G266" i="3"/>
  <c r="H266" i="3" s="1"/>
  <c r="F266" i="3"/>
  <c r="BM266" i="3" s="1"/>
  <c r="T266" i="3"/>
  <c r="BF262" i="3"/>
  <c r="BJ261" i="3" s="1"/>
  <c r="BK261" i="3" s="1"/>
  <c r="BB262" i="3"/>
  <c r="BQ262" i="3"/>
  <c r="Y265" i="3"/>
  <c r="Z265" i="3" s="1"/>
  <c r="AH265" i="3"/>
  <c r="BD262" i="3" l="1"/>
  <c r="BN266" i="3"/>
  <c r="BC263" i="3"/>
  <c r="BD263" i="3" s="1"/>
  <c r="AV264" i="3"/>
  <c r="AO266" i="3"/>
  <c r="AN266" i="3"/>
  <c r="Y266" i="3"/>
  <c r="Z266" i="3" s="1"/>
  <c r="AX265" i="3"/>
  <c r="AG266" i="3"/>
  <c r="AT265" i="3"/>
  <c r="AW265" i="3"/>
  <c r="X266" i="3"/>
  <c r="AY264" i="3"/>
  <c r="AU265" i="3"/>
  <c r="AQ267" i="3"/>
  <c r="B267" i="3"/>
  <c r="A268" i="3"/>
  <c r="AR267" i="3"/>
  <c r="AK267" i="3"/>
  <c r="Q267" i="3"/>
  <c r="R267" i="3"/>
  <c r="D267" i="3"/>
  <c r="AM267" i="3"/>
  <c r="C267" i="3"/>
  <c r="T267" i="3"/>
  <c r="AD267" i="3"/>
  <c r="O267" i="3"/>
  <c r="M267" i="3"/>
  <c r="AE267" i="3"/>
  <c r="AF267" i="3"/>
  <c r="U267" i="3"/>
  <c r="V267" i="3"/>
  <c r="G267" i="3"/>
  <c r="H267" i="3" s="1"/>
  <c r="F267" i="3"/>
  <c r="P267" i="3"/>
  <c r="S267" i="3"/>
  <c r="BF263" i="3"/>
  <c r="BJ262" i="3" s="1"/>
  <c r="BK262" i="3" s="1"/>
  <c r="BQ263" i="3"/>
  <c r="BB263" i="3"/>
  <c r="AH266" i="3"/>
  <c r="BA264" i="3"/>
  <c r="BM267" i="3" l="1"/>
  <c r="BG263" i="3"/>
  <c r="BH263" i="3" s="1"/>
  <c r="BI263" i="3" s="1"/>
  <c r="AN267" i="3"/>
  <c r="BC264" i="3"/>
  <c r="BD264" i="3" s="1"/>
  <c r="BN267" i="3"/>
  <c r="Y267" i="3"/>
  <c r="Z267" i="3" s="1"/>
  <c r="AY265" i="3"/>
  <c r="AX266" i="3"/>
  <c r="X267" i="3"/>
  <c r="BQ264" i="3"/>
  <c r="BB264" i="3"/>
  <c r="BF264" i="3"/>
  <c r="BJ263" i="3" s="1"/>
  <c r="BK263" i="3" s="1"/>
  <c r="A269" i="3"/>
  <c r="B268" i="3"/>
  <c r="AR268" i="3"/>
  <c r="AQ268" i="3"/>
  <c r="D268" i="3"/>
  <c r="AK268" i="3"/>
  <c r="AM268" i="3"/>
  <c r="R268" i="3"/>
  <c r="S268" i="3"/>
  <c r="Q268" i="3"/>
  <c r="AD268" i="3"/>
  <c r="O268" i="3"/>
  <c r="P268" i="3"/>
  <c r="AF268" i="3"/>
  <c r="AE268" i="3"/>
  <c r="U268" i="3"/>
  <c r="M268" i="3"/>
  <c r="V268" i="3"/>
  <c r="G268" i="3"/>
  <c r="H268" i="3" s="1"/>
  <c r="C268" i="3"/>
  <c r="F268" i="3"/>
  <c r="T268" i="3"/>
  <c r="AV265" i="3"/>
  <c r="BA265" i="3"/>
  <c r="AG267" i="3"/>
  <c r="AO267" i="3"/>
  <c r="AU266" i="3"/>
  <c r="AW266" i="3"/>
  <c r="AH267" i="3"/>
  <c r="AT266" i="3"/>
  <c r="AY266" i="3" l="1"/>
  <c r="BN268" i="3"/>
  <c r="AT267" i="3"/>
  <c r="BG264" i="3"/>
  <c r="BH264" i="3" s="1"/>
  <c r="BI264" i="3" s="1"/>
  <c r="BC265" i="3"/>
  <c r="BG265" i="3" s="1"/>
  <c r="BH265" i="3" s="1"/>
  <c r="BI265" i="3" s="1"/>
  <c r="AG268" i="3"/>
  <c r="BM268" i="3"/>
  <c r="AN268" i="3"/>
  <c r="AW267" i="3"/>
  <c r="AV266" i="3"/>
  <c r="BA266" i="3"/>
  <c r="BF265" i="3"/>
  <c r="BJ264" i="3" s="1"/>
  <c r="BK264" i="3" s="1"/>
  <c r="BQ265" i="3"/>
  <c r="BB265" i="3"/>
  <c r="AX267" i="3"/>
  <c r="Y268" i="3"/>
  <c r="Z268" i="3" s="1"/>
  <c r="X268" i="3"/>
  <c r="AO268" i="3"/>
  <c r="AR269" i="3"/>
  <c r="B269" i="3"/>
  <c r="AQ269" i="3"/>
  <c r="A270" i="3"/>
  <c r="D269" i="3"/>
  <c r="AM269" i="3"/>
  <c r="S269" i="3"/>
  <c r="AK269" i="3"/>
  <c r="Q269" i="3"/>
  <c r="R269" i="3"/>
  <c r="AD269" i="3"/>
  <c r="P269" i="3"/>
  <c r="T269" i="3"/>
  <c r="AE269" i="3"/>
  <c r="O269" i="3"/>
  <c r="M269" i="3"/>
  <c r="U269" i="3"/>
  <c r="AF269" i="3"/>
  <c r="V269" i="3"/>
  <c r="C269" i="3"/>
  <c r="F269" i="3"/>
  <c r="G269" i="3"/>
  <c r="H269" i="3" s="1"/>
  <c r="AU267" i="3"/>
  <c r="AH268" i="3"/>
  <c r="BC266" i="3" l="1"/>
  <c r="BG266" i="3" s="1"/>
  <c r="BH266" i="3" s="1"/>
  <c r="BI266" i="3" s="1"/>
  <c r="BD265" i="3"/>
  <c r="AY267" i="3"/>
  <c r="AX268" i="3"/>
  <c r="BM269" i="3"/>
  <c r="BN269" i="3"/>
  <c r="AT268" i="3"/>
  <c r="BA267" i="3"/>
  <c r="BF267" i="3" s="1"/>
  <c r="Y269" i="3"/>
  <c r="Z269" i="3" s="1"/>
  <c r="AW268" i="3"/>
  <c r="AH269" i="3"/>
  <c r="AN269" i="3"/>
  <c r="AO269" i="3"/>
  <c r="AR270" i="3"/>
  <c r="B270" i="3"/>
  <c r="AQ270" i="3"/>
  <c r="A271" i="3"/>
  <c r="AK270" i="3"/>
  <c r="AM270" i="3"/>
  <c r="C270" i="3"/>
  <c r="T270" i="3"/>
  <c r="R270" i="3"/>
  <c r="S270" i="3"/>
  <c r="Q270" i="3"/>
  <c r="AD270" i="3"/>
  <c r="P270" i="3"/>
  <c r="O270" i="3"/>
  <c r="V270" i="3"/>
  <c r="M270" i="3"/>
  <c r="AF270" i="3"/>
  <c r="AE270" i="3"/>
  <c r="U270" i="3"/>
  <c r="D270" i="3"/>
  <c r="G270" i="3"/>
  <c r="H270" i="3" s="1"/>
  <c r="F270" i="3"/>
  <c r="BB266" i="3"/>
  <c r="BQ266" i="3"/>
  <c r="BF266" i="3"/>
  <c r="BJ265" i="3" s="1"/>
  <c r="BK265" i="3" s="1"/>
  <c r="X269" i="3"/>
  <c r="AG269" i="3"/>
  <c r="AU268" i="3"/>
  <c r="AV267" i="3"/>
  <c r="BD266" i="3" l="1"/>
  <c r="AY268" i="3"/>
  <c r="BC267" i="3"/>
  <c r="BG267" i="3" s="1"/>
  <c r="BH267" i="3" s="1"/>
  <c r="BI267" i="3" s="1"/>
  <c r="BB267" i="3"/>
  <c r="BN270" i="3"/>
  <c r="AV268" i="3"/>
  <c r="AO270" i="3"/>
  <c r="BQ267" i="3"/>
  <c r="AW269" i="3"/>
  <c r="BJ266" i="3"/>
  <c r="BK266" i="3" s="1"/>
  <c r="BA268" i="3"/>
  <c r="AU269" i="3"/>
  <c r="Y270" i="3"/>
  <c r="Z270" i="3" s="1"/>
  <c r="AQ271" i="3"/>
  <c r="B271" i="3"/>
  <c r="A272" i="3"/>
  <c r="AR271" i="3"/>
  <c r="AK271" i="3"/>
  <c r="AM271" i="3"/>
  <c r="T271" i="3"/>
  <c r="R271" i="3"/>
  <c r="Q271" i="3"/>
  <c r="O271" i="3"/>
  <c r="AD271" i="3"/>
  <c r="P271" i="3"/>
  <c r="AE271" i="3"/>
  <c r="AF271" i="3"/>
  <c r="M271" i="3"/>
  <c r="U271" i="3"/>
  <c r="V271" i="3"/>
  <c r="G271" i="3"/>
  <c r="H271" i="3" s="1"/>
  <c r="C271" i="3"/>
  <c r="D271" i="3"/>
  <c r="F271" i="3"/>
  <c r="S271" i="3"/>
  <c r="AT269" i="3"/>
  <c r="AX269" i="3"/>
  <c r="X270" i="3"/>
  <c r="BM270" i="3"/>
  <c r="AG270" i="3"/>
  <c r="AH270" i="3"/>
  <c r="AN270" i="3"/>
  <c r="BC268" i="3" l="1"/>
  <c r="BD268" i="3" s="1"/>
  <c r="BM271" i="3"/>
  <c r="BD267" i="3"/>
  <c r="AG271" i="3"/>
  <c r="AY269" i="3"/>
  <c r="AN271" i="3"/>
  <c r="AW270" i="3"/>
  <c r="AO271" i="3"/>
  <c r="AU270" i="3"/>
  <c r="BA269" i="3"/>
  <c r="AV269" i="3"/>
  <c r="A273" i="3"/>
  <c r="B272" i="3"/>
  <c r="AR272" i="3"/>
  <c r="AQ272" i="3"/>
  <c r="C272" i="3"/>
  <c r="AM272" i="3"/>
  <c r="T272" i="3"/>
  <c r="AK272" i="3"/>
  <c r="Q272" i="3"/>
  <c r="R272" i="3"/>
  <c r="P272" i="3"/>
  <c r="AD272" i="3"/>
  <c r="M272" i="3"/>
  <c r="AE272" i="3"/>
  <c r="O272" i="3"/>
  <c r="AF272" i="3"/>
  <c r="U272" i="3"/>
  <c r="V272" i="3"/>
  <c r="G272" i="3"/>
  <c r="H272" i="3" s="1"/>
  <c r="F272" i="3"/>
  <c r="D272" i="3"/>
  <c r="S272" i="3"/>
  <c r="BF268" i="3"/>
  <c r="BJ267" i="3" s="1"/>
  <c r="BK267" i="3" s="1"/>
  <c r="BQ268" i="3"/>
  <c r="BB268" i="3"/>
  <c r="AH271" i="3"/>
  <c r="Y271" i="3"/>
  <c r="Z271" i="3" s="1"/>
  <c r="AT270" i="3"/>
  <c r="AX270" i="3"/>
  <c r="X271" i="3"/>
  <c r="BN271" i="3"/>
  <c r="BG268" i="3" l="1"/>
  <c r="BH268" i="3" s="1"/>
  <c r="BI268" i="3" s="1"/>
  <c r="AO272" i="3"/>
  <c r="BM272" i="3"/>
  <c r="BC269" i="3"/>
  <c r="BG269" i="3" s="1"/>
  <c r="BH269" i="3" s="1"/>
  <c r="BI269" i="3" s="1"/>
  <c r="AY270" i="3"/>
  <c r="AX271" i="3"/>
  <c r="AT271" i="3"/>
  <c r="AU271" i="3"/>
  <c r="AW271" i="3"/>
  <c r="X272" i="3"/>
  <c r="AV270" i="3"/>
  <c r="BA270" i="3"/>
  <c r="Y272" i="3"/>
  <c r="Z272" i="3" s="1"/>
  <c r="AR273" i="3"/>
  <c r="B273" i="3"/>
  <c r="AQ273" i="3"/>
  <c r="A274" i="3"/>
  <c r="R273" i="3"/>
  <c r="AM273" i="3"/>
  <c r="AK273" i="3"/>
  <c r="S273" i="3"/>
  <c r="Q273" i="3"/>
  <c r="AD273" i="3"/>
  <c r="P273" i="3"/>
  <c r="AF273" i="3"/>
  <c r="U273" i="3"/>
  <c r="O273" i="3"/>
  <c r="AE273" i="3"/>
  <c r="M273" i="3"/>
  <c r="V273" i="3"/>
  <c r="D273" i="3"/>
  <c r="F273" i="3"/>
  <c r="C273" i="3"/>
  <c r="G273" i="3"/>
  <c r="H273" i="3" s="1"/>
  <c r="T273" i="3"/>
  <c r="BF269" i="3"/>
  <c r="BJ268" i="3" s="1"/>
  <c r="BK268" i="3" s="1"/>
  <c r="BB269" i="3"/>
  <c r="BQ269" i="3"/>
  <c r="BN272" i="3"/>
  <c r="AG272" i="3"/>
  <c r="AH272" i="3"/>
  <c r="AN272" i="3"/>
  <c r="BD269" i="3" l="1"/>
  <c r="BC270" i="3"/>
  <c r="BD270" i="3" s="1"/>
  <c r="BN273" i="3"/>
  <c r="BM273" i="3"/>
  <c r="AU272" i="3"/>
  <c r="AV271" i="3"/>
  <c r="AY271" i="3"/>
  <c r="AO273" i="3"/>
  <c r="BA271" i="3"/>
  <c r="BB271" i="3" s="1"/>
  <c r="AG273" i="3"/>
  <c r="AR274" i="3"/>
  <c r="B274" i="3"/>
  <c r="AQ274" i="3"/>
  <c r="A275" i="3"/>
  <c r="C274" i="3"/>
  <c r="AK274" i="3"/>
  <c r="S274" i="3"/>
  <c r="AM274" i="3"/>
  <c r="T274" i="3"/>
  <c r="Q274" i="3"/>
  <c r="AD274" i="3"/>
  <c r="P274" i="3"/>
  <c r="O274" i="3"/>
  <c r="M274" i="3"/>
  <c r="AF274" i="3"/>
  <c r="AE274" i="3"/>
  <c r="V274" i="3"/>
  <c r="U274" i="3"/>
  <c r="R274" i="3"/>
  <c r="D274" i="3"/>
  <c r="G274" i="3"/>
  <c r="H274" i="3" s="1"/>
  <c r="F274" i="3"/>
  <c r="BQ270" i="3"/>
  <c r="BF270" i="3"/>
  <c r="BJ269" i="3" s="1"/>
  <c r="BK269" i="3" s="1"/>
  <c r="BB270" i="3"/>
  <c r="AT272" i="3"/>
  <c r="AX272" i="3"/>
  <c r="Y273" i="3"/>
  <c r="Z273" i="3" s="1"/>
  <c r="X273" i="3"/>
  <c r="AH273" i="3"/>
  <c r="AN273" i="3"/>
  <c r="AW272" i="3"/>
  <c r="BG270" i="3" l="1"/>
  <c r="BH270" i="3" s="1"/>
  <c r="BI270" i="3" s="1"/>
  <c r="AN274" i="3"/>
  <c r="BM274" i="3"/>
  <c r="BC271" i="3"/>
  <c r="BG271" i="3" s="1"/>
  <c r="BH271" i="3" s="1"/>
  <c r="BI271" i="3" s="1"/>
  <c r="AW273" i="3"/>
  <c r="BQ271" i="3"/>
  <c r="BF271" i="3"/>
  <c r="BJ270" i="3" s="1"/>
  <c r="BK270" i="3" s="1"/>
  <c r="AX273" i="3"/>
  <c r="AG274" i="3"/>
  <c r="BA272" i="3"/>
  <c r="AV272" i="3"/>
  <c r="Y274" i="3"/>
  <c r="Z274" i="3" s="1"/>
  <c r="AU273" i="3"/>
  <c r="AY272" i="3"/>
  <c r="AT273" i="3"/>
  <c r="BN274" i="3"/>
  <c r="AH274" i="3"/>
  <c r="X274" i="3"/>
  <c r="AQ275" i="3"/>
  <c r="B275" i="3"/>
  <c r="A276" i="3"/>
  <c r="AR275" i="3"/>
  <c r="AM275" i="3"/>
  <c r="AK275" i="3"/>
  <c r="R275" i="3"/>
  <c r="AD275" i="3"/>
  <c r="P275" i="3"/>
  <c r="O275" i="3"/>
  <c r="M275" i="3"/>
  <c r="AE275" i="3"/>
  <c r="AF275" i="3"/>
  <c r="V275" i="3"/>
  <c r="U275" i="3"/>
  <c r="D275" i="3"/>
  <c r="G275" i="3"/>
  <c r="H275" i="3" s="1"/>
  <c r="F275" i="3"/>
  <c r="Q275" i="3"/>
  <c r="C275" i="3"/>
  <c r="S275" i="3"/>
  <c r="T275" i="3"/>
  <c r="AO274" i="3"/>
  <c r="AT274" i="3" l="1"/>
  <c r="AU274" i="3"/>
  <c r="AW274" i="3"/>
  <c r="BN275" i="3"/>
  <c r="AN275" i="3"/>
  <c r="BD271" i="3"/>
  <c r="AY273" i="3"/>
  <c r="X275" i="3"/>
  <c r="Y275" i="3"/>
  <c r="Z275" i="3" s="1"/>
  <c r="BF272" i="3"/>
  <c r="BJ271" i="3" s="1"/>
  <c r="BK271" i="3" s="1"/>
  <c r="BQ272" i="3"/>
  <c r="BB272" i="3"/>
  <c r="BM275" i="3"/>
  <c r="AG275" i="3"/>
  <c r="AH275" i="3"/>
  <c r="AO275" i="3"/>
  <c r="A277" i="3"/>
  <c r="B276" i="3"/>
  <c r="AR276" i="3"/>
  <c r="AQ276" i="3"/>
  <c r="AK276" i="3"/>
  <c r="S276" i="3"/>
  <c r="R276" i="3"/>
  <c r="C276" i="3"/>
  <c r="AM276" i="3"/>
  <c r="P276" i="3"/>
  <c r="Q276" i="3"/>
  <c r="AD276" i="3"/>
  <c r="M276" i="3"/>
  <c r="O276" i="3"/>
  <c r="AE276" i="3"/>
  <c r="U276" i="3"/>
  <c r="AF276" i="3"/>
  <c r="V276" i="3"/>
  <c r="D276" i="3"/>
  <c r="G276" i="3"/>
  <c r="H276" i="3" s="1"/>
  <c r="F276" i="3"/>
  <c r="T276" i="3"/>
  <c r="AV273" i="3"/>
  <c r="BA273" i="3"/>
  <c r="AX274" i="3"/>
  <c r="BC272" i="3"/>
  <c r="AN276" i="3" l="1"/>
  <c r="AV274" i="3"/>
  <c r="BA274" i="3"/>
  <c r="BF274" i="3" s="1"/>
  <c r="BC273" i="3"/>
  <c r="BG273" i="3" s="1"/>
  <c r="BH273" i="3" s="1"/>
  <c r="BI273" i="3" s="1"/>
  <c r="BN276" i="3"/>
  <c r="AT275" i="3"/>
  <c r="AH276" i="3"/>
  <c r="AX275" i="3"/>
  <c r="AU275" i="3"/>
  <c r="BB273" i="3"/>
  <c r="BF273" i="3"/>
  <c r="BJ272" i="3" s="1"/>
  <c r="BK272" i="3" s="1"/>
  <c r="BQ273" i="3"/>
  <c r="BD272" i="3"/>
  <c r="BG272" i="3"/>
  <c r="BH272" i="3" s="1"/>
  <c r="BI272" i="3" s="1"/>
  <c r="AR277" i="3"/>
  <c r="B277" i="3"/>
  <c r="AQ277" i="3"/>
  <c r="A278" i="3"/>
  <c r="D277" i="3"/>
  <c r="T277" i="3"/>
  <c r="AM277" i="3"/>
  <c r="AK277" i="3"/>
  <c r="S277" i="3"/>
  <c r="R277" i="3"/>
  <c r="Q277" i="3"/>
  <c r="P277" i="3"/>
  <c r="AD277" i="3"/>
  <c r="O277" i="3"/>
  <c r="M277" i="3"/>
  <c r="AF277" i="3"/>
  <c r="U277" i="3"/>
  <c r="AE277" i="3"/>
  <c r="V277" i="3"/>
  <c r="G277" i="3"/>
  <c r="H277" i="3" s="1"/>
  <c r="F277" i="3"/>
  <c r="C277" i="3"/>
  <c r="Y276" i="3"/>
  <c r="Z276" i="3" s="1"/>
  <c r="X276" i="3"/>
  <c r="BM276" i="3"/>
  <c r="AG276" i="3"/>
  <c r="AO276" i="3"/>
  <c r="AW275" i="3"/>
  <c r="AY274" i="3"/>
  <c r="BC274" i="3" l="1"/>
  <c r="BD274" i="3" s="1"/>
  <c r="BD273" i="3"/>
  <c r="BQ274" i="3"/>
  <c r="BB274" i="3"/>
  <c r="BN277" i="3"/>
  <c r="AU276" i="3"/>
  <c r="AV275" i="3"/>
  <c r="AY275" i="3"/>
  <c r="AW276" i="3"/>
  <c r="AO277" i="3"/>
  <c r="X277" i="3"/>
  <c r="AG277" i="3"/>
  <c r="BA275" i="3"/>
  <c r="BB275" i="3" s="1"/>
  <c r="Y277" i="3"/>
  <c r="Z277" i="3" s="1"/>
  <c r="BJ273" i="3"/>
  <c r="BK273" i="3" s="1"/>
  <c r="AT276" i="3"/>
  <c r="AX276" i="3"/>
  <c r="BM277" i="3"/>
  <c r="AH277" i="3"/>
  <c r="AN277" i="3"/>
  <c r="AR278" i="3"/>
  <c r="B278" i="3"/>
  <c r="AQ278" i="3"/>
  <c r="A279" i="3"/>
  <c r="D278" i="3"/>
  <c r="C278" i="3"/>
  <c r="AK278" i="3"/>
  <c r="S278" i="3"/>
  <c r="Q278" i="3"/>
  <c r="AM278" i="3"/>
  <c r="R278" i="3"/>
  <c r="AD278" i="3"/>
  <c r="AE278" i="3"/>
  <c r="P278" i="3"/>
  <c r="M278" i="3"/>
  <c r="AF278" i="3"/>
  <c r="O278" i="3"/>
  <c r="V278" i="3"/>
  <c r="U278" i="3"/>
  <c r="G278" i="3"/>
  <c r="H278" i="3" s="1"/>
  <c r="F278" i="3"/>
  <c r="T278" i="3"/>
  <c r="BG274" i="3" l="1"/>
  <c r="BH274" i="3" s="1"/>
  <c r="BI274" i="3" s="1"/>
  <c r="AU277" i="3"/>
  <c r="BM278" i="3"/>
  <c r="BC275" i="3"/>
  <c r="BG275" i="3" s="1"/>
  <c r="BH275" i="3" s="1"/>
  <c r="BI275" i="3" s="1"/>
  <c r="AY276" i="3"/>
  <c r="AO278" i="3"/>
  <c r="AT277" i="3"/>
  <c r="AW277" i="3"/>
  <c r="AG278" i="3"/>
  <c r="BF275" i="3"/>
  <c r="BJ274" i="3" s="1"/>
  <c r="BK274" i="3" s="1"/>
  <c r="BQ275" i="3"/>
  <c r="AV276" i="3"/>
  <c r="BA276" i="3"/>
  <c r="AQ279" i="3"/>
  <c r="B279" i="3"/>
  <c r="A280" i="3"/>
  <c r="AR279" i="3"/>
  <c r="AK279" i="3"/>
  <c r="Q279" i="3"/>
  <c r="AM279" i="3"/>
  <c r="T279" i="3"/>
  <c r="AD279" i="3"/>
  <c r="R279" i="3"/>
  <c r="P279" i="3"/>
  <c r="O279" i="3"/>
  <c r="M279" i="3"/>
  <c r="AE279" i="3"/>
  <c r="AF279" i="3"/>
  <c r="V279" i="3"/>
  <c r="U279" i="3"/>
  <c r="D279" i="3"/>
  <c r="F279" i="3"/>
  <c r="C279" i="3"/>
  <c r="G279" i="3"/>
  <c r="H279" i="3" s="1"/>
  <c r="S279" i="3"/>
  <c r="Y278" i="3"/>
  <c r="Z278" i="3" s="1"/>
  <c r="BN278" i="3"/>
  <c r="AH278" i="3"/>
  <c r="AN278" i="3"/>
  <c r="X278" i="3"/>
  <c r="AX277" i="3"/>
  <c r="AN279" i="3" l="1"/>
  <c r="AU278" i="3"/>
  <c r="AV277" i="3"/>
  <c r="BM279" i="3"/>
  <c r="AY277" i="3"/>
  <c r="BD275" i="3"/>
  <c r="BC276" i="3"/>
  <c r="BD276" i="3" s="1"/>
  <c r="AH279" i="3"/>
  <c r="AT278" i="3"/>
  <c r="AW278" i="3"/>
  <c r="Y279" i="3"/>
  <c r="Z279" i="3" s="1"/>
  <c r="BN279" i="3"/>
  <c r="A281" i="3"/>
  <c r="B280" i="3"/>
  <c r="AR280" i="3"/>
  <c r="AQ280" i="3"/>
  <c r="D280" i="3"/>
  <c r="AM280" i="3"/>
  <c r="AK280" i="3"/>
  <c r="S280" i="3"/>
  <c r="Q280" i="3"/>
  <c r="C280" i="3"/>
  <c r="T280" i="3"/>
  <c r="AD280" i="3"/>
  <c r="R280" i="3"/>
  <c r="P280" i="3"/>
  <c r="AE280" i="3"/>
  <c r="M280" i="3"/>
  <c r="V280" i="3"/>
  <c r="O280" i="3"/>
  <c r="AF280" i="3"/>
  <c r="U280" i="3"/>
  <c r="G280" i="3"/>
  <c r="H280" i="3" s="1"/>
  <c r="BN280" i="3" s="1"/>
  <c r="F280" i="3"/>
  <c r="BF276" i="3"/>
  <c r="BJ275" i="3" s="1"/>
  <c r="BK275" i="3" s="1"/>
  <c r="BB276" i="3"/>
  <c r="BQ276" i="3"/>
  <c r="AO279" i="3"/>
  <c r="AX278" i="3"/>
  <c r="BA277" i="3"/>
  <c r="X279" i="3"/>
  <c r="AG279" i="3"/>
  <c r="BM280" i="3" l="1"/>
  <c r="AW279" i="3"/>
  <c r="BC277" i="3"/>
  <c r="BG277" i="3" s="1"/>
  <c r="BH277" i="3" s="1"/>
  <c r="BI277" i="3" s="1"/>
  <c r="AV278" i="3"/>
  <c r="BG276" i="3"/>
  <c r="BH276" i="3" s="1"/>
  <c r="BI276" i="3" s="1"/>
  <c r="AY278" i="3"/>
  <c r="AO280" i="3"/>
  <c r="BB277" i="3"/>
  <c r="BQ277" i="3"/>
  <c r="BF277" i="3"/>
  <c r="BJ276" i="3" s="1"/>
  <c r="BK276" i="3" s="1"/>
  <c r="AG280" i="3"/>
  <c r="AT279" i="3"/>
  <c r="AH280" i="3"/>
  <c r="X280" i="3"/>
  <c r="AN280" i="3"/>
  <c r="BA278" i="3"/>
  <c r="AU279" i="3"/>
  <c r="Y280" i="3"/>
  <c r="Z280" i="3" s="1"/>
  <c r="AR281" i="3"/>
  <c r="B281" i="3"/>
  <c r="AQ281" i="3"/>
  <c r="A282" i="3"/>
  <c r="S281" i="3"/>
  <c r="T281" i="3"/>
  <c r="AK281" i="3"/>
  <c r="AM281" i="3"/>
  <c r="Q281" i="3"/>
  <c r="P281" i="3"/>
  <c r="AD281" i="3"/>
  <c r="AE281" i="3"/>
  <c r="U281" i="3"/>
  <c r="O281" i="3"/>
  <c r="AF281" i="3"/>
  <c r="M281" i="3"/>
  <c r="V281" i="3"/>
  <c r="R281" i="3"/>
  <c r="D281" i="3"/>
  <c r="F281" i="3"/>
  <c r="C281" i="3"/>
  <c r="G281" i="3"/>
  <c r="H281" i="3" s="1"/>
  <c r="AX279" i="3"/>
  <c r="AY279" i="3" l="1"/>
  <c r="AT280" i="3"/>
  <c r="BD277" i="3"/>
  <c r="BC278" i="3"/>
  <c r="BD278" i="3" s="1"/>
  <c r="AU280" i="3"/>
  <c r="BM281" i="3"/>
  <c r="AG281" i="3"/>
  <c r="AN281" i="3"/>
  <c r="Y281" i="3"/>
  <c r="Z281" i="3" s="1"/>
  <c r="BN281" i="3"/>
  <c r="BB278" i="3"/>
  <c r="BF278" i="3"/>
  <c r="BJ277" i="3" s="1"/>
  <c r="BK277" i="3" s="1"/>
  <c r="BQ278" i="3"/>
  <c r="X281" i="3"/>
  <c r="AH281" i="3"/>
  <c r="AO281" i="3"/>
  <c r="AX280" i="3"/>
  <c r="AW280" i="3"/>
  <c r="AR282" i="3"/>
  <c r="B282" i="3"/>
  <c r="AQ282" i="3"/>
  <c r="A283" i="3"/>
  <c r="C282" i="3"/>
  <c r="T282" i="3"/>
  <c r="AM282" i="3"/>
  <c r="AK282" i="3"/>
  <c r="S282" i="3"/>
  <c r="R282" i="3"/>
  <c r="Q282" i="3"/>
  <c r="P282" i="3"/>
  <c r="AD282" i="3"/>
  <c r="O282" i="3"/>
  <c r="AF282" i="3"/>
  <c r="M282" i="3"/>
  <c r="AE282" i="3"/>
  <c r="U282" i="3"/>
  <c r="V282" i="3"/>
  <c r="F282" i="3"/>
  <c r="D282" i="3"/>
  <c r="G282" i="3"/>
  <c r="H282" i="3" s="1"/>
  <c r="BA279" i="3"/>
  <c r="AV279" i="3"/>
  <c r="BC279" i="3" l="1"/>
  <c r="BG279" i="3" s="1"/>
  <c r="BH279" i="3" s="1"/>
  <c r="BI279" i="3" s="1"/>
  <c r="AV280" i="3"/>
  <c r="BG278" i="3"/>
  <c r="BH278" i="3" s="1"/>
  <c r="BI278" i="3" s="1"/>
  <c r="AU281" i="3"/>
  <c r="AN282" i="3"/>
  <c r="AG282" i="3"/>
  <c r="AX281" i="3"/>
  <c r="AY280" i="3"/>
  <c r="AQ283" i="3"/>
  <c r="B283" i="3"/>
  <c r="A284" i="3"/>
  <c r="AR283" i="3"/>
  <c r="C283" i="3"/>
  <c r="AK283" i="3"/>
  <c r="AM283" i="3"/>
  <c r="AD283" i="3"/>
  <c r="P283" i="3"/>
  <c r="R283" i="3"/>
  <c r="Q283" i="3"/>
  <c r="O283" i="3"/>
  <c r="AE283" i="3"/>
  <c r="AF283" i="3"/>
  <c r="M283" i="3"/>
  <c r="V283" i="3"/>
  <c r="U283" i="3"/>
  <c r="D283" i="3"/>
  <c r="G283" i="3"/>
  <c r="H283" i="3" s="1"/>
  <c r="F283" i="3"/>
  <c r="T283" i="3"/>
  <c r="S283" i="3"/>
  <c r="AH282" i="3"/>
  <c r="BN282" i="3"/>
  <c r="BM282" i="3"/>
  <c r="AO282" i="3"/>
  <c r="AT281" i="3"/>
  <c r="AW281" i="3"/>
  <c r="BQ279" i="3"/>
  <c r="BB279" i="3"/>
  <c r="BF279" i="3"/>
  <c r="BJ278" i="3" s="1"/>
  <c r="BK278" i="3" s="1"/>
  <c r="Y282" i="3"/>
  <c r="Z282" i="3" s="1"/>
  <c r="X282" i="3"/>
  <c r="BA280" i="3"/>
  <c r="BD279" i="3" l="1"/>
  <c r="BC280" i="3"/>
  <c r="BG280" i="3" s="1"/>
  <c r="BH280" i="3" s="1"/>
  <c r="BI280" i="3" s="1"/>
  <c r="BN283" i="3"/>
  <c r="AO283" i="3"/>
  <c r="BM283" i="3"/>
  <c r="AT282" i="3"/>
  <c r="AY281" i="3"/>
  <c r="AW282" i="3"/>
  <c r="Y283" i="3"/>
  <c r="Z283" i="3" s="1"/>
  <c r="AN283" i="3"/>
  <c r="X283" i="3"/>
  <c r="AH283" i="3"/>
  <c r="BQ280" i="3"/>
  <c r="BF280" i="3"/>
  <c r="BJ279" i="3" s="1"/>
  <c r="BK279" i="3" s="1"/>
  <c r="BB280" i="3"/>
  <c r="AV281" i="3"/>
  <c r="BA281" i="3"/>
  <c r="A285" i="3"/>
  <c r="B284" i="3"/>
  <c r="AR284" i="3"/>
  <c r="AQ284" i="3"/>
  <c r="C284" i="3"/>
  <c r="AM284" i="3"/>
  <c r="AK284" i="3"/>
  <c r="S284" i="3"/>
  <c r="AD284" i="3"/>
  <c r="T284" i="3"/>
  <c r="Q284" i="3"/>
  <c r="P284" i="3"/>
  <c r="M284" i="3"/>
  <c r="O284" i="3"/>
  <c r="AE284" i="3"/>
  <c r="V284" i="3"/>
  <c r="AF284" i="3"/>
  <c r="U284" i="3"/>
  <c r="R284" i="3"/>
  <c r="F284" i="3"/>
  <c r="G284" i="3"/>
  <c r="H284" i="3" s="1"/>
  <c r="D284" i="3"/>
  <c r="AU282" i="3"/>
  <c r="AG283" i="3"/>
  <c r="AX282" i="3"/>
  <c r="BD280" i="3" l="1"/>
  <c r="BM284" i="3"/>
  <c r="BC281" i="3"/>
  <c r="BD281" i="3" s="1"/>
  <c r="AY282" i="3"/>
  <c r="AN284" i="3"/>
  <c r="AU283" i="3"/>
  <c r="AX283" i="3"/>
  <c r="BA282" i="3"/>
  <c r="BF282" i="3" s="1"/>
  <c r="Y284" i="3"/>
  <c r="Z284" i="3" s="1"/>
  <c r="AT283" i="3"/>
  <c r="AW283" i="3"/>
  <c r="AR285" i="3"/>
  <c r="B285" i="3"/>
  <c r="AQ285" i="3"/>
  <c r="A286" i="3"/>
  <c r="C285" i="3"/>
  <c r="AK285" i="3"/>
  <c r="AM285" i="3"/>
  <c r="R285" i="3"/>
  <c r="AD285" i="3"/>
  <c r="P285" i="3"/>
  <c r="O285" i="3"/>
  <c r="AE285" i="3"/>
  <c r="M285" i="3"/>
  <c r="AF285" i="3"/>
  <c r="U285" i="3"/>
  <c r="V285" i="3"/>
  <c r="Q285" i="3"/>
  <c r="D285" i="3"/>
  <c r="G285" i="3"/>
  <c r="H285" i="3" s="1"/>
  <c r="F285" i="3"/>
  <c r="T285" i="3"/>
  <c r="S285" i="3"/>
  <c r="BN284" i="3"/>
  <c r="AG284" i="3"/>
  <c r="AH284" i="3"/>
  <c r="AO284" i="3"/>
  <c r="X284" i="3"/>
  <c r="AV282" i="3"/>
  <c r="BQ281" i="3"/>
  <c r="BF281" i="3"/>
  <c r="BJ280" i="3" s="1"/>
  <c r="BK280" i="3" s="1"/>
  <c r="BB281" i="3"/>
  <c r="AV283" i="3" l="1"/>
  <c r="BC282" i="3"/>
  <c r="BD282" i="3" s="1"/>
  <c r="AY283" i="3"/>
  <c r="BN285" i="3"/>
  <c r="BG281" i="3"/>
  <c r="BH281" i="3" s="1"/>
  <c r="BI281" i="3" s="1"/>
  <c r="AT284" i="3"/>
  <c r="AH285" i="3"/>
  <c r="BB282" i="3"/>
  <c r="BA283" i="3"/>
  <c r="BB283" i="3" s="1"/>
  <c r="BQ282" i="3"/>
  <c r="AN285" i="3"/>
  <c r="AO285" i="3"/>
  <c r="AR286" i="3"/>
  <c r="B286" i="3"/>
  <c r="AQ286" i="3"/>
  <c r="A287" i="3"/>
  <c r="AM286" i="3"/>
  <c r="AK286" i="3"/>
  <c r="R286" i="3"/>
  <c r="S286" i="3"/>
  <c r="Q286" i="3"/>
  <c r="P286" i="3"/>
  <c r="AD286" i="3"/>
  <c r="O286" i="3"/>
  <c r="AE286" i="3"/>
  <c r="U286" i="3"/>
  <c r="M286" i="3"/>
  <c r="AF286" i="3"/>
  <c r="V286" i="3"/>
  <c r="C286" i="3"/>
  <c r="F286" i="3"/>
  <c r="D286" i="3"/>
  <c r="G286" i="3"/>
  <c r="H286" i="3" s="1"/>
  <c r="T286" i="3"/>
  <c r="AW284" i="3"/>
  <c r="Y285" i="3"/>
  <c r="Z285" i="3" s="1"/>
  <c r="AU284" i="3"/>
  <c r="AX284" i="3"/>
  <c r="X285" i="3"/>
  <c r="BM285" i="3"/>
  <c r="AG285" i="3"/>
  <c r="BJ281" i="3"/>
  <c r="BK281" i="3" s="1"/>
  <c r="BC283" i="3" l="1"/>
  <c r="BD283" i="3" s="1"/>
  <c r="BG282" i="3"/>
  <c r="BH282" i="3" s="1"/>
  <c r="BI282" i="3" s="1"/>
  <c r="BF283" i="3"/>
  <c r="BJ282" i="3" s="1"/>
  <c r="BK282" i="3" s="1"/>
  <c r="AW285" i="3"/>
  <c r="AO286" i="3"/>
  <c r="AT285" i="3"/>
  <c r="AU285" i="3"/>
  <c r="BA284" i="3"/>
  <c r="BQ284" i="3" s="1"/>
  <c r="BQ283" i="3"/>
  <c r="Y286" i="3"/>
  <c r="Z286" i="3" s="1"/>
  <c r="X286" i="3"/>
  <c r="AX285" i="3"/>
  <c r="AY284" i="3"/>
  <c r="BN286" i="3"/>
  <c r="BM286" i="3"/>
  <c r="AG286" i="3"/>
  <c r="AH286" i="3"/>
  <c r="AN286" i="3"/>
  <c r="AV284" i="3"/>
  <c r="AQ287" i="3"/>
  <c r="B287" i="3"/>
  <c r="A288" i="3"/>
  <c r="AR287" i="3"/>
  <c r="D287" i="3"/>
  <c r="AK287" i="3"/>
  <c r="AM287" i="3"/>
  <c r="S287" i="3"/>
  <c r="Q287" i="3"/>
  <c r="AD287" i="3"/>
  <c r="O287" i="3"/>
  <c r="M287" i="3"/>
  <c r="AE287" i="3"/>
  <c r="V287" i="3"/>
  <c r="U287" i="3"/>
  <c r="P287" i="3"/>
  <c r="AF287" i="3"/>
  <c r="R287" i="3"/>
  <c r="G287" i="3"/>
  <c r="H287" i="3" s="1"/>
  <c r="C287" i="3"/>
  <c r="F287" i="3"/>
  <c r="T287" i="3"/>
  <c r="BG283" i="3" l="1"/>
  <c r="BH283" i="3" s="1"/>
  <c r="BI283" i="3" s="1"/>
  <c r="BN287" i="3"/>
  <c r="BB284" i="3"/>
  <c r="BM287" i="3"/>
  <c r="AU286" i="3"/>
  <c r="AV285" i="3"/>
  <c r="BF284" i="3"/>
  <c r="BJ283" i="3" s="1"/>
  <c r="BK283" i="3" s="1"/>
  <c r="AY285" i="3"/>
  <c r="AN287" i="3"/>
  <c r="A289" i="3"/>
  <c r="B288" i="3"/>
  <c r="AR288" i="3"/>
  <c r="AQ288" i="3"/>
  <c r="AM288" i="3"/>
  <c r="AK288" i="3"/>
  <c r="R288" i="3"/>
  <c r="AD288" i="3"/>
  <c r="Q288" i="3"/>
  <c r="P288" i="3"/>
  <c r="O288" i="3"/>
  <c r="AF288" i="3"/>
  <c r="V288" i="3"/>
  <c r="U288" i="3"/>
  <c r="AE288" i="3"/>
  <c r="M288" i="3"/>
  <c r="D288" i="3"/>
  <c r="C288" i="3"/>
  <c r="G288" i="3"/>
  <c r="H288" i="3" s="1"/>
  <c r="F288" i="3"/>
  <c r="T288" i="3"/>
  <c r="S288" i="3"/>
  <c r="AT286" i="3"/>
  <c r="AX286" i="3"/>
  <c r="AG287" i="3"/>
  <c r="BC284" i="3"/>
  <c r="Y287" i="3"/>
  <c r="Z287" i="3" s="1"/>
  <c r="X287" i="3"/>
  <c r="AH287" i="3"/>
  <c r="AO287" i="3"/>
  <c r="AW286" i="3"/>
  <c r="BA285" i="3"/>
  <c r="BN288" i="3" l="1"/>
  <c r="BM288" i="3"/>
  <c r="AV286" i="3"/>
  <c r="BC285" i="3"/>
  <c r="BD285" i="3" s="1"/>
  <c r="AT287" i="3"/>
  <c r="AO288" i="3"/>
  <c r="AX287" i="3"/>
  <c r="BA286" i="3"/>
  <c r="BB286" i="3" s="1"/>
  <c r="X288" i="3"/>
  <c r="AH288" i="3"/>
  <c r="BF285" i="3"/>
  <c r="BJ284" i="3" s="1"/>
  <c r="BK284" i="3" s="1"/>
  <c r="BB285" i="3"/>
  <c r="BQ285" i="3"/>
  <c r="BD284" i="3"/>
  <c r="BG284" i="3"/>
  <c r="BH284" i="3" s="1"/>
  <c r="BI284" i="3" s="1"/>
  <c r="AR289" i="3"/>
  <c r="B289" i="3"/>
  <c r="AQ289" i="3"/>
  <c r="A290" i="3"/>
  <c r="D289" i="3"/>
  <c r="AM289" i="3"/>
  <c r="AK289" i="3"/>
  <c r="T289" i="3"/>
  <c r="R289" i="3"/>
  <c r="Q289" i="3"/>
  <c r="AD289" i="3"/>
  <c r="P289" i="3"/>
  <c r="O289" i="3"/>
  <c r="M289" i="3"/>
  <c r="AF289" i="3"/>
  <c r="V289" i="3"/>
  <c r="U289" i="3"/>
  <c r="AE289" i="3"/>
  <c r="C289" i="3"/>
  <c r="G289" i="3"/>
  <c r="H289" i="3" s="1"/>
  <c r="F289" i="3"/>
  <c r="S289" i="3"/>
  <c r="AY286" i="3"/>
  <c r="AU287" i="3"/>
  <c r="AW287" i="3"/>
  <c r="Y288" i="3"/>
  <c r="Z288" i="3" s="1"/>
  <c r="AG288" i="3"/>
  <c r="AN288" i="3"/>
  <c r="BM289" i="3" l="1"/>
  <c r="AY287" i="3"/>
  <c r="BQ286" i="3"/>
  <c r="AV287" i="3"/>
  <c r="BG285" i="3"/>
  <c r="BH285" i="3" s="1"/>
  <c r="BI285" i="3" s="1"/>
  <c r="BN289" i="3"/>
  <c r="BC286" i="3"/>
  <c r="BD286" i="3" s="1"/>
  <c r="AO289" i="3"/>
  <c r="BF286" i="3"/>
  <c r="BJ285" i="3" s="1"/>
  <c r="BK285" i="3" s="1"/>
  <c r="AW288" i="3"/>
  <c r="Y289" i="3"/>
  <c r="Z289" i="3" s="1"/>
  <c r="AT288" i="3"/>
  <c r="AX288" i="3"/>
  <c r="AH289" i="3"/>
  <c r="BA287" i="3"/>
  <c r="AR290" i="3"/>
  <c r="B290" i="3"/>
  <c r="AQ290" i="3"/>
  <c r="A291" i="3"/>
  <c r="C290" i="3"/>
  <c r="AK290" i="3"/>
  <c r="AM290" i="3"/>
  <c r="S290" i="3"/>
  <c r="R290" i="3"/>
  <c r="D290" i="3"/>
  <c r="AD290" i="3"/>
  <c r="Q290" i="3"/>
  <c r="P290" i="3"/>
  <c r="O290" i="3"/>
  <c r="AE290" i="3"/>
  <c r="V290" i="3"/>
  <c r="AF290" i="3"/>
  <c r="M290" i="3"/>
  <c r="U290" i="3"/>
  <c r="F290" i="3"/>
  <c r="G290" i="3"/>
  <c r="H290" i="3" s="1"/>
  <c r="T290" i="3"/>
  <c r="AU288" i="3"/>
  <c r="X289" i="3"/>
  <c r="AG289" i="3"/>
  <c r="AN289" i="3"/>
  <c r="AT289" i="3" l="1"/>
  <c r="BC287" i="3"/>
  <c r="BD287" i="3" s="1"/>
  <c r="BM290" i="3"/>
  <c r="BG286" i="3"/>
  <c r="BH286" i="3" s="1"/>
  <c r="BI286" i="3" s="1"/>
  <c r="AN290" i="3"/>
  <c r="BN290" i="3"/>
  <c r="AY288" i="3"/>
  <c r="AV288" i="3"/>
  <c r="BA288" i="3"/>
  <c r="AG290" i="3"/>
  <c r="AH290" i="3"/>
  <c r="X290" i="3"/>
  <c r="AX289" i="3"/>
  <c r="AQ291" i="3"/>
  <c r="B291" i="3"/>
  <c r="A292" i="3"/>
  <c r="AR291" i="3"/>
  <c r="AK291" i="3"/>
  <c r="AM291" i="3"/>
  <c r="T291" i="3"/>
  <c r="R291" i="3"/>
  <c r="AD291" i="3"/>
  <c r="P291" i="3"/>
  <c r="O291" i="3"/>
  <c r="AE291" i="3"/>
  <c r="V291" i="3"/>
  <c r="M291" i="3"/>
  <c r="AF291" i="3"/>
  <c r="U291" i="3"/>
  <c r="D291" i="3"/>
  <c r="G291" i="3"/>
  <c r="H291" i="3" s="1"/>
  <c r="Q291" i="3"/>
  <c r="C291" i="3"/>
  <c r="F291" i="3"/>
  <c r="S291" i="3"/>
  <c r="BQ287" i="3"/>
  <c r="BF287" i="3"/>
  <c r="BJ286" i="3" s="1"/>
  <c r="BK286" i="3" s="1"/>
  <c r="BB287" i="3"/>
  <c r="AW289" i="3"/>
  <c r="Y290" i="3"/>
  <c r="Z290" i="3" s="1"/>
  <c r="AO290" i="3"/>
  <c r="AU289" i="3"/>
  <c r="AV289" i="3" l="1"/>
  <c r="BG287" i="3"/>
  <c r="BH287" i="3" s="1"/>
  <c r="BI287" i="3" s="1"/>
  <c r="AY289" i="3"/>
  <c r="BC288" i="3"/>
  <c r="BG288" i="3" s="1"/>
  <c r="BH288" i="3" s="1"/>
  <c r="BI288" i="3" s="1"/>
  <c r="AU290" i="3"/>
  <c r="BN291" i="3"/>
  <c r="AN291" i="3"/>
  <c r="AT290" i="3"/>
  <c r="AG291" i="3"/>
  <c r="X291" i="3"/>
  <c r="Y291" i="3"/>
  <c r="Z291" i="3" s="1"/>
  <c r="A293" i="3"/>
  <c r="B292" i="3"/>
  <c r="AR292" i="3"/>
  <c r="AQ292" i="3"/>
  <c r="AK292" i="3"/>
  <c r="T292" i="3"/>
  <c r="AM292" i="3"/>
  <c r="C292" i="3"/>
  <c r="S292" i="3"/>
  <c r="R292" i="3"/>
  <c r="Q292" i="3"/>
  <c r="AD292" i="3"/>
  <c r="P292" i="3"/>
  <c r="AE292" i="3"/>
  <c r="AF292" i="3"/>
  <c r="V292" i="3"/>
  <c r="O292" i="3"/>
  <c r="M292" i="3"/>
  <c r="U292" i="3"/>
  <c r="D292" i="3"/>
  <c r="F292" i="3"/>
  <c r="G292" i="3"/>
  <c r="H292" i="3" s="1"/>
  <c r="BF288" i="3"/>
  <c r="BJ287" i="3" s="1"/>
  <c r="BK287" i="3" s="1"/>
  <c r="BQ288" i="3"/>
  <c r="BB288" i="3"/>
  <c r="BM291" i="3"/>
  <c r="AH291" i="3"/>
  <c r="AO291" i="3"/>
  <c r="AW290" i="3"/>
  <c r="BA289" i="3"/>
  <c r="AX290" i="3"/>
  <c r="BC289" i="3" l="1"/>
  <c r="BD289" i="3" s="1"/>
  <c r="BD288" i="3"/>
  <c r="BN292" i="3"/>
  <c r="AN292" i="3"/>
  <c r="AV290" i="3"/>
  <c r="BM292" i="3"/>
  <c r="AU291" i="3"/>
  <c r="AT291" i="3"/>
  <c r="AW291" i="3"/>
  <c r="AH292" i="3"/>
  <c r="AR293" i="3"/>
  <c r="B293" i="3"/>
  <c r="AQ293" i="3"/>
  <c r="A294" i="3"/>
  <c r="R293" i="3"/>
  <c r="AM293" i="3"/>
  <c r="AK293" i="3"/>
  <c r="S293" i="3"/>
  <c r="Q293" i="3"/>
  <c r="AD293" i="3"/>
  <c r="P293" i="3"/>
  <c r="O293" i="3"/>
  <c r="AE293" i="3"/>
  <c r="AF293" i="3"/>
  <c r="U293" i="3"/>
  <c r="V293" i="3"/>
  <c r="M293" i="3"/>
  <c r="C293" i="3"/>
  <c r="G293" i="3"/>
  <c r="H293" i="3" s="1"/>
  <c r="D293" i="3"/>
  <c r="F293" i="3"/>
  <c r="T293" i="3"/>
  <c r="AY290" i="3"/>
  <c r="AO292" i="3"/>
  <c r="BF289" i="3"/>
  <c r="BJ288" i="3" s="1"/>
  <c r="BK288" i="3" s="1"/>
  <c r="BQ289" i="3"/>
  <c r="BB289" i="3"/>
  <c r="Y292" i="3"/>
  <c r="Z292" i="3" s="1"/>
  <c r="AX291" i="3"/>
  <c r="BA290" i="3"/>
  <c r="AG292" i="3"/>
  <c r="X292" i="3"/>
  <c r="BC290" i="3" l="1"/>
  <c r="BD290" i="3" s="1"/>
  <c r="BG289" i="3"/>
  <c r="BH289" i="3" s="1"/>
  <c r="BI289" i="3" s="1"/>
  <c r="BM293" i="3"/>
  <c r="BN293" i="3"/>
  <c r="AU292" i="3"/>
  <c r="AV291" i="3"/>
  <c r="BA291" i="3"/>
  <c r="BB291" i="3" s="1"/>
  <c r="AG293" i="3"/>
  <c r="BQ290" i="3"/>
  <c r="BF290" i="3"/>
  <c r="BJ289" i="3" s="1"/>
  <c r="BK289" i="3" s="1"/>
  <c r="BB290" i="3"/>
  <c r="AR294" i="3"/>
  <c r="B294" i="3"/>
  <c r="AQ294" i="3"/>
  <c r="A295" i="3"/>
  <c r="AM294" i="3"/>
  <c r="AK294" i="3"/>
  <c r="Q294" i="3"/>
  <c r="T294" i="3"/>
  <c r="AD294" i="3"/>
  <c r="R294" i="3"/>
  <c r="P294" i="3"/>
  <c r="AE294" i="3"/>
  <c r="O294" i="3"/>
  <c r="AF294" i="3"/>
  <c r="V294" i="3"/>
  <c r="U294" i="3"/>
  <c r="M294" i="3"/>
  <c r="F294" i="3"/>
  <c r="D294" i="3"/>
  <c r="C294" i="3"/>
  <c r="G294" i="3"/>
  <c r="H294" i="3" s="1"/>
  <c r="S294" i="3"/>
  <c r="AW292" i="3"/>
  <c r="AT292" i="3"/>
  <c r="AX292" i="3"/>
  <c r="Y293" i="3"/>
  <c r="Z293" i="3" s="1"/>
  <c r="X293" i="3"/>
  <c r="AH293" i="3"/>
  <c r="AY291" i="3"/>
  <c r="AN293" i="3"/>
  <c r="AO293" i="3"/>
  <c r="BG290" i="3" l="1"/>
  <c r="BH290" i="3" s="1"/>
  <c r="BI290" i="3" s="1"/>
  <c r="BN294" i="3"/>
  <c r="AU293" i="3"/>
  <c r="BQ291" i="3"/>
  <c r="BC291" i="3"/>
  <c r="BG291" i="3" s="1"/>
  <c r="BH291" i="3" s="1"/>
  <c r="BI291" i="3" s="1"/>
  <c r="BF291" i="3"/>
  <c r="BJ290" i="3" s="1"/>
  <c r="BK290" i="3" s="1"/>
  <c r="AW293" i="3"/>
  <c r="AN294" i="3"/>
  <c r="AV292" i="3"/>
  <c r="BA292" i="3"/>
  <c r="AQ295" i="3"/>
  <c r="B295" i="3"/>
  <c r="A296" i="3"/>
  <c r="AR295" i="3"/>
  <c r="S295" i="3"/>
  <c r="Q295" i="3"/>
  <c r="AK295" i="3"/>
  <c r="AM295" i="3"/>
  <c r="R295" i="3"/>
  <c r="P295" i="3"/>
  <c r="AD295" i="3"/>
  <c r="O295" i="3"/>
  <c r="M295" i="3"/>
  <c r="AE295" i="3"/>
  <c r="AF295" i="3"/>
  <c r="V295" i="3"/>
  <c r="U295" i="3"/>
  <c r="D295" i="3"/>
  <c r="C295" i="3"/>
  <c r="G295" i="3"/>
  <c r="H295" i="3" s="1"/>
  <c r="F295" i="3"/>
  <c r="T295" i="3"/>
  <c r="AX293" i="3"/>
  <c r="AY292" i="3"/>
  <c r="Y294" i="3"/>
  <c r="Z294" i="3" s="1"/>
  <c r="AT293" i="3"/>
  <c r="X294" i="3"/>
  <c r="BM294" i="3"/>
  <c r="AH294" i="3"/>
  <c r="AG294" i="3"/>
  <c r="AO294" i="3"/>
  <c r="AV293" i="3" l="1"/>
  <c r="BM295" i="3"/>
  <c r="BN295" i="3"/>
  <c r="BD291" i="3"/>
  <c r="AY293" i="3"/>
  <c r="BC292" i="3"/>
  <c r="BD292" i="3" s="1"/>
  <c r="AO295" i="3"/>
  <c r="A297" i="3"/>
  <c r="B296" i="3"/>
  <c r="AR296" i="3"/>
  <c r="AQ296" i="3"/>
  <c r="D296" i="3"/>
  <c r="AM296" i="3"/>
  <c r="R296" i="3"/>
  <c r="Q296" i="3"/>
  <c r="C296" i="3"/>
  <c r="AK296" i="3"/>
  <c r="S296" i="3"/>
  <c r="P296" i="3"/>
  <c r="AD296" i="3"/>
  <c r="AE296" i="3"/>
  <c r="M296" i="3"/>
  <c r="O296" i="3"/>
  <c r="AF296" i="3"/>
  <c r="V296" i="3"/>
  <c r="U296" i="3"/>
  <c r="G296" i="3"/>
  <c r="H296" i="3" s="1"/>
  <c r="F296" i="3"/>
  <c r="T296" i="3"/>
  <c r="AH295" i="3"/>
  <c r="AG295" i="3"/>
  <c r="BB292" i="3"/>
  <c r="BQ292" i="3"/>
  <c r="BF292" i="3"/>
  <c r="BJ291" i="3" s="1"/>
  <c r="BK291" i="3" s="1"/>
  <c r="AX294" i="3"/>
  <c r="AU294" i="3"/>
  <c r="X295" i="3"/>
  <c r="AW294" i="3"/>
  <c r="AT294" i="3"/>
  <c r="BA293" i="3"/>
  <c r="Y295" i="3"/>
  <c r="Z295" i="3" s="1"/>
  <c r="AN295" i="3"/>
  <c r="BM296" i="3" l="1"/>
  <c r="BC293" i="3"/>
  <c r="BD293" i="3" s="1"/>
  <c r="AO296" i="3"/>
  <c r="BN296" i="3"/>
  <c r="AU295" i="3"/>
  <c r="BG292" i="3"/>
  <c r="BH292" i="3" s="1"/>
  <c r="BI292" i="3" s="1"/>
  <c r="AY294" i="3"/>
  <c r="AT295" i="3"/>
  <c r="Y296" i="3"/>
  <c r="Z296" i="3" s="1"/>
  <c r="BB293" i="3"/>
  <c r="BQ293" i="3"/>
  <c r="BF293" i="3"/>
  <c r="BJ292" i="3" s="1"/>
  <c r="BK292" i="3" s="1"/>
  <c r="AV294" i="3"/>
  <c r="BA294" i="3"/>
  <c r="AR297" i="3"/>
  <c r="B297" i="3"/>
  <c r="AQ297" i="3"/>
  <c r="A298" i="3"/>
  <c r="AM297" i="3"/>
  <c r="AK297" i="3"/>
  <c r="S297" i="3"/>
  <c r="R297" i="3"/>
  <c r="AD297" i="3"/>
  <c r="P297" i="3"/>
  <c r="O297" i="3"/>
  <c r="M297" i="3"/>
  <c r="V297" i="3"/>
  <c r="AE297" i="3"/>
  <c r="AF297" i="3"/>
  <c r="U297" i="3"/>
  <c r="C297" i="3"/>
  <c r="G297" i="3"/>
  <c r="H297" i="3" s="1"/>
  <c r="Q297" i="3"/>
  <c r="D297" i="3"/>
  <c r="F297" i="3"/>
  <c r="T297" i="3"/>
  <c r="AX295" i="3"/>
  <c r="AH296" i="3"/>
  <c r="X296" i="3"/>
  <c r="AW295" i="3"/>
  <c r="AG296" i="3"/>
  <c r="AN296" i="3"/>
  <c r="BG293" i="3" l="1"/>
  <c r="BH293" i="3" s="1"/>
  <c r="BI293" i="3" s="1"/>
  <c r="BM297" i="3"/>
  <c r="BC294" i="3"/>
  <c r="BD294" i="3" s="1"/>
  <c r="AV295" i="3"/>
  <c r="AU296" i="3"/>
  <c r="AW296" i="3"/>
  <c r="AO297" i="3"/>
  <c r="AY295" i="3"/>
  <c r="Y297" i="3"/>
  <c r="Z297" i="3" s="1"/>
  <c r="AG297" i="3"/>
  <c r="AR298" i="3"/>
  <c r="B298" i="3"/>
  <c r="AQ298" i="3"/>
  <c r="A299" i="3"/>
  <c r="C298" i="3"/>
  <c r="R298" i="3"/>
  <c r="D298" i="3"/>
  <c r="AK298" i="3"/>
  <c r="AM298" i="3"/>
  <c r="Q298" i="3"/>
  <c r="AD298" i="3"/>
  <c r="P298" i="3"/>
  <c r="O298" i="3"/>
  <c r="M298" i="3"/>
  <c r="AE298" i="3"/>
  <c r="AF298" i="3"/>
  <c r="V298" i="3"/>
  <c r="U298" i="3"/>
  <c r="G298" i="3"/>
  <c r="H298" i="3" s="1"/>
  <c r="F298" i="3"/>
  <c r="S298" i="3"/>
  <c r="T298" i="3"/>
  <c r="BB294" i="3"/>
  <c r="BF294" i="3"/>
  <c r="BJ293" i="3" s="1"/>
  <c r="BK293" i="3" s="1"/>
  <c r="BQ294" i="3"/>
  <c r="AX296" i="3"/>
  <c r="BN297" i="3"/>
  <c r="AT296" i="3"/>
  <c r="X297" i="3"/>
  <c r="AH297" i="3"/>
  <c r="AN297" i="3"/>
  <c r="BA295" i="3"/>
  <c r="BN298" i="3" l="1"/>
  <c r="BG294" i="3"/>
  <c r="BH294" i="3" s="1"/>
  <c r="BI294" i="3" s="1"/>
  <c r="AV296" i="3"/>
  <c r="BC295" i="3"/>
  <c r="BD295" i="3" s="1"/>
  <c r="BM298" i="3"/>
  <c r="AO298" i="3"/>
  <c r="AT297" i="3"/>
  <c r="BA296" i="3"/>
  <c r="BF296" i="3" s="1"/>
  <c r="AU297" i="3"/>
  <c r="Y298" i="3"/>
  <c r="Z298" i="3" s="1"/>
  <c r="BF295" i="3"/>
  <c r="BJ294" i="3" s="1"/>
  <c r="BK294" i="3" s="1"/>
  <c r="BQ295" i="3"/>
  <c r="BB295" i="3"/>
  <c r="AX297" i="3"/>
  <c r="AW297" i="3"/>
  <c r="AY296" i="3"/>
  <c r="X298" i="3"/>
  <c r="AG298" i="3"/>
  <c r="AH298" i="3"/>
  <c r="AN298" i="3"/>
  <c r="AQ299" i="3"/>
  <c r="B299" i="3"/>
  <c r="A300" i="3"/>
  <c r="AR299" i="3"/>
  <c r="AM299" i="3"/>
  <c r="S299" i="3"/>
  <c r="R299" i="3"/>
  <c r="AK299" i="3"/>
  <c r="AD299" i="3"/>
  <c r="Q299" i="3"/>
  <c r="O299" i="3"/>
  <c r="M299" i="3"/>
  <c r="AE299" i="3"/>
  <c r="U299" i="3"/>
  <c r="AF299" i="3"/>
  <c r="V299" i="3"/>
  <c r="C299" i="3"/>
  <c r="D299" i="3"/>
  <c r="G299" i="3"/>
  <c r="H299" i="3" s="1"/>
  <c r="F299" i="3"/>
  <c r="T299" i="3"/>
  <c r="P299" i="3"/>
  <c r="BC296" i="3" l="1"/>
  <c r="BD296" i="3" s="1"/>
  <c r="AV297" i="3"/>
  <c r="BG295" i="3"/>
  <c r="BH295" i="3" s="1"/>
  <c r="BI295" i="3" s="1"/>
  <c r="BM299" i="3"/>
  <c r="AT298" i="3"/>
  <c r="BB296" i="3"/>
  <c r="BQ296" i="3"/>
  <c r="AO299" i="3"/>
  <c r="AX298" i="3"/>
  <c r="AY297" i="3"/>
  <c r="Y299" i="3"/>
  <c r="Z299" i="3" s="1"/>
  <c r="A301" i="3"/>
  <c r="B300" i="3"/>
  <c r="AR300" i="3"/>
  <c r="AQ300" i="3"/>
  <c r="C300" i="3"/>
  <c r="AK300" i="3"/>
  <c r="AM300" i="3"/>
  <c r="S300" i="3"/>
  <c r="R300" i="3"/>
  <c r="Q300" i="3"/>
  <c r="AD300" i="3"/>
  <c r="M300" i="3"/>
  <c r="AE300" i="3"/>
  <c r="AF300" i="3"/>
  <c r="P300" i="3"/>
  <c r="O300" i="3"/>
  <c r="V300" i="3"/>
  <c r="U300" i="3"/>
  <c r="F300" i="3"/>
  <c r="G300" i="3"/>
  <c r="H300" i="3" s="1"/>
  <c r="D300" i="3"/>
  <c r="T300" i="3"/>
  <c r="BN299" i="3"/>
  <c r="X299" i="3"/>
  <c r="AG299" i="3"/>
  <c r="AH299" i="3"/>
  <c r="AN299" i="3"/>
  <c r="AU298" i="3"/>
  <c r="AW298" i="3"/>
  <c r="BA297" i="3"/>
  <c r="BJ295" i="3"/>
  <c r="BK295" i="3" s="1"/>
  <c r="AV298" i="3" l="1"/>
  <c r="BM300" i="3"/>
  <c r="BG296" i="3"/>
  <c r="BH296" i="3" s="1"/>
  <c r="BI296" i="3" s="1"/>
  <c r="BC297" i="3"/>
  <c r="BG297" i="3" s="1"/>
  <c r="BH297" i="3" s="1"/>
  <c r="BI297" i="3" s="1"/>
  <c r="BN300" i="3"/>
  <c r="AX299" i="3"/>
  <c r="BB297" i="3"/>
  <c r="BQ297" i="3"/>
  <c r="BF297" i="3"/>
  <c r="BJ296" i="3" s="1"/>
  <c r="BK296" i="3" s="1"/>
  <c r="AT299" i="3"/>
  <c r="AW299" i="3"/>
  <c r="AR301" i="3"/>
  <c r="B301" i="3"/>
  <c r="AQ301" i="3"/>
  <c r="A302" i="3"/>
  <c r="C301" i="3"/>
  <c r="T301" i="3"/>
  <c r="AK301" i="3"/>
  <c r="AM301" i="3"/>
  <c r="S301" i="3"/>
  <c r="Q301" i="3"/>
  <c r="AD301" i="3"/>
  <c r="P301" i="3"/>
  <c r="R301" i="3"/>
  <c r="M301" i="3"/>
  <c r="O301" i="3"/>
  <c r="AF301" i="3"/>
  <c r="AE301" i="3"/>
  <c r="V301" i="3"/>
  <c r="U301" i="3"/>
  <c r="F301" i="3"/>
  <c r="D301" i="3"/>
  <c r="G301" i="3"/>
  <c r="H301" i="3" s="1"/>
  <c r="AG300" i="3"/>
  <c r="AH300" i="3"/>
  <c r="X300" i="3"/>
  <c r="BA298" i="3"/>
  <c r="AY298" i="3"/>
  <c r="AN300" i="3"/>
  <c r="AO300" i="3"/>
  <c r="AU299" i="3"/>
  <c r="Y300" i="3"/>
  <c r="Z300" i="3" s="1"/>
  <c r="BC298" i="3" l="1"/>
  <c r="BD298" i="3" s="1"/>
  <c r="BD297" i="3"/>
  <c r="BM301" i="3"/>
  <c r="AT300" i="3"/>
  <c r="AG301" i="3"/>
  <c r="AY299" i="3"/>
  <c r="AO301" i="3"/>
  <c r="AU300" i="3"/>
  <c r="AX300" i="3"/>
  <c r="AR302" i="3"/>
  <c r="B302" i="3"/>
  <c r="AQ302" i="3"/>
  <c r="A303" i="3"/>
  <c r="D302" i="3"/>
  <c r="AK302" i="3"/>
  <c r="T302" i="3"/>
  <c r="S302" i="3"/>
  <c r="Q302" i="3"/>
  <c r="AM302" i="3"/>
  <c r="R302" i="3"/>
  <c r="AD302" i="3"/>
  <c r="P302" i="3"/>
  <c r="O302" i="3"/>
  <c r="AE302" i="3"/>
  <c r="V302" i="3"/>
  <c r="U302" i="3"/>
  <c r="M302" i="3"/>
  <c r="AF302" i="3"/>
  <c r="G302" i="3"/>
  <c r="H302" i="3" s="1"/>
  <c r="F302" i="3"/>
  <c r="C302" i="3"/>
  <c r="BN301" i="3"/>
  <c r="AN301" i="3"/>
  <c r="BB298" i="3"/>
  <c r="BQ298" i="3"/>
  <c r="BF298" i="3"/>
  <c r="Y301" i="3"/>
  <c r="Z301" i="3" s="1"/>
  <c r="AV299" i="3"/>
  <c r="BA299" i="3"/>
  <c r="AW300" i="3"/>
  <c r="AH301" i="3"/>
  <c r="X301" i="3"/>
  <c r="BG298" i="3" l="1"/>
  <c r="BH298" i="3" s="1"/>
  <c r="BI298" i="3" s="1"/>
  <c r="AV300" i="3"/>
  <c r="AN302" i="3"/>
  <c r="AX301" i="3"/>
  <c r="BC299" i="3"/>
  <c r="BG299" i="3" s="1"/>
  <c r="BH299" i="3" s="1"/>
  <c r="BI299" i="3" s="1"/>
  <c r="BN302" i="3"/>
  <c r="AT301" i="3"/>
  <c r="AY300" i="3"/>
  <c r="BA300" i="3"/>
  <c r="BF300" i="3" s="1"/>
  <c r="X302" i="3"/>
  <c r="Y302" i="3"/>
  <c r="Z302" i="3" s="1"/>
  <c r="AU301" i="3"/>
  <c r="BM302" i="3"/>
  <c r="AG302" i="3"/>
  <c r="BF299" i="3"/>
  <c r="BJ298" i="3" s="1"/>
  <c r="BK298" i="3" s="1"/>
  <c r="BB299" i="3"/>
  <c r="BQ299" i="3"/>
  <c r="BJ297" i="3"/>
  <c r="BK297" i="3" s="1"/>
  <c r="AQ303" i="3"/>
  <c r="B303" i="3"/>
  <c r="A304" i="3"/>
  <c r="AR303" i="3"/>
  <c r="D303" i="3"/>
  <c r="AM303" i="3"/>
  <c r="S303" i="3"/>
  <c r="R303" i="3"/>
  <c r="AK303" i="3"/>
  <c r="T303" i="3"/>
  <c r="Q303" i="3"/>
  <c r="AD303" i="3"/>
  <c r="P303" i="3"/>
  <c r="O303" i="3"/>
  <c r="AF303" i="3"/>
  <c r="AE303" i="3"/>
  <c r="M303" i="3"/>
  <c r="U303" i="3"/>
  <c r="V303" i="3"/>
  <c r="C303" i="3"/>
  <c r="G303" i="3"/>
  <c r="H303" i="3" s="1"/>
  <c r="BN303" i="3" s="1"/>
  <c r="F303" i="3"/>
  <c r="AW301" i="3"/>
  <c r="AH302" i="3"/>
  <c r="AO302" i="3"/>
  <c r="BM303" i="3" l="1"/>
  <c r="AY301" i="3"/>
  <c r="BC300" i="3"/>
  <c r="BD300" i="3" s="1"/>
  <c r="BD299" i="3"/>
  <c r="AV301" i="3"/>
  <c r="BB300" i="3"/>
  <c r="AO303" i="3"/>
  <c r="BQ300" i="3"/>
  <c r="BJ299" i="3"/>
  <c r="BK299" i="3" s="1"/>
  <c r="Y303" i="3"/>
  <c r="Z303" i="3" s="1"/>
  <c r="A305" i="3"/>
  <c r="B304" i="3"/>
  <c r="AR304" i="3"/>
  <c r="AQ304" i="3"/>
  <c r="AK304" i="3"/>
  <c r="S304" i="3"/>
  <c r="AM304" i="3"/>
  <c r="T304" i="3"/>
  <c r="AD304" i="3"/>
  <c r="P304" i="3"/>
  <c r="R304" i="3"/>
  <c r="Q304" i="3"/>
  <c r="M304" i="3"/>
  <c r="O304" i="3"/>
  <c r="AF304" i="3"/>
  <c r="AE304" i="3"/>
  <c r="U304" i="3"/>
  <c r="V304" i="3"/>
  <c r="C304" i="3"/>
  <c r="F304" i="3"/>
  <c r="G304" i="3"/>
  <c r="H304" i="3" s="1"/>
  <c r="D304" i="3"/>
  <c r="AX302" i="3"/>
  <c r="X303" i="3"/>
  <c r="AG303" i="3"/>
  <c r="AH303" i="3"/>
  <c r="AN303" i="3"/>
  <c r="AU302" i="3"/>
  <c r="BA301" i="3"/>
  <c r="AT302" i="3"/>
  <c r="AW302" i="3"/>
  <c r="BG300" i="3" l="1"/>
  <c r="BH300" i="3" s="1"/>
  <c r="BI300" i="3" s="1"/>
  <c r="BC301" i="3"/>
  <c r="BD301" i="3" s="1"/>
  <c r="AN304" i="3"/>
  <c r="BM304" i="3"/>
  <c r="AX303" i="3"/>
  <c r="AG304" i="3"/>
  <c r="AU303" i="3"/>
  <c r="AT303" i="3"/>
  <c r="AV302" i="3"/>
  <c r="BA302" i="3"/>
  <c r="BF301" i="3"/>
  <c r="BJ300" i="3" s="1"/>
  <c r="BK300" i="3" s="1"/>
  <c r="BQ301" i="3"/>
  <c r="BB301" i="3"/>
  <c r="AR305" i="3"/>
  <c r="B305" i="3"/>
  <c r="AQ305" i="3"/>
  <c r="A306" i="3"/>
  <c r="AK305" i="3"/>
  <c r="R305" i="3"/>
  <c r="AM305" i="3"/>
  <c r="Q305" i="3"/>
  <c r="AD305" i="3"/>
  <c r="O305" i="3"/>
  <c r="M305" i="3"/>
  <c r="AF305" i="3"/>
  <c r="U305" i="3"/>
  <c r="P305" i="3"/>
  <c r="AE305" i="3"/>
  <c r="V305" i="3"/>
  <c r="D305" i="3"/>
  <c r="G305" i="3"/>
  <c r="H305" i="3" s="1"/>
  <c r="F305" i="3"/>
  <c r="C305" i="3"/>
  <c r="S305" i="3"/>
  <c r="T305" i="3"/>
  <c r="AW303" i="3"/>
  <c r="AY302" i="3"/>
  <c r="BN304" i="3"/>
  <c r="X304" i="3"/>
  <c r="AH304" i="3"/>
  <c r="AO304" i="3"/>
  <c r="Y304" i="3"/>
  <c r="Z304" i="3" s="1"/>
  <c r="BG301" i="3" l="1"/>
  <c r="BH301" i="3" s="1"/>
  <c r="BI301" i="3" s="1"/>
  <c r="AU304" i="3"/>
  <c r="AN305" i="3"/>
  <c r="BM305" i="3"/>
  <c r="AG305" i="3"/>
  <c r="AV303" i="3"/>
  <c r="AY303" i="3"/>
  <c r="AW304" i="3"/>
  <c r="AR306" i="3"/>
  <c r="B306" i="3"/>
  <c r="AQ306" i="3"/>
  <c r="A307" i="3"/>
  <c r="D306" i="3"/>
  <c r="AM306" i="3"/>
  <c r="S306" i="3"/>
  <c r="T306" i="3"/>
  <c r="AK306" i="3"/>
  <c r="Q306" i="3"/>
  <c r="P306" i="3"/>
  <c r="AD306" i="3"/>
  <c r="O306" i="3"/>
  <c r="AE306" i="3"/>
  <c r="M306" i="3"/>
  <c r="AF306" i="3"/>
  <c r="V306" i="3"/>
  <c r="U306" i="3"/>
  <c r="C306" i="3"/>
  <c r="G306" i="3"/>
  <c r="H306" i="3" s="1"/>
  <c r="R306" i="3"/>
  <c r="F306" i="3"/>
  <c r="X305" i="3"/>
  <c r="Y305" i="3"/>
  <c r="Z305" i="3" s="1"/>
  <c r="BN305" i="3"/>
  <c r="AH305" i="3"/>
  <c r="BC302" i="3"/>
  <c r="AT304" i="3"/>
  <c r="AX304" i="3"/>
  <c r="BQ302" i="3"/>
  <c r="BF302" i="3"/>
  <c r="BJ301" i="3" s="1"/>
  <c r="BK301" i="3" s="1"/>
  <c r="BB302" i="3"/>
  <c r="AO305" i="3"/>
  <c r="BA303" i="3"/>
  <c r="BM306" i="3" l="1"/>
  <c r="BN306" i="3"/>
  <c r="AT305" i="3"/>
  <c r="AN306" i="3"/>
  <c r="AU305" i="3"/>
  <c r="AW305" i="3"/>
  <c r="AY304" i="3"/>
  <c r="BC303" i="3"/>
  <c r="BG303" i="3" s="1"/>
  <c r="BH303" i="3" s="1"/>
  <c r="BI303" i="3" s="1"/>
  <c r="AO306" i="3"/>
  <c r="BD302" i="3"/>
  <c r="BG302" i="3"/>
  <c r="BH302" i="3" s="1"/>
  <c r="BI302" i="3" s="1"/>
  <c r="BB303" i="3"/>
  <c r="BF303" i="3"/>
  <c r="BJ302" i="3" s="1"/>
  <c r="BK302" i="3" s="1"/>
  <c r="BQ303" i="3"/>
  <c r="BA304" i="3"/>
  <c r="AV304" i="3"/>
  <c r="Y306" i="3"/>
  <c r="Z306" i="3" s="1"/>
  <c r="AX305" i="3"/>
  <c r="X306" i="3"/>
  <c r="AQ307" i="3"/>
  <c r="B307" i="3"/>
  <c r="A308" i="3"/>
  <c r="AR307" i="3"/>
  <c r="C307" i="3"/>
  <c r="AM307" i="3"/>
  <c r="Q307" i="3"/>
  <c r="AK307" i="3"/>
  <c r="S307" i="3"/>
  <c r="R307" i="3"/>
  <c r="AD307" i="3"/>
  <c r="P307" i="3"/>
  <c r="O307" i="3"/>
  <c r="M307" i="3"/>
  <c r="AF307" i="3"/>
  <c r="AE307" i="3"/>
  <c r="U307" i="3"/>
  <c r="V307" i="3"/>
  <c r="D307" i="3"/>
  <c r="G307" i="3"/>
  <c r="H307" i="3" s="1"/>
  <c r="F307" i="3"/>
  <c r="BM307" i="3" s="1"/>
  <c r="T307" i="3"/>
  <c r="AG306" i="3"/>
  <c r="AH306" i="3"/>
  <c r="AO307" i="3" l="1"/>
  <c r="AV305" i="3"/>
  <c r="AY305" i="3"/>
  <c r="BN307" i="3"/>
  <c r="BC304" i="3"/>
  <c r="BG304" i="3" s="1"/>
  <c r="BH304" i="3" s="1"/>
  <c r="BI304" i="3" s="1"/>
  <c r="BA305" i="3"/>
  <c r="BB305" i="3" s="1"/>
  <c r="BD303" i="3"/>
  <c r="AX306" i="3"/>
  <c r="AG307" i="3"/>
  <c r="Y307" i="3"/>
  <c r="Z307" i="3" s="1"/>
  <c r="A309" i="3"/>
  <c r="B308" i="3"/>
  <c r="AR308" i="3"/>
  <c r="AQ308" i="3"/>
  <c r="AK308" i="3"/>
  <c r="S308" i="3"/>
  <c r="Q308" i="3"/>
  <c r="D308" i="3"/>
  <c r="AM308" i="3"/>
  <c r="R308" i="3"/>
  <c r="AD308" i="3"/>
  <c r="P308" i="3"/>
  <c r="O308" i="3"/>
  <c r="M308" i="3"/>
  <c r="AE308" i="3"/>
  <c r="AF308" i="3"/>
  <c r="U308" i="3"/>
  <c r="V308" i="3"/>
  <c r="C308" i="3"/>
  <c r="G308" i="3"/>
  <c r="H308" i="3" s="1"/>
  <c r="BN308" i="3" s="1"/>
  <c r="F308" i="3"/>
  <c r="T308" i="3"/>
  <c r="BQ304" i="3"/>
  <c r="BB304" i="3"/>
  <c r="BF304" i="3"/>
  <c r="BJ303" i="3" s="1"/>
  <c r="BK303" i="3" s="1"/>
  <c r="AW306" i="3"/>
  <c r="AH307" i="3"/>
  <c r="X307" i="3"/>
  <c r="AU306" i="3"/>
  <c r="AN307" i="3"/>
  <c r="AT306" i="3"/>
  <c r="BM308" i="3" l="1"/>
  <c r="AN308" i="3"/>
  <c r="BC305" i="3"/>
  <c r="BD305" i="3" s="1"/>
  <c r="BD304" i="3"/>
  <c r="AG308" i="3"/>
  <c r="BQ305" i="3"/>
  <c r="Y308" i="3"/>
  <c r="Z308" i="3" s="1"/>
  <c r="BF305" i="3"/>
  <c r="BJ304" i="3" s="1"/>
  <c r="BK304" i="3" s="1"/>
  <c r="AY306" i="3"/>
  <c r="AU307" i="3"/>
  <c r="AT307" i="3"/>
  <c r="AW307" i="3"/>
  <c r="BA306" i="3"/>
  <c r="AV306" i="3"/>
  <c r="AR309" i="3"/>
  <c r="B309" i="3"/>
  <c r="AQ309" i="3"/>
  <c r="A310" i="3"/>
  <c r="AM309" i="3"/>
  <c r="D309" i="3"/>
  <c r="AK309" i="3"/>
  <c r="Q309" i="3"/>
  <c r="P309" i="3"/>
  <c r="T309" i="3"/>
  <c r="R309" i="3"/>
  <c r="AD309" i="3"/>
  <c r="O309" i="3"/>
  <c r="AE309" i="3"/>
  <c r="M309" i="3"/>
  <c r="AF309" i="3"/>
  <c r="U309" i="3"/>
  <c r="V309" i="3"/>
  <c r="G309" i="3"/>
  <c r="H309" i="3" s="1"/>
  <c r="C309" i="3"/>
  <c r="F309" i="3"/>
  <c r="S309" i="3"/>
  <c r="X308" i="3"/>
  <c r="AH308" i="3"/>
  <c r="AO308" i="3"/>
  <c r="AX307" i="3"/>
  <c r="BG305" i="3" l="1"/>
  <c r="BH305" i="3" s="1"/>
  <c r="BI305" i="3" s="1"/>
  <c r="BM309" i="3"/>
  <c r="BN309" i="3"/>
  <c r="BC306" i="3"/>
  <c r="BD306" i="3" s="1"/>
  <c r="AV307" i="3"/>
  <c r="AY307" i="3"/>
  <c r="AX308" i="3"/>
  <c r="AU308" i="3"/>
  <c r="AO309" i="3"/>
  <c r="AN309" i="3"/>
  <c r="Y309" i="3"/>
  <c r="Z309" i="3" s="1"/>
  <c r="AR310" i="3"/>
  <c r="B310" i="3"/>
  <c r="AQ310" i="3"/>
  <c r="A311" i="3"/>
  <c r="D310" i="3"/>
  <c r="AK310" i="3"/>
  <c r="AM310" i="3"/>
  <c r="S310" i="3"/>
  <c r="Q310" i="3"/>
  <c r="R310" i="3"/>
  <c r="AD310" i="3"/>
  <c r="AE310" i="3"/>
  <c r="U310" i="3"/>
  <c r="P310" i="3"/>
  <c r="O310" i="3"/>
  <c r="M310" i="3"/>
  <c r="AF310" i="3"/>
  <c r="V310" i="3"/>
  <c r="G310" i="3"/>
  <c r="H310" i="3" s="1"/>
  <c r="C310" i="3"/>
  <c r="F310" i="3"/>
  <c r="T310" i="3"/>
  <c r="AT308" i="3"/>
  <c r="AW308" i="3"/>
  <c r="X309" i="3"/>
  <c r="AG309" i="3"/>
  <c r="AH309" i="3"/>
  <c r="BA307" i="3"/>
  <c r="BQ306" i="3"/>
  <c r="BB306" i="3"/>
  <c r="BF306" i="3"/>
  <c r="BN310" i="3" l="1"/>
  <c r="BG306" i="3"/>
  <c r="BH306" i="3" s="1"/>
  <c r="BI306" i="3" s="1"/>
  <c r="AY308" i="3"/>
  <c r="BC307" i="3"/>
  <c r="BD307" i="3" s="1"/>
  <c r="AO310" i="3"/>
  <c r="AX309" i="3"/>
  <c r="AG310" i="3"/>
  <c r="Y310" i="3"/>
  <c r="Z310" i="3" s="1"/>
  <c r="X310" i="3"/>
  <c r="BB307" i="3"/>
  <c r="BQ307" i="3"/>
  <c r="BF307" i="3"/>
  <c r="BJ306" i="3" s="1"/>
  <c r="BK306" i="3" s="1"/>
  <c r="AV308" i="3"/>
  <c r="BA308" i="3"/>
  <c r="AU309" i="3"/>
  <c r="AT309" i="3"/>
  <c r="AW309" i="3"/>
  <c r="BM310" i="3"/>
  <c r="AH310" i="3"/>
  <c r="AN310" i="3"/>
  <c r="BJ305" i="3"/>
  <c r="BK305" i="3" s="1"/>
  <c r="AQ311" i="3"/>
  <c r="B311" i="3"/>
  <c r="A312" i="3"/>
  <c r="AR311" i="3"/>
  <c r="D311" i="3"/>
  <c r="AM311" i="3"/>
  <c r="T311" i="3"/>
  <c r="AK311" i="3"/>
  <c r="R311" i="3"/>
  <c r="Q311" i="3"/>
  <c r="AD311" i="3"/>
  <c r="P311" i="3"/>
  <c r="M311" i="3"/>
  <c r="V311" i="3"/>
  <c r="O311" i="3"/>
  <c r="AE311" i="3"/>
  <c r="AF311" i="3"/>
  <c r="U311" i="3"/>
  <c r="F311" i="3"/>
  <c r="C311" i="3"/>
  <c r="G311" i="3"/>
  <c r="H311" i="3" s="1"/>
  <c r="BN311" i="3" s="1"/>
  <c r="S311" i="3"/>
  <c r="AT310" i="3" l="1"/>
  <c r="AO311" i="3"/>
  <c r="BC308" i="3"/>
  <c r="BD308" i="3" s="1"/>
  <c r="BG307" i="3"/>
  <c r="BH307" i="3" s="1"/>
  <c r="BI307" i="3" s="1"/>
  <c r="AY309" i="3"/>
  <c r="AW310" i="3"/>
  <c r="AU310" i="3"/>
  <c r="AG311" i="3"/>
  <c r="X311" i="3"/>
  <c r="Y311" i="3"/>
  <c r="Z311" i="3" s="1"/>
  <c r="A313" i="3"/>
  <c r="B312" i="3"/>
  <c r="AR312" i="3"/>
  <c r="AQ312" i="3"/>
  <c r="T312" i="3"/>
  <c r="S312" i="3"/>
  <c r="AK312" i="3"/>
  <c r="AM312" i="3"/>
  <c r="R312" i="3"/>
  <c r="Q312" i="3"/>
  <c r="AD312" i="3"/>
  <c r="P312" i="3"/>
  <c r="AE312" i="3"/>
  <c r="M312" i="3"/>
  <c r="V312" i="3"/>
  <c r="U312" i="3"/>
  <c r="O312" i="3"/>
  <c r="AF312" i="3"/>
  <c r="D312" i="3"/>
  <c r="C312" i="3"/>
  <c r="G312" i="3"/>
  <c r="H312" i="3" s="1"/>
  <c r="F312" i="3"/>
  <c r="AV309" i="3"/>
  <c r="BA309" i="3"/>
  <c r="BF308" i="3"/>
  <c r="BJ307" i="3" s="1"/>
  <c r="BK307" i="3" s="1"/>
  <c r="BB308" i="3"/>
  <c r="BQ308" i="3"/>
  <c r="BM311" i="3"/>
  <c r="AH311" i="3"/>
  <c r="AX310" i="3"/>
  <c r="AN311" i="3"/>
  <c r="BN312" i="3" l="1"/>
  <c r="BM312" i="3"/>
  <c r="AV310" i="3"/>
  <c r="BC309" i="3"/>
  <c r="BG309" i="3" s="1"/>
  <c r="BH309" i="3" s="1"/>
  <c r="BI309" i="3" s="1"/>
  <c r="BG308" i="3"/>
  <c r="BH308" i="3" s="1"/>
  <c r="BI308" i="3" s="1"/>
  <c r="AY310" i="3"/>
  <c r="AN312" i="3"/>
  <c r="AU311" i="3"/>
  <c r="AT311" i="3"/>
  <c r="AW311" i="3"/>
  <c r="AH312" i="3"/>
  <c r="BA310" i="3"/>
  <c r="BQ310" i="3" s="1"/>
  <c r="Y312" i="3"/>
  <c r="Z312" i="3" s="1"/>
  <c r="AR313" i="3"/>
  <c r="B313" i="3"/>
  <c r="AQ313" i="3"/>
  <c r="A314" i="3"/>
  <c r="C313" i="3"/>
  <c r="AM313" i="3"/>
  <c r="S313" i="3"/>
  <c r="AK313" i="3"/>
  <c r="T313" i="3"/>
  <c r="Q313" i="3"/>
  <c r="AD313" i="3"/>
  <c r="P313" i="3"/>
  <c r="AF313" i="3"/>
  <c r="U313" i="3"/>
  <c r="O313" i="3"/>
  <c r="M313" i="3"/>
  <c r="AE313" i="3"/>
  <c r="V313" i="3"/>
  <c r="D313" i="3"/>
  <c r="R313" i="3"/>
  <c r="F313" i="3"/>
  <c r="G313" i="3"/>
  <c r="H313" i="3" s="1"/>
  <c r="X312" i="3"/>
  <c r="AX311" i="3"/>
  <c r="AG312" i="3"/>
  <c r="AO312" i="3"/>
  <c r="BF309" i="3"/>
  <c r="BJ308" i="3" s="1"/>
  <c r="BK308" i="3" s="1"/>
  <c r="BQ309" i="3"/>
  <c r="BB309" i="3"/>
  <c r="BM313" i="3" l="1"/>
  <c r="BC310" i="3"/>
  <c r="BG310" i="3" s="1"/>
  <c r="BH310" i="3" s="1"/>
  <c r="BI310" i="3" s="1"/>
  <c r="AG313" i="3"/>
  <c r="BD309" i="3"/>
  <c r="AO313" i="3"/>
  <c r="AU312" i="3"/>
  <c r="AV311" i="3"/>
  <c r="AW312" i="3"/>
  <c r="BA311" i="3"/>
  <c r="BQ311" i="3" s="1"/>
  <c r="AY311" i="3"/>
  <c r="BB310" i="3"/>
  <c r="BF310" i="3"/>
  <c r="BJ309" i="3" s="1"/>
  <c r="BK309" i="3" s="1"/>
  <c r="Y313" i="3"/>
  <c r="Z313" i="3" s="1"/>
  <c r="AR314" i="3"/>
  <c r="B314" i="3"/>
  <c r="AQ314" i="3"/>
  <c r="A315" i="3"/>
  <c r="D314" i="3"/>
  <c r="AK314" i="3"/>
  <c r="AM314" i="3"/>
  <c r="T314" i="3"/>
  <c r="S314" i="3"/>
  <c r="Q314" i="3"/>
  <c r="R314" i="3"/>
  <c r="AD314" i="3"/>
  <c r="P314" i="3"/>
  <c r="AF314" i="3"/>
  <c r="O314" i="3"/>
  <c r="M314" i="3"/>
  <c r="AE314" i="3"/>
  <c r="U314" i="3"/>
  <c r="V314" i="3"/>
  <c r="F314" i="3"/>
  <c r="C314" i="3"/>
  <c r="G314" i="3"/>
  <c r="H314" i="3" s="1"/>
  <c r="AT312" i="3"/>
  <c r="AH313" i="3"/>
  <c r="AX312" i="3"/>
  <c r="BN313" i="3"/>
  <c r="AN313" i="3"/>
  <c r="X313" i="3"/>
  <c r="BD310" i="3" l="1"/>
  <c r="AY312" i="3"/>
  <c r="BC311" i="3"/>
  <c r="BD311" i="3" s="1"/>
  <c r="BF311" i="3"/>
  <c r="BJ310" i="3" s="1"/>
  <c r="BK310" i="3" s="1"/>
  <c r="BB311" i="3"/>
  <c r="AX313" i="3"/>
  <c r="AN314" i="3"/>
  <c r="AT313" i="3"/>
  <c r="AG314" i="3"/>
  <c r="X314" i="3"/>
  <c r="Y314" i="3"/>
  <c r="Z314" i="3" s="1"/>
  <c r="AV312" i="3"/>
  <c r="BA312" i="3"/>
  <c r="AQ315" i="3"/>
  <c r="B315" i="3"/>
  <c r="A316" i="3"/>
  <c r="AR315" i="3"/>
  <c r="AK315" i="3"/>
  <c r="AM315" i="3"/>
  <c r="R315" i="3"/>
  <c r="Q315" i="3"/>
  <c r="AD315" i="3"/>
  <c r="P315" i="3"/>
  <c r="O315" i="3"/>
  <c r="M315" i="3"/>
  <c r="AF315" i="3"/>
  <c r="V315" i="3"/>
  <c r="AE315" i="3"/>
  <c r="U315" i="3"/>
  <c r="C315" i="3"/>
  <c r="D315" i="3"/>
  <c r="G315" i="3"/>
  <c r="H315" i="3" s="1"/>
  <c r="F315" i="3"/>
  <c r="T315" i="3"/>
  <c r="S315" i="3"/>
  <c r="AU313" i="3"/>
  <c r="AW313" i="3"/>
  <c r="BN314" i="3"/>
  <c r="BM314" i="3"/>
  <c r="AH314" i="3"/>
  <c r="AO314" i="3"/>
  <c r="BC312" i="3" l="1"/>
  <c r="BG312" i="3" s="1"/>
  <c r="BH312" i="3" s="1"/>
  <c r="BI312" i="3" s="1"/>
  <c r="BG311" i="3"/>
  <c r="BH311" i="3" s="1"/>
  <c r="BI311" i="3" s="1"/>
  <c r="AY313" i="3"/>
  <c r="AG315" i="3"/>
  <c r="BM315" i="3"/>
  <c r="AN315" i="3"/>
  <c r="AV313" i="3"/>
  <c r="AX314" i="3"/>
  <c r="A317" i="3"/>
  <c r="B316" i="3"/>
  <c r="AR316" i="3"/>
  <c r="AQ316" i="3"/>
  <c r="D316" i="3"/>
  <c r="C316" i="3"/>
  <c r="AK316" i="3"/>
  <c r="T316" i="3"/>
  <c r="AM316" i="3"/>
  <c r="S316" i="3"/>
  <c r="Q316" i="3"/>
  <c r="AD316" i="3"/>
  <c r="P316" i="3"/>
  <c r="M316" i="3"/>
  <c r="AF316" i="3"/>
  <c r="V316" i="3"/>
  <c r="U316" i="3"/>
  <c r="O316" i="3"/>
  <c r="AE316" i="3"/>
  <c r="F316" i="3"/>
  <c r="R316" i="3"/>
  <c r="G316" i="3"/>
  <c r="H316" i="3" s="1"/>
  <c r="AT314" i="3"/>
  <c r="AW314" i="3"/>
  <c r="AU314" i="3"/>
  <c r="BN315" i="3"/>
  <c r="AH315" i="3"/>
  <c r="AO315" i="3"/>
  <c r="BA313" i="3"/>
  <c r="Y315" i="3"/>
  <c r="Z315" i="3" s="1"/>
  <c r="BB312" i="3"/>
  <c r="BQ312" i="3"/>
  <c r="BF312" i="3"/>
  <c r="BJ311" i="3" s="1"/>
  <c r="BK311" i="3" s="1"/>
  <c r="X315" i="3"/>
  <c r="BD312" i="3" l="1"/>
  <c r="BM316" i="3"/>
  <c r="AN316" i="3"/>
  <c r="BC313" i="3"/>
  <c r="BD313" i="3" s="1"/>
  <c r="AU315" i="3"/>
  <c r="BN316" i="3"/>
  <c r="AY314" i="3"/>
  <c r="AX315" i="3"/>
  <c r="AT315" i="3"/>
  <c r="AH316" i="3"/>
  <c r="BQ313" i="3"/>
  <c r="BB313" i="3"/>
  <c r="BF313" i="3"/>
  <c r="BJ312" i="3" s="1"/>
  <c r="BK312" i="3" s="1"/>
  <c r="AV314" i="3"/>
  <c r="BA314" i="3"/>
  <c r="AR317" i="3"/>
  <c r="B317" i="3"/>
  <c r="AQ317" i="3"/>
  <c r="A318" i="3"/>
  <c r="AK317" i="3"/>
  <c r="S317" i="3"/>
  <c r="AM317" i="3"/>
  <c r="R317" i="3"/>
  <c r="AD317" i="3"/>
  <c r="P317" i="3"/>
  <c r="AE317" i="3"/>
  <c r="M317" i="3"/>
  <c r="O317" i="3"/>
  <c r="V317" i="3"/>
  <c r="AF317" i="3"/>
  <c r="U317" i="3"/>
  <c r="Q317" i="3"/>
  <c r="C317" i="3"/>
  <c r="D317" i="3"/>
  <c r="G317" i="3"/>
  <c r="H317" i="3" s="1"/>
  <c r="F317" i="3"/>
  <c r="T317" i="3"/>
  <c r="AW315" i="3"/>
  <c r="AG316" i="3"/>
  <c r="AO316" i="3"/>
  <c r="Y316" i="3"/>
  <c r="Z316" i="3" s="1"/>
  <c r="X316" i="3"/>
  <c r="AV315" i="3" l="1"/>
  <c r="AN317" i="3"/>
  <c r="BC314" i="3"/>
  <c r="BD314" i="3" s="1"/>
  <c r="BG313" i="3"/>
  <c r="BH313" i="3" s="1"/>
  <c r="BI313" i="3" s="1"/>
  <c r="AY315" i="3"/>
  <c r="BM317" i="3"/>
  <c r="BA315" i="3"/>
  <c r="BQ315" i="3" s="1"/>
  <c r="AW316" i="3"/>
  <c r="AU316" i="3"/>
  <c r="AX316" i="3"/>
  <c r="AR318" i="3"/>
  <c r="B318" i="3"/>
  <c r="AQ318" i="3"/>
  <c r="A319" i="3"/>
  <c r="C318" i="3"/>
  <c r="R318" i="3"/>
  <c r="Q318" i="3"/>
  <c r="AK318" i="3"/>
  <c r="AM318" i="3"/>
  <c r="P318" i="3"/>
  <c r="S318" i="3"/>
  <c r="AD318" i="3"/>
  <c r="O318" i="3"/>
  <c r="AE318" i="3"/>
  <c r="M318" i="3"/>
  <c r="U318" i="3"/>
  <c r="AF318" i="3"/>
  <c r="V318" i="3"/>
  <c r="G318" i="3"/>
  <c r="H318" i="3" s="1"/>
  <c r="D318" i="3"/>
  <c r="F318" i="3"/>
  <c r="T318" i="3"/>
  <c r="BF314" i="3"/>
  <c r="BJ313" i="3" s="1"/>
  <c r="BK313" i="3" s="1"/>
  <c r="BQ314" i="3"/>
  <c r="BB314" i="3"/>
  <c r="AT316" i="3"/>
  <c r="Y317" i="3"/>
  <c r="Z317" i="3" s="1"/>
  <c r="BN317" i="3"/>
  <c r="X317" i="3"/>
  <c r="AG317" i="3"/>
  <c r="AH317" i="3"/>
  <c r="AO317" i="3"/>
  <c r="BM318" i="3" l="1"/>
  <c r="BC315" i="3"/>
  <c r="BD315" i="3" s="1"/>
  <c r="BF315" i="3"/>
  <c r="BJ314" i="3" s="1"/>
  <c r="BK314" i="3" s="1"/>
  <c r="BG314" i="3"/>
  <c r="BH314" i="3" s="1"/>
  <c r="BI314" i="3" s="1"/>
  <c r="BN318" i="3"/>
  <c r="BB315" i="3"/>
  <c r="AY316" i="3"/>
  <c r="AN318" i="3"/>
  <c r="AX317" i="3"/>
  <c r="BA316" i="3"/>
  <c r="BB316" i="3" s="1"/>
  <c r="Y318" i="3"/>
  <c r="Z318" i="3" s="1"/>
  <c r="AU317" i="3"/>
  <c r="X318" i="3"/>
  <c r="AQ319" i="3"/>
  <c r="B319" i="3"/>
  <c r="A320" i="3"/>
  <c r="AR319" i="3"/>
  <c r="AM319" i="3"/>
  <c r="D319" i="3"/>
  <c r="AK319" i="3"/>
  <c r="Q319" i="3"/>
  <c r="S319" i="3"/>
  <c r="AD319" i="3"/>
  <c r="P319" i="3"/>
  <c r="O319" i="3"/>
  <c r="AE319" i="3"/>
  <c r="AF319" i="3"/>
  <c r="M319" i="3"/>
  <c r="U319" i="3"/>
  <c r="V319" i="3"/>
  <c r="C319" i="3"/>
  <c r="F319" i="3"/>
  <c r="R319" i="3"/>
  <c r="G319" i="3"/>
  <c r="H319" i="3" s="1"/>
  <c r="T319" i="3"/>
  <c r="AT317" i="3"/>
  <c r="AW317" i="3"/>
  <c r="AV316" i="3"/>
  <c r="AG318" i="3"/>
  <c r="AH318" i="3"/>
  <c r="AO318" i="3"/>
  <c r="BG315" i="3" l="1"/>
  <c r="BH315" i="3" s="1"/>
  <c r="BI315" i="3" s="1"/>
  <c r="AO319" i="3"/>
  <c r="BN319" i="3"/>
  <c r="BM319" i="3"/>
  <c r="BC316" i="3"/>
  <c r="BD316" i="3" s="1"/>
  <c r="BF316" i="3"/>
  <c r="BJ315" i="3" s="1"/>
  <c r="BK315" i="3" s="1"/>
  <c r="AY317" i="3"/>
  <c r="BQ316" i="3"/>
  <c r="AX318" i="3"/>
  <c r="AG319" i="3"/>
  <c r="AV317" i="3"/>
  <c r="BA317" i="3"/>
  <c r="AW318" i="3"/>
  <c r="Y319" i="3"/>
  <c r="Z319" i="3" s="1"/>
  <c r="X319" i="3"/>
  <c r="AH319" i="3"/>
  <c r="AT318" i="3"/>
  <c r="A321" i="3"/>
  <c r="B320" i="3"/>
  <c r="AR320" i="3"/>
  <c r="AQ320" i="3"/>
  <c r="D320" i="3"/>
  <c r="AM320" i="3"/>
  <c r="AK320" i="3"/>
  <c r="S320" i="3"/>
  <c r="R320" i="3"/>
  <c r="AD320" i="3"/>
  <c r="Q320" i="3"/>
  <c r="P320" i="3"/>
  <c r="M320" i="3"/>
  <c r="U320" i="3"/>
  <c r="V320" i="3"/>
  <c r="O320" i="3"/>
  <c r="AE320" i="3"/>
  <c r="AF320" i="3"/>
  <c r="G320" i="3"/>
  <c r="H320" i="3" s="1"/>
  <c r="F320" i="3"/>
  <c r="C320" i="3"/>
  <c r="T320" i="3"/>
  <c r="AN319" i="3"/>
  <c r="AU318" i="3"/>
  <c r="BN320" i="3" l="1"/>
  <c r="BG316" i="3"/>
  <c r="BH316" i="3" s="1"/>
  <c r="BI316" i="3" s="1"/>
  <c r="AT319" i="3"/>
  <c r="AY318" i="3"/>
  <c r="BC317" i="3"/>
  <c r="BG317" i="3" s="1"/>
  <c r="BH317" i="3" s="1"/>
  <c r="BI317" i="3" s="1"/>
  <c r="AO320" i="3"/>
  <c r="AW319" i="3"/>
  <c r="AU319" i="3"/>
  <c r="AG320" i="3"/>
  <c r="X320" i="3"/>
  <c r="AV318" i="3"/>
  <c r="BA318" i="3"/>
  <c r="Y320" i="3"/>
  <c r="Z320" i="3" s="1"/>
  <c r="BM320" i="3"/>
  <c r="AH320" i="3"/>
  <c r="AN320" i="3"/>
  <c r="AR321" i="3"/>
  <c r="B321" i="3"/>
  <c r="AQ321" i="3"/>
  <c r="A322" i="3"/>
  <c r="T321" i="3"/>
  <c r="AK321" i="3"/>
  <c r="AM321" i="3"/>
  <c r="S321" i="3"/>
  <c r="Q321" i="3"/>
  <c r="R321" i="3"/>
  <c r="AD321" i="3"/>
  <c r="P321" i="3"/>
  <c r="O321" i="3"/>
  <c r="M321" i="3"/>
  <c r="AF321" i="3"/>
  <c r="V321" i="3"/>
  <c r="U321" i="3"/>
  <c r="AE321" i="3"/>
  <c r="D321" i="3"/>
  <c r="F321" i="3"/>
  <c r="C321" i="3"/>
  <c r="G321" i="3"/>
  <c r="H321" i="3" s="1"/>
  <c r="BQ317" i="3"/>
  <c r="BB317" i="3"/>
  <c r="BF317" i="3"/>
  <c r="BJ316" i="3" s="1"/>
  <c r="BK316" i="3" s="1"/>
  <c r="AX319" i="3"/>
  <c r="BD317" i="3" l="1"/>
  <c r="AV319" i="3"/>
  <c r="BC318" i="3"/>
  <c r="BG318" i="3" s="1"/>
  <c r="BH318" i="3" s="1"/>
  <c r="BI318" i="3" s="1"/>
  <c r="BA319" i="3"/>
  <c r="BB319" i="3" s="1"/>
  <c r="AX320" i="3"/>
  <c r="X321" i="3"/>
  <c r="Y321" i="3"/>
  <c r="Z321" i="3" s="1"/>
  <c r="AO321" i="3"/>
  <c r="AN321" i="3"/>
  <c r="AR322" i="3"/>
  <c r="B322" i="3"/>
  <c r="AQ322" i="3"/>
  <c r="A323" i="3"/>
  <c r="D322" i="3"/>
  <c r="AK322" i="3"/>
  <c r="S322" i="3"/>
  <c r="Q322" i="3"/>
  <c r="C322" i="3"/>
  <c r="AM322" i="3"/>
  <c r="R322" i="3"/>
  <c r="AD322" i="3"/>
  <c r="P322" i="3"/>
  <c r="AE322" i="3"/>
  <c r="O322" i="3"/>
  <c r="M322" i="3"/>
  <c r="AF322" i="3"/>
  <c r="V322" i="3"/>
  <c r="U322" i="3"/>
  <c r="G322" i="3"/>
  <c r="H322" i="3" s="1"/>
  <c r="F322" i="3"/>
  <c r="BM322" i="3" s="1"/>
  <c r="T322" i="3"/>
  <c r="AH321" i="3"/>
  <c r="AU320" i="3"/>
  <c r="AT320" i="3"/>
  <c r="AY319" i="3"/>
  <c r="BN321" i="3"/>
  <c r="BM321" i="3"/>
  <c r="AG321" i="3"/>
  <c r="AW320" i="3"/>
  <c r="BB318" i="3"/>
  <c r="BF318" i="3"/>
  <c r="BJ317" i="3" s="1"/>
  <c r="BK317" i="3" s="1"/>
  <c r="BQ318" i="3"/>
  <c r="BD318" i="3" l="1"/>
  <c r="BQ319" i="3"/>
  <c r="AN322" i="3"/>
  <c r="BC319" i="3"/>
  <c r="BD319" i="3" s="1"/>
  <c r="BF319" i="3"/>
  <c r="BJ318" i="3" s="1"/>
  <c r="BK318" i="3" s="1"/>
  <c r="AY320" i="3"/>
  <c r="AW321" i="3"/>
  <c r="AV320" i="3"/>
  <c r="AQ323" i="3"/>
  <c r="B323" i="3"/>
  <c r="A324" i="3"/>
  <c r="AR323" i="3"/>
  <c r="AM323" i="3"/>
  <c r="S323" i="3"/>
  <c r="AK323" i="3"/>
  <c r="R323" i="3"/>
  <c r="P323" i="3"/>
  <c r="T323" i="3"/>
  <c r="Q323" i="3"/>
  <c r="AD323" i="3"/>
  <c r="O323" i="3"/>
  <c r="AF323" i="3"/>
  <c r="U323" i="3"/>
  <c r="V323" i="3"/>
  <c r="M323" i="3"/>
  <c r="AE323" i="3"/>
  <c r="D323" i="3"/>
  <c r="C323" i="3"/>
  <c r="F323" i="3"/>
  <c r="G323" i="3"/>
  <c r="H323" i="3" s="1"/>
  <c r="AX321" i="3"/>
  <c r="AU321" i="3"/>
  <c r="BA320" i="3"/>
  <c r="AT321" i="3"/>
  <c r="Y322" i="3"/>
  <c r="Z322" i="3" s="1"/>
  <c r="BN322" i="3"/>
  <c r="AG322" i="3"/>
  <c r="AH322" i="3"/>
  <c r="AO322" i="3"/>
  <c r="X322" i="3"/>
  <c r="BC320" i="3" l="1"/>
  <c r="BD320" i="3" s="1"/>
  <c r="AG323" i="3"/>
  <c r="AO323" i="3"/>
  <c r="BG319" i="3"/>
  <c r="BH319" i="3" s="1"/>
  <c r="BI319" i="3" s="1"/>
  <c r="AY321" i="3"/>
  <c r="BN323" i="3"/>
  <c r="AT322" i="3"/>
  <c r="AU322" i="3"/>
  <c r="X323" i="3"/>
  <c r="AV321" i="3"/>
  <c r="BA321" i="3"/>
  <c r="Y323" i="3"/>
  <c r="Z323" i="3" s="1"/>
  <c r="A325" i="3"/>
  <c r="B324" i="3"/>
  <c r="AR324" i="3"/>
  <c r="AQ324" i="3"/>
  <c r="D324" i="3"/>
  <c r="AM324" i="3"/>
  <c r="AK324" i="3"/>
  <c r="R324" i="3"/>
  <c r="Q324" i="3"/>
  <c r="AD324" i="3"/>
  <c r="T324" i="3"/>
  <c r="P324" i="3"/>
  <c r="O324" i="3"/>
  <c r="V324" i="3"/>
  <c r="AE324" i="3"/>
  <c r="AF324" i="3"/>
  <c r="M324" i="3"/>
  <c r="U324" i="3"/>
  <c r="F324" i="3"/>
  <c r="C324" i="3"/>
  <c r="G324" i="3"/>
  <c r="H324" i="3" s="1"/>
  <c r="BN324" i="3" s="1"/>
  <c r="S324" i="3"/>
  <c r="AX322" i="3"/>
  <c r="BM323" i="3"/>
  <c r="AN323" i="3"/>
  <c r="BF320" i="3"/>
  <c r="BJ319" i="3" s="1"/>
  <c r="BK319" i="3" s="1"/>
  <c r="BQ320" i="3"/>
  <c r="BB320" i="3"/>
  <c r="AW322" i="3"/>
  <c r="AH323" i="3"/>
  <c r="BG320" i="3" l="1"/>
  <c r="BH320" i="3" s="1"/>
  <c r="BI320" i="3" s="1"/>
  <c r="BC321" i="3"/>
  <c r="BG321" i="3" s="1"/>
  <c r="BH321" i="3" s="1"/>
  <c r="BI321" i="3" s="1"/>
  <c r="BM324" i="3"/>
  <c r="AV322" i="3"/>
  <c r="BA322" i="3"/>
  <c r="BB322" i="3" s="1"/>
  <c r="AW323" i="3"/>
  <c r="AO324" i="3"/>
  <c r="AG324" i="3"/>
  <c r="AT323" i="3"/>
  <c r="Y324" i="3"/>
  <c r="Z324" i="3" s="1"/>
  <c r="AR325" i="3"/>
  <c r="B325" i="3"/>
  <c r="AQ325" i="3"/>
  <c r="A326" i="3"/>
  <c r="C325" i="3"/>
  <c r="AM325" i="3"/>
  <c r="AK325" i="3"/>
  <c r="S325" i="3"/>
  <c r="R325" i="3"/>
  <c r="D325" i="3"/>
  <c r="AD325" i="3"/>
  <c r="P325" i="3"/>
  <c r="O325" i="3"/>
  <c r="M325" i="3"/>
  <c r="V325" i="3"/>
  <c r="AF325" i="3"/>
  <c r="AE325" i="3"/>
  <c r="U325" i="3"/>
  <c r="Q325" i="3"/>
  <c r="G325" i="3"/>
  <c r="H325" i="3" s="1"/>
  <c r="F325" i="3"/>
  <c r="BM325" i="3" s="1"/>
  <c r="T325" i="3"/>
  <c r="BB321" i="3"/>
  <c r="BF321" i="3"/>
  <c r="BJ320" i="3" s="1"/>
  <c r="BK320" i="3" s="1"/>
  <c r="BQ321" i="3"/>
  <c r="AX323" i="3"/>
  <c r="AY322" i="3"/>
  <c r="AU323" i="3"/>
  <c r="X324" i="3"/>
  <c r="AH324" i="3"/>
  <c r="AN324" i="3"/>
  <c r="BN325" i="3" l="1"/>
  <c r="BD321" i="3"/>
  <c r="BC322" i="3"/>
  <c r="BD322" i="3" s="1"/>
  <c r="AO325" i="3"/>
  <c r="BQ322" i="3"/>
  <c r="BF322" i="3"/>
  <c r="BJ321" i="3" s="1"/>
  <c r="BK321" i="3" s="1"/>
  <c r="AG325" i="3"/>
  <c r="BA323" i="3"/>
  <c r="BB323" i="3" s="1"/>
  <c r="AY323" i="3"/>
  <c r="AX324" i="3"/>
  <c r="Y325" i="3"/>
  <c r="Z325" i="3" s="1"/>
  <c r="AR326" i="3"/>
  <c r="B326" i="3"/>
  <c r="AQ326" i="3"/>
  <c r="A327" i="3"/>
  <c r="AK326" i="3"/>
  <c r="T326" i="3"/>
  <c r="S326" i="3"/>
  <c r="AM326" i="3"/>
  <c r="R326" i="3"/>
  <c r="AD326" i="3"/>
  <c r="P326" i="3"/>
  <c r="O326" i="3"/>
  <c r="M326" i="3"/>
  <c r="AE326" i="3"/>
  <c r="AF326" i="3"/>
  <c r="V326" i="3"/>
  <c r="U326" i="3"/>
  <c r="C326" i="3"/>
  <c r="G326" i="3"/>
  <c r="H326" i="3" s="1"/>
  <c r="F326" i="3"/>
  <c r="Q326" i="3"/>
  <c r="D326" i="3"/>
  <c r="AU324" i="3"/>
  <c r="AW324" i="3"/>
  <c r="AN325" i="3"/>
  <c r="AV323" i="3"/>
  <c r="AT324" i="3"/>
  <c r="AH325" i="3"/>
  <c r="X325" i="3"/>
  <c r="BM326" i="3" l="1"/>
  <c r="BG322" i="3"/>
  <c r="BH322" i="3" s="1"/>
  <c r="BI322" i="3" s="1"/>
  <c r="AO326" i="3"/>
  <c r="BN326" i="3"/>
  <c r="BQ323" i="3"/>
  <c r="AY324" i="3"/>
  <c r="BF323" i="3"/>
  <c r="BJ322" i="3" s="1"/>
  <c r="BK322" i="3" s="1"/>
  <c r="BC323" i="3"/>
  <c r="BG323" i="3" s="1"/>
  <c r="BH323" i="3" s="1"/>
  <c r="BI323" i="3" s="1"/>
  <c r="AX325" i="3"/>
  <c r="AT325" i="3"/>
  <c r="AU325" i="3"/>
  <c r="Y326" i="3"/>
  <c r="Z326" i="3" s="1"/>
  <c r="AQ327" i="3"/>
  <c r="B327" i="3"/>
  <c r="A328" i="3"/>
  <c r="AR327" i="3"/>
  <c r="D327" i="3"/>
  <c r="AM327" i="3"/>
  <c r="S327" i="3"/>
  <c r="AK327" i="3"/>
  <c r="R327" i="3"/>
  <c r="Q327" i="3"/>
  <c r="P327" i="3"/>
  <c r="AD327" i="3"/>
  <c r="O327" i="3"/>
  <c r="AE327" i="3"/>
  <c r="U327" i="3"/>
  <c r="M327" i="3"/>
  <c r="AF327" i="3"/>
  <c r="V327" i="3"/>
  <c r="C327" i="3"/>
  <c r="G327" i="3"/>
  <c r="H327" i="3" s="1"/>
  <c r="F327" i="3"/>
  <c r="T327" i="3"/>
  <c r="AW325" i="3"/>
  <c r="X326" i="3"/>
  <c r="AG326" i="3"/>
  <c r="AH326" i="3"/>
  <c r="AN326" i="3"/>
  <c r="AV324" i="3"/>
  <c r="BA324" i="3"/>
  <c r="BM327" i="3" l="1"/>
  <c r="BD323" i="3"/>
  <c r="BC324" i="3"/>
  <c r="BG324" i="3" s="1"/>
  <c r="BH324" i="3" s="1"/>
  <c r="BI324" i="3" s="1"/>
  <c r="AY325" i="3"/>
  <c r="BN327" i="3"/>
  <c r="AT326" i="3"/>
  <c r="AV325" i="3"/>
  <c r="AG327" i="3"/>
  <c r="AU326" i="3"/>
  <c r="AN327" i="3"/>
  <c r="AO327" i="3"/>
  <c r="A329" i="3"/>
  <c r="B328" i="3"/>
  <c r="AR328" i="3"/>
  <c r="AQ328" i="3"/>
  <c r="C328" i="3"/>
  <c r="D328" i="3"/>
  <c r="AM328" i="3"/>
  <c r="AK328" i="3"/>
  <c r="R328" i="3"/>
  <c r="Q328" i="3"/>
  <c r="S328" i="3"/>
  <c r="AD328" i="3"/>
  <c r="P328" i="3"/>
  <c r="O328" i="3"/>
  <c r="M328" i="3"/>
  <c r="AE328" i="3"/>
  <c r="AF328" i="3"/>
  <c r="U328" i="3"/>
  <c r="V328" i="3"/>
  <c r="G328" i="3"/>
  <c r="H328" i="3" s="1"/>
  <c r="F328" i="3"/>
  <c r="T328" i="3"/>
  <c r="AX326" i="3"/>
  <c r="X327" i="3"/>
  <c r="BQ324" i="3"/>
  <c r="BF324" i="3"/>
  <c r="BJ323" i="3" s="1"/>
  <c r="BK323" i="3" s="1"/>
  <c r="BB324" i="3"/>
  <c r="AW326" i="3"/>
  <c r="Y327" i="3"/>
  <c r="Z327" i="3" s="1"/>
  <c r="AH327" i="3"/>
  <c r="BA325" i="3"/>
  <c r="BD324" i="3" l="1"/>
  <c r="BM328" i="3"/>
  <c r="BN328" i="3"/>
  <c r="BC325" i="3"/>
  <c r="BD325" i="3" s="1"/>
  <c r="AO328" i="3"/>
  <c r="AV326" i="3"/>
  <c r="AY326" i="3"/>
  <c r="AG328" i="3"/>
  <c r="AW327" i="3"/>
  <c r="AT327" i="3"/>
  <c r="Y328" i="3"/>
  <c r="Z328" i="3" s="1"/>
  <c r="BA326" i="3"/>
  <c r="BQ326" i="3" s="1"/>
  <c r="BB325" i="3"/>
  <c r="BQ325" i="3"/>
  <c r="BF325" i="3"/>
  <c r="BJ324" i="3" s="1"/>
  <c r="BK324" i="3" s="1"/>
  <c r="AR329" i="3"/>
  <c r="B329" i="3"/>
  <c r="AQ329" i="3"/>
  <c r="A330" i="3"/>
  <c r="AK329" i="3"/>
  <c r="AM329" i="3"/>
  <c r="S329" i="3"/>
  <c r="R329" i="3"/>
  <c r="AD329" i="3"/>
  <c r="P329" i="3"/>
  <c r="O329" i="3"/>
  <c r="M329" i="3"/>
  <c r="AF329" i="3"/>
  <c r="V329" i="3"/>
  <c r="U329" i="3"/>
  <c r="AE329" i="3"/>
  <c r="Q329" i="3"/>
  <c r="D329" i="3"/>
  <c r="G329" i="3"/>
  <c r="H329" i="3" s="1"/>
  <c r="F329" i="3"/>
  <c r="C329" i="3"/>
  <c r="T329" i="3"/>
  <c r="AN328" i="3"/>
  <c r="X328" i="3"/>
  <c r="AU327" i="3"/>
  <c r="AH328" i="3"/>
  <c r="AX327" i="3"/>
  <c r="BG325" i="3" l="1"/>
  <c r="BH325" i="3" s="1"/>
  <c r="BI325" i="3" s="1"/>
  <c r="BN329" i="3"/>
  <c r="AY327" i="3"/>
  <c r="BC326" i="3"/>
  <c r="BD326" i="3" s="1"/>
  <c r="AX328" i="3"/>
  <c r="AO329" i="3"/>
  <c r="AV327" i="3"/>
  <c r="BF326" i="3"/>
  <c r="BJ325" i="3" s="1"/>
  <c r="BK325" i="3" s="1"/>
  <c r="AW328" i="3"/>
  <c r="AU328" i="3"/>
  <c r="BB326" i="3"/>
  <c r="X329" i="3"/>
  <c r="AR330" i="3"/>
  <c r="B330" i="3"/>
  <c r="AQ330" i="3"/>
  <c r="A331" i="3"/>
  <c r="D330" i="3"/>
  <c r="C330" i="3"/>
  <c r="S330" i="3"/>
  <c r="R330" i="3"/>
  <c r="AM330" i="3"/>
  <c r="AK330" i="3"/>
  <c r="Q330" i="3"/>
  <c r="AD330" i="3"/>
  <c r="P330" i="3"/>
  <c r="O330" i="3"/>
  <c r="M330" i="3"/>
  <c r="V330" i="3"/>
  <c r="AE330" i="3"/>
  <c r="AF330" i="3"/>
  <c r="U330" i="3"/>
  <c r="F330" i="3"/>
  <c r="G330" i="3"/>
  <c r="H330" i="3" s="1"/>
  <c r="BN330" i="3" s="1"/>
  <c r="T330" i="3"/>
  <c r="AH329" i="3"/>
  <c r="AT328" i="3"/>
  <c r="Y329" i="3"/>
  <c r="Z329" i="3" s="1"/>
  <c r="BM329" i="3"/>
  <c r="AG329" i="3"/>
  <c r="AN329" i="3"/>
  <c r="BA327" i="3"/>
  <c r="BM330" i="3" l="1"/>
  <c r="BG326" i="3"/>
  <c r="BH326" i="3" s="1"/>
  <c r="BI326" i="3" s="1"/>
  <c r="BC327" i="3"/>
  <c r="BG327" i="3" s="1"/>
  <c r="BH327" i="3" s="1"/>
  <c r="BI327" i="3" s="1"/>
  <c r="AN330" i="3"/>
  <c r="AY328" i="3"/>
  <c r="AT329" i="3"/>
  <c r="AG330" i="3"/>
  <c r="BB327" i="3"/>
  <c r="BQ327" i="3"/>
  <c r="BF327" i="3"/>
  <c r="BJ326" i="3" s="1"/>
  <c r="BK326" i="3" s="1"/>
  <c r="BA328" i="3"/>
  <c r="AV328" i="3"/>
  <c r="AQ331" i="3"/>
  <c r="B331" i="3"/>
  <c r="A332" i="3"/>
  <c r="AR331" i="3"/>
  <c r="AM331" i="3"/>
  <c r="AK331" i="3"/>
  <c r="T331" i="3"/>
  <c r="R331" i="3"/>
  <c r="Q331" i="3"/>
  <c r="AD331" i="3"/>
  <c r="M331" i="3"/>
  <c r="AF331" i="3"/>
  <c r="O331" i="3"/>
  <c r="AE331" i="3"/>
  <c r="V331" i="3"/>
  <c r="U331" i="3"/>
  <c r="D331" i="3"/>
  <c r="C331" i="3"/>
  <c r="F331" i="3"/>
  <c r="G331" i="3"/>
  <c r="H331" i="3" s="1"/>
  <c r="P331" i="3"/>
  <c r="S331" i="3"/>
  <c r="AX329" i="3"/>
  <c r="AU329" i="3"/>
  <c r="AW329" i="3"/>
  <c r="Y330" i="3"/>
  <c r="Z330" i="3" s="1"/>
  <c r="AH330" i="3"/>
  <c r="AO330" i="3"/>
  <c r="X330" i="3"/>
  <c r="BD327" i="3" l="1"/>
  <c r="AG331" i="3"/>
  <c r="AY329" i="3"/>
  <c r="AT330" i="3"/>
  <c r="BM331" i="3"/>
  <c r="BC328" i="3"/>
  <c r="BD328" i="3" s="1"/>
  <c r="AX330" i="3"/>
  <c r="AN331" i="3"/>
  <c r="Y331" i="3"/>
  <c r="Z331" i="3" s="1"/>
  <c r="BA329" i="3"/>
  <c r="BB329" i="3" s="1"/>
  <c r="AU330" i="3"/>
  <c r="AW330" i="3"/>
  <c r="X331" i="3"/>
  <c r="BN331" i="3"/>
  <c r="AH331" i="3"/>
  <c r="AO331" i="3"/>
  <c r="AV329" i="3"/>
  <c r="A333" i="3"/>
  <c r="B332" i="3"/>
  <c r="AR332" i="3"/>
  <c r="AQ332" i="3"/>
  <c r="C332" i="3"/>
  <c r="AK332" i="3"/>
  <c r="Q332" i="3"/>
  <c r="AM332" i="3"/>
  <c r="D332" i="3"/>
  <c r="AD332" i="3"/>
  <c r="S332" i="3"/>
  <c r="R332" i="3"/>
  <c r="P332" i="3"/>
  <c r="M332" i="3"/>
  <c r="AE332" i="3"/>
  <c r="O332" i="3"/>
  <c r="AF332" i="3"/>
  <c r="V332" i="3"/>
  <c r="U332" i="3"/>
  <c r="G332" i="3"/>
  <c r="H332" i="3" s="1"/>
  <c r="F332" i="3"/>
  <c r="BM332" i="3" s="1"/>
  <c r="T332" i="3"/>
  <c r="BF328" i="3"/>
  <c r="BJ327" i="3" s="1"/>
  <c r="BK327" i="3" s="1"/>
  <c r="BB328" i="3"/>
  <c r="BQ328" i="3"/>
  <c r="BC329" i="3" l="1"/>
  <c r="BD329" i="3" s="1"/>
  <c r="AN332" i="3"/>
  <c r="AV330" i="3"/>
  <c r="BG328" i="3"/>
  <c r="BH328" i="3" s="1"/>
  <c r="BI328" i="3" s="1"/>
  <c r="AY330" i="3"/>
  <c r="AX331" i="3"/>
  <c r="AU331" i="3"/>
  <c r="AG332" i="3"/>
  <c r="BF329" i="3"/>
  <c r="BJ328" i="3" s="1"/>
  <c r="BK328" i="3" s="1"/>
  <c r="BA330" i="3"/>
  <c r="BB330" i="3" s="1"/>
  <c r="BQ329" i="3"/>
  <c r="X332" i="3"/>
  <c r="Y332" i="3"/>
  <c r="Z332" i="3" s="1"/>
  <c r="BN332" i="3"/>
  <c r="AH332" i="3"/>
  <c r="AO332" i="3"/>
  <c r="AW331" i="3"/>
  <c r="AR333" i="3"/>
  <c r="B333" i="3"/>
  <c r="AQ333" i="3"/>
  <c r="A334" i="3"/>
  <c r="AK333" i="3"/>
  <c r="AM333" i="3"/>
  <c r="T333" i="3"/>
  <c r="Q333" i="3"/>
  <c r="S333" i="3"/>
  <c r="R333" i="3"/>
  <c r="AD333" i="3"/>
  <c r="P333" i="3"/>
  <c r="AE333" i="3"/>
  <c r="O333" i="3"/>
  <c r="M333" i="3"/>
  <c r="AF333" i="3"/>
  <c r="V333" i="3"/>
  <c r="U333" i="3"/>
  <c r="D333" i="3"/>
  <c r="C333" i="3"/>
  <c r="G333" i="3"/>
  <c r="H333" i="3" s="1"/>
  <c r="F333" i="3"/>
  <c r="AT331" i="3"/>
  <c r="BM333" i="3" l="1"/>
  <c r="BG329" i="3"/>
  <c r="BH329" i="3" s="1"/>
  <c r="BI329" i="3" s="1"/>
  <c r="BN333" i="3"/>
  <c r="AY331" i="3"/>
  <c r="BC330" i="3"/>
  <c r="BD330" i="3" s="1"/>
  <c r="AN333" i="3"/>
  <c r="BQ330" i="3"/>
  <c r="AW332" i="3"/>
  <c r="AU332" i="3"/>
  <c r="AT332" i="3"/>
  <c r="BF330" i="3"/>
  <c r="BJ329" i="3" s="1"/>
  <c r="BK329" i="3" s="1"/>
  <c r="AV331" i="3"/>
  <c r="BA331" i="3"/>
  <c r="Y333" i="3"/>
  <c r="Z333" i="3" s="1"/>
  <c r="X333" i="3"/>
  <c r="AG333" i="3"/>
  <c r="AH333" i="3"/>
  <c r="AO333" i="3"/>
  <c r="AX332" i="3"/>
  <c r="AR334" i="3"/>
  <c r="B334" i="3"/>
  <c r="AQ334" i="3"/>
  <c r="A335" i="3"/>
  <c r="D334" i="3"/>
  <c r="AM334" i="3"/>
  <c r="AK334" i="3"/>
  <c r="S334" i="3"/>
  <c r="Q334" i="3"/>
  <c r="R334" i="3"/>
  <c r="T334" i="3"/>
  <c r="AD334" i="3"/>
  <c r="P334" i="3"/>
  <c r="O334" i="3"/>
  <c r="M334" i="3"/>
  <c r="AF334" i="3"/>
  <c r="AE334" i="3"/>
  <c r="V334" i="3"/>
  <c r="U334" i="3"/>
  <c r="G334" i="3"/>
  <c r="H334" i="3" s="1"/>
  <c r="C334" i="3"/>
  <c r="F334" i="3"/>
  <c r="BC331" i="3" l="1"/>
  <c r="BD331" i="3" s="1"/>
  <c r="AV332" i="3"/>
  <c r="BG330" i="3"/>
  <c r="BH330" i="3" s="1"/>
  <c r="BI330" i="3" s="1"/>
  <c r="BA332" i="3"/>
  <c r="BB332" i="3" s="1"/>
  <c r="AT333" i="3"/>
  <c r="AO334" i="3"/>
  <c r="AG334" i="3"/>
  <c r="AY332" i="3"/>
  <c r="X334" i="3"/>
  <c r="BB331" i="3"/>
  <c r="BQ331" i="3"/>
  <c r="BF331" i="3"/>
  <c r="BJ330" i="3" s="1"/>
  <c r="BK330" i="3" s="1"/>
  <c r="AW333" i="3"/>
  <c r="Y334" i="3"/>
  <c r="Z334" i="3" s="1"/>
  <c r="AQ335" i="3"/>
  <c r="B335" i="3"/>
  <c r="A336" i="3"/>
  <c r="AR335" i="3"/>
  <c r="D335" i="3"/>
  <c r="AM335" i="3"/>
  <c r="T335" i="3"/>
  <c r="Q335" i="3"/>
  <c r="AK335" i="3"/>
  <c r="S335" i="3"/>
  <c r="R335" i="3"/>
  <c r="AD335" i="3"/>
  <c r="P335" i="3"/>
  <c r="O335" i="3"/>
  <c r="AE335" i="3"/>
  <c r="M335" i="3"/>
  <c r="AF335" i="3"/>
  <c r="U335" i="3"/>
  <c r="V335" i="3"/>
  <c r="C335" i="3"/>
  <c r="G335" i="3"/>
  <c r="H335" i="3" s="1"/>
  <c r="BN335" i="3" s="1"/>
  <c r="F335" i="3"/>
  <c r="BM334" i="3"/>
  <c r="BN334" i="3"/>
  <c r="AH334" i="3"/>
  <c r="AN334" i="3"/>
  <c r="AU333" i="3"/>
  <c r="AX333" i="3"/>
  <c r="BC332" i="3" l="1"/>
  <c r="BG332" i="3" s="1"/>
  <c r="BH332" i="3" s="1"/>
  <c r="BI332" i="3" s="1"/>
  <c r="BM335" i="3"/>
  <c r="BG331" i="3"/>
  <c r="BH331" i="3" s="1"/>
  <c r="BI331" i="3" s="1"/>
  <c r="AO335" i="3"/>
  <c r="BF332" i="3"/>
  <c r="BJ331" i="3" s="1"/>
  <c r="BK331" i="3" s="1"/>
  <c r="AY333" i="3"/>
  <c r="BQ332" i="3"/>
  <c r="AU334" i="3"/>
  <c r="BA333" i="3"/>
  <c r="BF333" i="3" s="1"/>
  <c r="AG335" i="3"/>
  <c r="AX334" i="3"/>
  <c r="X335" i="3"/>
  <c r="AH335" i="3"/>
  <c r="AN335" i="3"/>
  <c r="AV333" i="3"/>
  <c r="AW334" i="3"/>
  <c r="Y335" i="3"/>
  <c r="Z335" i="3" s="1"/>
  <c r="A337" i="3"/>
  <c r="B336" i="3"/>
  <c r="AR336" i="3"/>
  <c r="AQ336" i="3"/>
  <c r="C336" i="3"/>
  <c r="AM336" i="3"/>
  <c r="T336" i="3"/>
  <c r="S336" i="3"/>
  <c r="AK336" i="3"/>
  <c r="Q336" i="3"/>
  <c r="R336" i="3"/>
  <c r="P336" i="3"/>
  <c r="AD336" i="3"/>
  <c r="AE336" i="3"/>
  <c r="O336" i="3"/>
  <c r="M336" i="3"/>
  <c r="AF336" i="3"/>
  <c r="V336" i="3"/>
  <c r="U336" i="3"/>
  <c r="D336" i="3"/>
  <c r="G336" i="3"/>
  <c r="H336" i="3" s="1"/>
  <c r="F336" i="3"/>
  <c r="AT334" i="3"/>
  <c r="BC333" i="3" l="1"/>
  <c r="BD333" i="3" s="1"/>
  <c r="BD332" i="3"/>
  <c r="BM336" i="3"/>
  <c r="BJ332" i="3"/>
  <c r="BK332" i="3" s="1"/>
  <c r="BN336" i="3"/>
  <c r="AT335" i="3"/>
  <c r="AO336" i="3"/>
  <c r="BQ333" i="3"/>
  <c r="AY334" i="3"/>
  <c r="AX335" i="3"/>
  <c r="BB333" i="3"/>
  <c r="AU335" i="3"/>
  <c r="AH336" i="3"/>
  <c r="AR337" i="3"/>
  <c r="B337" i="3"/>
  <c r="AQ337" i="3"/>
  <c r="A338" i="3"/>
  <c r="AK337" i="3"/>
  <c r="AM337" i="3"/>
  <c r="R337" i="3"/>
  <c r="Q337" i="3"/>
  <c r="AD337" i="3"/>
  <c r="P337" i="3"/>
  <c r="O337" i="3"/>
  <c r="AE337" i="3"/>
  <c r="AF337" i="3"/>
  <c r="M337" i="3"/>
  <c r="V337" i="3"/>
  <c r="U337" i="3"/>
  <c r="C337" i="3"/>
  <c r="G337" i="3"/>
  <c r="H337" i="3" s="1"/>
  <c r="F337" i="3"/>
  <c r="D337" i="3"/>
  <c r="T337" i="3"/>
  <c r="S337" i="3"/>
  <c r="X336" i="3"/>
  <c r="AV334" i="3"/>
  <c r="BA334" i="3"/>
  <c r="Y336" i="3"/>
  <c r="Z336" i="3" s="1"/>
  <c r="AG336" i="3"/>
  <c r="AN336" i="3"/>
  <c r="AW335" i="3"/>
  <c r="BG333" i="3" l="1"/>
  <c r="BH333" i="3" s="1"/>
  <c r="BI333" i="3" s="1"/>
  <c r="BM337" i="3"/>
  <c r="AV335" i="3"/>
  <c r="BC334" i="3"/>
  <c r="BD334" i="3" s="1"/>
  <c r="AO337" i="3"/>
  <c r="AY335" i="3"/>
  <c r="AW336" i="3"/>
  <c r="AU336" i="3"/>
  <c r="AX336" i="3"/>
  <c r="Y337" i="3"/>
  <c r="Z337" i="3" s="1"/>
  <c r="AT336" i="3"/>
  <c r="BA335" i="3"/>
  <c r="AH337" i="3"/>
  <c r="BF334" i="3"/>
  <c r="BJ333" i="3" s="1"/>
  <c r="BK333" i="3" s="1"/>
  <c r="BQ334" i="3"/>
  <c r="BB334" i="3"/>
  <c r="AR338" i="3"/>
  <c r="B338" i="3"/>
  <c r="AQ338" i="3"/>
  <c r="A339" i="3"/>
  <c r="D338" i="3"/>
  <c r="AM338" i="3"/>
  <c r="AK338" i="3"/>
  <c r="S338" i="3"/>
  <c r="Q338" i="3"/>
  <c r="AD338" i="3"/>
  <c r="P338" i="3"/>
  <c r="T338" i="3"/>
  <c r="O338" i="3"/>
  <c r="AE338" i="3"/>
  <c r="AF338" i="3"/>
  <c r="M338" i="3"/>
  <c r="U338" i="3"/>
  <c r="V338" i="3"/>
  <c r="R338" i="3"/>
  <c r="C338" i="3"/>
  <c r="F338" i="3"/>
  <c r="G338" i="3"/>
  <c r="H338" i="3" s="1"/>
  <c r="X337" i="3"/>
  <c r="BN337" i="3"/>
  <c r="AG337" i="3"/>
  <c r="AN337" i="3"/>
  <c r="BC335" i="3" l="1"/>
  <c r="BG335" i="3" s="1"/>
  <c r="BH335" i="3" s="1"/>
  <c r="BI335" i="3" s="1"/>
  <c r="AN338" i="3"/>
  <c r="BN338" i="3"/>
  <c r="BG334" i="3"/>
  <c r="BH334" i="3" s="1"/>
  <c r="BI334" i="3" s="1"/>
  <c r="AY336" i="3"/>
  <c r="AG338" i="3"/>
  <c r="AT337" i="3"/>
  <c r="X338" i="3"/>
  <c r="AQ339" i="3"/>
  <c r="B339" i="3"/>
  <c r="A340" i="3"/>
  <c r="AR339" i="3"/>
  <c r="D339" i="3"/>
  <c r="AM339" i="3"/>
  <c r="C339" i="3"/>
  <c r="AK339" i="3"/>
  <c r="S339" i="3"/>
  <c r="Q339" i="3"/>
  <c r="R339" i="3"/>
  <c r="AD339" i="3"/>
  <c r="P339" i="3"/>
  <c r="O339" i="3"/>
  <c r="M339" i="3"/>
  <c r="AF339" i="3"/>
  <c r="AE339" i="3"/>
  <c r="U339" i="3"/>
  <c r="V339" i="3"/>
  <c r="F339" i="3"/>
  <c r="G339" i="3"/>
  <c r="H339" i="3" s="1"/>
  <c r="T339" i="3"/>
  <c r="AU337" i="3"/>
  <c r="AW337" i="3"/>
  <c r="Y338" i="3"/>
  <c r="Z338" i="3" s="1"/>
  <c r="BQ335" i="3"/>
  <c r="BB335" i="3"/>
  <c r="BF335" i="3"/>
  <c r="BJ334" i="3" s="1"/>
  <c r="BK334" i="3" s="1"/>
  <c r="BM338" i="3"/>
  <c r="AO338" i="3"/>
  <c r="BA336" i="3"/>
  <c r="AV336" i="3"/>
  <c r="AH338" i="3"/>
  <c r="AX337" i="3"/>
  <c r="AV337" i="3" l="1"/>
  <c r="BN339" i="3"/>
  <c r="BD335" i="3"/>
  <c r="AO339" i="3"/>
  <c r="BM339" i="3"/>
  <c r="BC336" i="3"/>
  <c r="BG336" i="3" s="1"/>
  <c r="BH336" i="3" s="1"/>
  <c r="BI336" i="3" s="1"/>
  <c r="AX338" i="3"/>
  <c r="AU338" i="3"/>
  <c r="AW338" i="3"/>
  <c r="Y339" i="3"/>
  <c r="Z339" i="3" s="1"/>
  <c r="BQ336" i="3"/>
  <c r="BB336" i="3"/>
  <c r="BF336" i="3"/>
  <c r="BJ335" i="3" s="1"/>
  <c r="BK335" i="3" s="1"/>
  <c r="A341" i="3"/>
  <c r="B340" i="3"/>
  <c r="AR340" i="3"/>
  <c r="AQ340" i="3"/>
  <c r="AK340" i="3"/>
  <c r="AM340" i="3"/>
  <c r="S340" i="3"/>
  <c r="Q340" i="3"/>
  <c r="C340" i="3"/>
  <c r="AD340" i="3"/>
  <c r="P340" i="3"/>
  <c r="R340" i="3"/>
  <c r="O340" i="3"/>
  <c r="M340" i="3"/>
  <c r="AF340" i="3"/>
  <c r="AE340" i="3"/>
  <c r="U340" i="3"/>
  <c r="V340" i="3"/>
  <c r="G340" i="3"/>
  <c r="H340" i="3" s="1"/>
  <c r="D340" i="3"/>
  <c r="F340" i="3"/>
  <c r="T340" i="3"/>
  <c r="AT338" i="3"/>
  <c r="AG339" i="3"/>
  <c r="X339" i="3"/>
  <c r="BA337" i="3"/>
  <c r="AY337" i="3"/>
  <c r="AH339" i="3"/>
  <c r="AN339" i="3"/>
  <c r="BM340" i="3" l="1"/>
  <c r="BC337" i="3"/>
  <c r="BD337" i="3" s="1"/>
  <c r="BD336" i="3"/>
  <c r="AY338" i="3"/>
  <c r="AG340" i="3"/>
  <c r="AN340" i="3"/>
  <c r="Y340" i="3"/>
  <c r="Z340" i="3" s="1"/>
  <c r="BQ337" i="3"/>
  <c r="BB337" i="3"/>
  <c r="BF337" i="3"/>
  <c r="BJ336" i="3" s="1"/>
  <c r="BK336" i="3" s="1"/>
  <c r="AT339" i="3"/>
  <c r="AX339" i="3"/>
  <c r="AV338" i="3"/>
  <c r="BA338" i="3"/>
  <c r="AR341" i="3"/>
  <c r="B341" i="3"/>
  <c r="A342" i="3"/>
  <c r="AQ341" i="3"/>
  <c r="AK341" i="3"/>
  <c r="T341" i="3"/>
  <c r="S341" i="3"/>
  <c r="AM341" i="3"/>
  <c r="R341" i="3"/>
  <c r="AD341" i="3"/>
  <c r="P341" i="3"/>
  <c r="Q341" i="3"/>
  <c r="O341" i="3"/>
  <c r="AE341" i="3"/>
  <c r="M341" i="3"/>
  <c r="AF341" i="3"/>
  <c r="U341" i="3"/>
  <c r="V341" i="3"/>
  <c r="C341" i="3"/>
  <c r="G341" i="3"/>
  <c r="H341" i="3" s="1"/>
  <c r="D341" i="3"/>
  <c r="F341" i="3"/>
  <c r="AU339" i="3"/>
  <c r="BN340" i="3"/>
  <c r="X340" i="3"/>
  <c r="AO340" i="3"/>
  <c r="AW339" i="3"/>
  <c r="AH340" i="3"/>
  <c r="BG337" i="3" l="1"/>
  <c r="BH337" i="3" s="1"/>
  <c r="BI337" i="3" s="1"/>
  <c r="BC338" i="3"/>
  <c r="BD338" i="3" s="1"/>
  <c r="AX340" i="3"/>
  <c r="BM341" i="3"/>
  <c r="AO341" i="3"/>
  <c r="AU340" i="3"/>
  <c r="AW340" i="3"/>
  <c r="AY339" i="3"/>
  <c r="BB338" i="3"/>
  <c r="BF338" i="3"/>
  <c r="BJ337" i="3" s="1"/>
  <c r="BK337" i="3" s="1"/>
  <c r="BQ338" i="3"/>
  <c r="BN341" i="3"/>
  <c r="AG341" i="3"/>
  <c r="AH341" i="3"/>
  <c r="AN341" i="3"/>
  <c r="Y341" i="3"/>
  <c r="Z341" i="3" s="1"/>
  <c r="AR342" i="3"/>
  <c r="B342" i="3"/>
  <c r="A343" i="3"/>
  <c r="AQ342" i="3"/>
  <c r="AM342" i="3"/>
  <c r="AK342" i="3"/>
  <c r="Q342" i="3"/>
  <c r="R342" i="3"/>
  <c r="AD342" i="3"/>
  <c r="O342" i="3"/>
  <c r="P342" i="3"/>
  <c r="AF342" i="3"/>
  <c r="AE342" i="3"/>
  <c r="M342" i="3"/>
  <c r="V342" i="3"/>
  <c r="U342" i="3"/>
  <c r="D342" i="3"/>
  <c r="F342" i="3"/>
  <c r="C342" i="3"/>
  <c r="G342" i="3"/>
  <c r="H342" i="3" s="1"/>
  <c r="T342" i="3"/>
  <c r="S342" i="3"/>
  <c r="BA339" i="3"/>
  <c r="AV339" i="3"/>
  <c r="AT340" i="3"/>
  <c r="X341" i="3"/>
  <c r="AY340" i="3" l="1"/>
  <c r="BC339" i="3"/>
  <c r="BD339" i="3" s="1"/>
  <c r="BG338" i="3"/>
  <c r="BH338" i="3" s="1"/>
  <c r="BI338" i="3" s="1"/>
  <c r="AG342" i="3"/>
  <c r="BA340" i="3"/>
  <c r="BQ340" i="3" s="1"/>
  <c r="AV340" i="3"/>
  <c r="AU341" i="3"/>
  <c r="AN342" i="3"/>
  <c r="AT341" i="3"/>
  <c r="Y342" i="3"/>
  <c r="Z342" i="3" s="1"/>
  <c r="X342" i="3"/>
  <c r="BN342" i="3"/>
  <c r="BM342" i="3"/>
  <c r="AO342" i="3"/>
  <c r="AX341" i="3"/>
  <c r="BF339" i="3"/>
  <c r="BJ338" i="3" s="1"/>
  <c r="BK338" i="3" s="1"/>
  <c r="BB339" i="3"/>
  <c r="BQ339" i="3"/>
  <c r="AQ343" i="3"/>
  <c r="AR343" i="3"/>
  <c r="B343" i="3"/>
  <c r="A344" i="3"/>
  <c r="D343" i="3"/>
  <c r="AK343" i="3"/>
  <c r="S343" i="3"/>
  <c r="Q343" i="3"/>
  <c r="AM343" i="3"/>
  <c r="T343" i="3"/>
  <c r="R343" i="3"/>
  <c r="AD343" i="3"/>
  <c r="P343" i="3"/>
  <c r="O343" i="3"/>
  <c r="AE343" i="3"/>
  <c r="V343" i="3"/>
  <c r="U343" i="3"/>
  <c r="AF343" i="3"/>
  <c r="M343" i="3"/>
  <c r="G343" i="3"/>
  <c r="H343" i="3" s="1"/>
  <c r="C343" i="3"/>
  <c r="F343" i="3"/>
  <c r="AH342" i="3"/>
  <c r="AW341" i="3"/>
  <c r="BC340" i="3" l="1"/>
  <c r="BD340" i="3" s="1"/>
  <c r="BG339" i="3"/>
  <c r="BH339" i="3" s="1"/>
  <c r="BI339" i="3" s="1"/>
  <c r="AV341" i="3"/>
  <c r="BF340" i="3"/>
  <c r="BJ339" i="3" s="1"/>
  <c r="BK339" i="3" s="1"/>
  <c r="BM343" i="3"/>
  <c r="BN343" i="3"/>
  <c r="BB340" i="3"/>
  <c r="AX342" i="3"/>
  <c r="AO343" i="3"/>
  <c r="AY341" i="3"/>
  <c r="Y343" i="3"/>
  <c r="Z343" i="3" s="1"/>
  <c r="AH343" i="3"/>
  <c r="AT342" i="3"/>
  <c r="AW342" i="3"/>
  <c r="X343" i="3"/>
  <c r="AG343" i="3"/>
  <c r="AN343" i="3"/>
  <c r="BA341" i="3"/>
  <c r="A345" i="3"/>
  <c r="B344" i="3"/>
  <c r="AR344" i="3"/>
  <c r="AQ344" i="3"/>
  <c r="C344" i="3"/>
  <c r="AM344" i="3"/>
  <c r="AK344" i="3"/>
  <c r="S344" i="3"/>
  <c r="T344" i="3"/>
  <c r="R344" i="3"/>
  <c r="Q344" i="3"/>
  <c r="AD344" i="3"/>
  <c r="P344" i="3"/>
  <c r="O344" i="3"/>
  <c r="M344" i="3"/>
  <c r="AF344" i="3"/>
  <c r="AE344" i="3"/>
  <c r="V344" i="3"/>
  <c r="U344" i="3"/>
  <c r="D344" i="3"/>
  <c r="G344" i="3"/>
  <c r="H344" i="3" s="1"/>
  <c r="F344" i="3"/>
  <c r="AU342" i="3"/>
  <c r="BC341" i="3" l="1"/>
  <c r="BD341" i="3" s="1"/>
  <c r="BG340" i="3"/>
  <c r="BH340" i="3" s="1"/>
  <c r="BI340" i="3" s="1"/>
  <c r="AY342" i="3"/>
  <c r="BM344" i="3"/>
  <c r="AN344" i="3"/>
  <c r="AW343" i="3"/>
  <c r="AU343" i="3"/>
  <c r="Y344" i="3"/>
  <c r="Z344" i="3" s="1"/>
  <c r="AR345" i="3"/>
  <c r="B345" i="3"/>
  <c r="AQ345" i="3"/>
  <c r="A346" i="3"/>
  <c r="D345" i="3"/>
  <c r="C345" i="3"/>
  <c r="AK345" i="3"/>
  <c r="AM345" i="3"/>
  <c r="T345" i="3"/>
  <c r="S345" i="3"/>
  <c r="Q345" i="3"/>
  <c r="AD345" i="3"/>
  <c r="P345" i="3"/>
  <c r="O345" i="3"/>
  <c r="M345" i="3"/>
  <c r="AE345" i="3"/>
  <c r="U345" i="3"/>
  <c r="AF345" i="3"/>
  <c r="V345" i="3"/>
  <c r="R345" i="3"/>
  <c r="F345" i="3"/>
  <c r="G345" i="3"/>
  <c r="H345" i="3" s="1"/>
  <c r="BF341" i="3"/>
  <c r="BJ340" i="3" s="1"/>
  <c r="BK340" i="3" s="1"/>
  <c r="BB341" i="3"/>
  <c r="BQ341" i="3"/>
  <c r="AV342" i="3"/>
  <c r="BA342" i="3"/>
  <c r="BN344" i="3"/>
  <c r="AG344" i="3"/>
  <c r="AO344" i="3"/>
  <c r="X344" i="3"/>
  <c r="AX343" i="3"/>
  <c r="AH344" i="3"/>
  <c r="AT343" i="3"/>
  <c r="BC342" i="3" l="1"/>
  <c r="BD342" i="3" s="1"/>
  <c r="BG341" i="3"/>
  <c r="BH341" i="3" s="1"/>
  <c r="BI341" i="3" s="1"/>
  <c r="AY343" i="3"/>
  <c r="BN345" i="3"/>
  <c r="AN345" i="3"/>
  <c r="AG345" i="3"/>
  <c r="AX344" i="3"/>
  <c r="AV343" i="3"/>
  <c r="BA343" i="3"/>
  <c r="BF342" i="3"/>
  <c r="BJ341" i="3" s="1"/>
  <c r="BK341" i="3" s="1"/>
  <c r="BB342" i="3"/>
  <c r="BQ342" i="3"/>
  <c r="Y345" i="3"/>
  <c r="Z345" i="3" s="1"/>
  <c r="AU344" i="3"/>
  <c r="AW344" i="3"/>
  <c r="BM345" i="3"/>
  <c r="AO345" i="3"/>
  <c r="AR346" i="3"/>
  <c r="B346" i="3"/>
  <c r="AQ346" i="3"/>
  <c r="A347" i="3"/>
  <c r="D346" i="3"/>
  <c r="T346" i="3"/>
  <c r="AM346" i="3"/>
  <c r="AK346" i="3"/>
  <c r="R346" i="3"/>
  <c r="Q346" i="3"/>
  <c r="AD346" i="3"/>
  <c r="P346" i="3"/>
  <c r="S346" i="3"/>
  <c r="O346" i="3"/>
  <c r="M346" i="3"/>
  <c r="AE346" i="3"/>
  <c r="AF346" i="3"/>
  <c r="U346" i="3"/>
  <c r="V346" i="3"/>
  <c r="C346" i="3"/>
  <c r="G346" i="3"/>
  <c r="H346" i="3" s="1"/>
  <c r="F346" i="3"/>
  <c r="AT344" i="3"/>
  <c r="AH345" i="3"/>
  <c r="X345" i="3"/>
  <c r="BN346" i="3" l="1"/>
  <c r="BG342" i="3"/>
  <c r="BH342" i="3" s="1"/>
  <c r="BI342" i="3" s="1"/>
  <c r="BM346" i="3"/>
  <c r="BC343" i="3"/>
  <c r="BG343" i="3" s="1"/>
  <c r="BH343" i="3" s="1"/>
  <c r="BI343" i="3" s="1"/>
  <c r="AY344" i="3"/>
  <c r="AX345" i="3"/>
  <c r="AG346" i="3"/>
  <c r="AO346" i="3"/>
  <c r="AV344" i="3"/>
  <c r="BA344" i="3"/>
  <c r="Y346" i="3"/>
  <c r="Z346" i="3" s="1"/>
  <c r="AH346" i="3"/>
  <c r="AN346" i="3"/>
  <c r="AU345" i="3"/>
  <c r="AQ347" i="3"/>
  <c r="B347" i="3"/>
  <c r="A348" i="3"/>
  <c r="AR347" i="3"/>
  <c r="AM347" i="3"/>
  <c r="AK347" i="3"/>
  <c r="S347" i="3"/>
  <c r="R347" i="3"/>
  <c r="Q347" i="3"/>
  <c r="P347" i="3"/>
  <c r="AD347" i="3"/>
  <c r="O347" i="3"/>
  <c r="M347" i="3"/>
  <c r="AE347" i="3"/>
  <c r="V347" i="3"/>
  <c r="U347" i="3"/>
  <c r="AF347" i="3"/>
  <c r="D347" i="3"/>
  <c r="C347" i="3"/>
  <c r="G347" i="3"/>
  <c r="H347" i="3" s="1"/>
  <c r="F347" i="3"/>
  <c r="T347" i="3"/>
  <c r="BQ343" i="3"/>
  <c r="BB343" i="3"/>
  <c r="BF343" i="3"/>
  <c r="BJ342" i="3" s="1"/>
  <c r="BK342" i="3" s="1"/>
  <c r="X346" i="3"/>
  <c r="AT345" i="3"/>
  <c r="AW345" i="3"/>
  <c r="BD343" i="3" l="1"/>
  <c r="BN347" i="3"/>
  <c r="BM347" i="3"/>
  <c r="BC344" i="3"/>
  <c r="BG344" i="3" s="1"/>
  <c r="BH344" i="3" s="1"/>
  <c r="BI344" i="3" s="1"/>
  <c r="AY345" i="3"/>
  <c r="AO347" i="3"/>
  <c r="AU346" i="3"/>
  <c r="AX346" i="3"/>
  <c r="AG347" i="3"/>
  <c r="BA345" i="3"/>
  <c r="AV345" i="3"/>
  <c r="A349" i="3"/>
  <c r="B348" i="3"/>
  <c r="AR348" i="3"/>
  <c r="AQ348" i="3"/>
  <c r="AM348" i="3"/>
  <c r="S348" i="3"/>
  <c r="D348" i="3"/>
  <c r="AK348" i="3"/>
  <c r="T348" i="3"/>
  <c r="Q348" i="3"/>
  <c r="AD348" i="3"/>
  <c r="P348" i="3"/>
  <c r="AE348" i="3"/>
  <c r="O348" i="3"/>
  <c r="AF348" i="3"/>
  <c r="V348" i="3"/>
  <c r="M348" i="3"/>
  <c r="U348" i="3"/>
  <c r="R348" i="3"/>
  <c r="F348" i="3"/>
  <c r="C348" i="3"/>
  <c r="G348" i="3"/>
  <c r="H348" i="3" s="1"/>
  <c r="X347" i="3"/>
  <c r="AH347" i="3"/>
  <c r="AN347" i="3"/>
  <c r="AT346" i="3"/>
  <c r="AW346" i="3"/>
  <c r="BQ344" i="3"/>
  <c r="BB344" i="3"/>
  <c r="BF344" i="3"/>
  <c r="BJ343" i="3" s="1"/>
  <c r="BK343" i="3" s="1"/>
  <c r="Y347" i="3"/>
  <c r="Z347" i="3" s="1"/>
  <c r="AU347" i="3" l="1"/>
  <c r="BC345" i="3"/>
  <c r="BD345" i="3" s="1"/>
  <c r="BD344" i="3"/>
  <c r="BN348" i="3"/>
  <c r="BM348" i="3"/>
  <c r="AY346" i="3"/>
  <c r="AW347" i="3"/>
  <c r="AO348" i="3"/>
  <c r="BA346" i="3"/>
  <c r="BQ346" i="3" s="1"/>
  <c r="AT347" i="3"/>
  <c r="AX347" i="3"/>
  <c r="Y348" i="3"/>
  <c r="Z348" i="3" s="1"/>
  <c r="AR349" i="3"/>
  <c r="B349" i="3"/>
  <c r="AQ349" i="3"/>
  <c r="A350" i="3"/>
  <c r="C349" i="3"/>
  <c r="AK349" i="3"/>
  <c r="S349" i="3"/>
  <c r="AM349" i="3"/>
  <c r="R349" i="3"/>
  <c r="AD349" i="3"/>
  <c r="Q349" i="3"/>
  <c r="P349" i="3"/>
  <c r="O349" i="3"/>
  <c r="AE349" i="3"/>
  <c r="M349" i="3"/>
  <c r="AF349" i="3"/>
  <c r="V349" i="3"/>
  <c r="U349" i="3"/>
  <c r="F349" i="3"/>
  <c r="D349" i="3"/>
  <c r="G349" i="3"/>
  <c r="H349" i="3" s="1"/>
  <c r="T349" i="3"/>
  <c r="BF345" i="3"/>
  <c r="BJ344" i="3" s="1"/>
  <c r="BK344" i="3" s="1"/>
  <c r="BQ345" i="3"/>
  <c r="BB345" i="3"/>
  <c r="AV346" i="3"/>
  <c r="X348" i="3"/>
  <c r="AG348" i="3"/>
  <c r="AH348" i="3"/>
  <c r="AN348" i="3"/>
  <c r="BC346" i="3" l="1"/>
  <c r="BD346" i="3" s="1"/>
  <c r="BM349" i="3"/>
  <c r="BG345" i="3"/>
  <c r="BH345" i="3" s="1"/>
  <c r="BI345" i="3" s="1"/>
  <c r="AN349" i="3"/>
  <c r="AY347" i="3"/>
  <c r="BN349" i="3"/>
  <c r="AU348" i="3"/>
  <c r="AX348" i="3"/>
  <c r="BB346" i="3"/>
  <c r="BF346" i="3"/>
  <c r="BJ345" i="3" s="1"/>
  <c r="BK345" i="3" s="1"/>
  <c r="AR350" i="3"/>
  <c r="B350" i="3"/>
  <c r="AQ350" i="3"/>
  <c r="A351" i="3"/>
  <c r="D350" i="3"/>
  <c r="AM350" i="3"/>
  <c r="R350" i="3"/>
  <c r="AK350" i="3"/>
  <c r="Q350" i="3"/>
  <c r="P350" i="3"/>
  <c r="AD350" i="3"/>
  <c r="M350" i="3"/>
  <c r="AF350" i="3"/>
  <c r="AE350" i="3"/>
  <c r="U350" i="3"/>
  <c r="O350" i="3"/>
  <c r="V350" i="3"/>
  <c r="G350" i="3"/>
  <c r="H350" i="3" s="1"/>
  <c r="C350" i="3"/>
  <c r="F350" i="3"/>
  <c r="T350" i="3"/>
  <c r="S350" i="3"/>
  <c r="AW348" i="3"/>
  <c r="Y349" i="3"/>
  <c r="Z349" i="3" s="1"/>
  <c r="AG349" i="3"/>
  <c r="AH349" i="3"/>
  <c r="AO349" i="3"/>
  <c r="AV347" i="3"/>
  <c r="BA347" i="3"/>
  <c r="AT348" i="3"/>
  <c r="X349" i="3"/>
  <c r="BG346" i="3" l="1"/>
  <c r="BH346" i="3" s="1"/>
  <c r="BI346" i="3" s="1"/>
  <c r="AO350" i="3"/>
  <c r="BC347" i="3"/>
  <c r="BG347" i="3" s="1"/>
  <c r="BH347" i="3" s="1"/>
  <c r="BI347" i="3" s="1"/>
  <c r="BM350" i="3"/>
  <c r="BN350" i="3"/>
  <c r="AY348" i="3"/>
  <c r="AX349" i="3"/>
  <c r="AG350" i="3"/>
  <c r="AV348" i="3"/>
  <c r="BA348" i="3"/>
  <c r="AU349" i="3"/>
  <c r="AW349" i="3"/>
  <c r="AT349" i="3"/>
  <c r="Y350" i="3"/>
  <c r="Z350" i="3" s="1"/>
  <c r="AH350" i="3"/>
  <c r="BB347" i="3"/>
  <c r="BQ347" i="3"/>
  <c r="BF347" i="3"/>
  <c r="BJ346" i="3" s="1"/>
  <c r="BK346" i="3" s="1"/>
  <c r="AQ351" i="3"/>
  <c r="B351" i="3"/>
  <c r="A352" i="3"/>
  <c r="AR351" i="3"/>
  <c r="D351" i="3"/>
  <c r="AM351" i="3"/>
  <c r="AK351" i="3"/>
  <c r="Q351" i="3"/>
  <c r="S351" i="3"/>
  <c r="AD351" i="3"/>
  <c r="AE351" i="3"/>
  <c r="M351" i="3"/>
  <c r="U351" i="3"/>
  <c r="V351" i="3"/>
  <c r="P351" i="3"/>
  <c r="O351" i="3"/>
  <c r="AF351" i="3"/>
  <c r="R351" i="3"/>
  <c r="C351" i="3"/>
  <c r="F351" i="3"/>
  <c r="G351" i="3"/>
  <c r="H351" i="3" s="1"/>
  <c r="BN351" i="3" s="1"/>
  <c r="T351" i="3"/>
  <c r="X350" i="3"/>
  <c r="AN350" i="3"/>
  <c r="BD347" i="3" l="1"/>
  <c r="AU350" i="3"/>
  <c r="BM351" i="3"/>
  <c r="BC348" i="3"/>
  <c r="BD348" i="3" s="1"/>
  <c r="AW350" i="3"/>
  <c r="AY349" i="3"/>
  <c r="AT350" i="3"/>
  <c r="AN351" i="3"/>
  <c r="Y351" i="3"/>
  <c r="Z351" i="3" s="1"/>
  <c r="AH351" i="3"/>
  <c r="A353" i="3"/>
  <c r="B352" i="3"/>
  <c r="AR352" i="3"/>
  <c r="AQ352" i="3"/>
  <c r="AM352" i="3"/>
  <c r="S352" i="3"/>
  <c r="AK352" i="3"/>
  <c r="C352" i="3"/>
  <c r="R352" i="3"/>
  <c r="Q352" i="3"/>
  <c r="AD352" i="3"/>
  <c r="P352" i="3"/>
  <c r="M352" i="3"/>
  <c r="AF352" i="3"/>
  <c r="V352" i="3"/>
  <c r="O352" i="3"/>
  <c r="AE352" i="3"/>
  <c r="U352" i="3"/>
  <c r="G352" i="3"/>
  <c r="H352" i="3" s="1"/>
  <c r="F352" i="3"/>
  <c r="D352" i="3"/>
  <c r="T352" i="3"/>
  <c r="AV349" i="3"/>
  <c r="BA349" i="3"/>
  <c r="X351" i="3"/>
  <c r="AG351" i="3"/>
  <c r="AO351" i="3"/>
  <c r="AX350" i="3"/>
  <c r="BB348" i="3"/>
  <c r="BQ348" i="3"/>
  <c r="BF348" i="3"/>
  <c r="BJ347" i="3" s="1"/>
  <c r="BK347" i="3" s="1"/>
  <c r="BM352" i="3" l="1"/>
  <c r="AO352" i="3"/>
  <c r="AV350" i="3"/>
  <c r="BC349" i="3"/>
  <c r="BD349" i="3" s="1"/>
  <c r="BG348" i="3"/>
  <c r="BH348" i="3" s="1"/>
  <c r="BI348" i="3" s="1"/>
  <c r="AY350" i="3"/>
  <c r="AG352" i="3"/>
  <c r="AU351" i="3"/>
  <c r="AX351" i="3"/>
  <c r="BA350" i="3"/>
  <c r="BQ350" i="3" s="1"/>
  <c r="BF349" i="3"/>
  <c r="BJ348" i="3" s="1"/>
  <c r="BK348" i="3" s="1"/>
  <c r="BB349" i="3"/>
  <c r="BQ349" i="3"/>
  <c r="BN352" i="3"/>
  <c r="AH352" i="3"/>
  <c r="AW351" i="3"/>
  <c r="AT351" i="3"/>
  <c r="Y352" i="3"/>
  <c r="Z352" i="3" s="1"/>
  <c r="X352" i="3"/>
  <c r="AR353" i="3"/>
  <c r="B353" i="3"/>
  <c r="AQ353" i="3"/>
  <c r="A354" i="3"/>
  <c r="AM353" i="3"/>
  <c r="AK353" i="3"/>
  <c r="R353" i="3"/>
  <c r="T353" i="3"/>
  <c r="AD353" i="3"/>
  <c r="S353" i="3"/>
  <c r="Q353" i="3"/>
  <c r="P353" i="3"/>
  <c r="O353" i="3"/>
  <c r="M353" i="3"/>
  <c r="V353" i="3"/>
  <c r="U353" i="3"/>
  <c r="AF353" i="3"/>
  <c r="AE353" i="3"/>
  <c r="D353" i="3"/>
  <c r="G353" i="3"/>
  <c r="H353" i="3" s="1"/>
  <c r="F353" i="3"/>
  <c r="C353" i="3"/>
  <c r="AN352" i="3"/>
  <c r="BC350" i="3" l="1"/>
  <c r="BD350" i="3" s="1"/>
  <c r="BG349" i="3"/>
  <c r="BH349" i="3" s="1"/>
  <c r="BI349" i="3" s="1"/>
  <c r="AU352" i="3"/>
  <c r="BM353" i="3"/>
  <c r="AN353" i="3"/>
  <c r="AY351" i="3"/>
  <c r="AW352" i="3"/>
  <c r="AT352" i="3"/>
  <c r="BF350" i="3"/>
  <c r="BJ349" i="3" s="1"/>
  <c r="BK349" i="3" s="1"/>
  <c r="BB350" i="3"/>
  <c r="Y353" i="3"/>
  <c r="Z353" i="3" s="1"/>
  <c r="AR354" i="3"/>
  <c r="B354" i="3"/>
  <c r="AQ354" i="3"/>
  <c r="A355" i="3"/>
  <c r="D354" i="3"/>
  <c r="C354" i="3"/>
  <c r="R354" i="3"/>
  <c r="AM354" i="3"/>
  <c r="AK354" i="3"/>
  <c r="S354" i="3"/>
  <c r="Q354" i="3"/>
  <c r="AD354" i="3"/>
  <c r="P354" i="3"/>
  <c r="M354" i="3"/>
  <c r="AE354" i="3"/>
  <c r="V354" i="3"/>
  <c r="O354" i="3"/>
  <c r="AF354" i="3"/>
  <c r="U354" i="3"/>
  <c r="F354" i="3"/>
  <c r="G354" i="3"/>
  <c r="H354" i="3" s="1"/>
  <c r="BN354" i="3" s="1"/>
  <c r="T354" i="3"/>
  <c r="AV351" i="3"/>
  <c r="BA351" i="3"/>
  <c r="X353" i="3"/>
  <c r="BN353" i="3"/>
  <c r="AG353" i="3"/>
  <c r="AO353" i="3"/>
  <c r="AX352" i="3"/>
  <c r="AH353" i="3"/>
  <c r="BG350" i="3" l="1"/>
  <c r="BH350" i="3" s="1"/>
  <c r="BI350" i="3" s="1"/>
  <c r="BM354" i="3"/>
  <c r="AV352" i="3"/>
  <c r="BA352" i="3"/>
  <c r="BF352" i="3" s="1"/>
  <c r="BC351" i="3"/>
  <c r="BD351" i="3" s="1"/>
  <c r="AG354" i="3"/>
  <c r="AX353" i="3"/>
  <c r="AO354" i="3"/>
  <c r="BB351" i="3"/>
  <c r="BQ351" i="3"/>
  <c r="BF351" i="3"/>
  <c r="BJ350" i="3" s="1"/>
  <c r="BK350" i="3" s="1"/>
  <c r="AQ355" i="3"/>
  <c r="B355" i="3"/>
  <c r="A356" i="3"/>
  <c r="AR355" i="3"/>
  <c r="D355" i="3"/>
  <c r="AM355" i="3"/>
  <c r="T355" i="3"/>
  <c r="AK355" i="3"/>
  <c r="S355" i="3"/>
  <c r="Q355" i="3"/>
  <c r="R355" i="3"/>
  <c r="AD355" i="3"/>
  <c r="P355" i="3"/>
  <c r="M355" i="3"/>
  <c r="AF355" i="3"/>
  <c r="V355" i="3"/>
  <c r="O355" i="3"/>
  <c r="AE355" i="3"/>
  <c r="U355" i="3"/>
  <c r="F355" i="3"/>
  <c r="G355" i="3"/>
  <c r="H355" i="3" s="1"/>
  <c r="C355" i="3"/>
  <c r="AW353" i="3"/>
  <c r="AY352" i="3"/>
  <c r="AT353" i="3"/>
  <c r="AU353" i="3"/>
  <c r="Y354" i="3"/>
  <c r="Z354" i="3" s="1"/>
  <c r="AH354" i="3"/>
  <c r="AN354" i="3"/>
  <c r="X354" i="3"/>
  <c r="BC352" i="3" l="1"/>
  <c r="BG352" i="3" s="1"/>
  <c r="BH352" i="3" s="1"/>
  <c r="BI352" i="3" s="1"/>
  <c r="BN355" i="3"/>
  <c r="AO355" i="3"/>
  <c r="AT354" i="3"/>
  <c r="AG355" i="3"/>
  <c r="BB352" i="3"/>
  <c r="BQ352" i="3"/>
  <c r="AY353" i="3"/>
  <c r="BG351" i="3"/>
  <c r="BH351" i="3" s="1"/>
  <c r="BI351" i="3" s="1"/>
  <c r="X355" i="3"/>
  <c r="Y355" i="3"/>
  <c r="Z355" i="3" s="1"/>
  <c r="A357" i="3"/>
  <c r="B356" i="3"/>
  <c r="AR356" i="3"/>
  <c r="AQ356" i="3"/>
  <c r="AK356" i="3"/>
  <c r="T356" i="3"/>
  <c r="AM356" i="3"/>
  <c r="S356" i="3"/>
  <c r="R356" i="3"/>
  <c r="AD356" i="3"/>
  <c r="P356" i="3"/>
  <c r="O356" i="3"/>
  <c r="AE356" i="3"/>
  <c r="V356" i="3"/>
  <c r="AF356" i="3"/>
  <c r="M356" i="3"/>
  <c r="U356" i="3"/>
  <c r="D356" i="3"/>
  <c r="C356" i="3"/>
  <c r="Q356" i="3"/>
  <c r="F356" i="3"/>
  <c r="G356" i="3"/>
  <c r="H356" i="3" s="1"/>
  <c r="AH355" i="3"/>
  <c r="AN355" i="3"/>
  <c r="AX354" i="3"/>
  <c r="AW354" i="3"/>
  <c r="BJ351" i="3"/>
  <c r="BK351" i="3" s="1"/>
  <c r="AV353" i="3"/>
  <c r="BA353" i="3"/>
  <c r="BM355" i="3"/>
  <c r="AU354" i="3"/>
  <c r="BN356" i="3" l="1"/>
  <c r="BD352" i="3"/>
  <c r="BM356" i="3"/>
  <c r="AN356" i="3"/>
  <c r="BC353" i="3"/>
  <c r="BG353" i="3" s="1"/>
  <c r="BH353" i="3" s="1"/>
  <c r="BI353" i="3" s="1"/>
  <c r="AX355" i="3"/>
  <c r="AT355" i="3"/>
  <c r="AU355" i="3"/>
  <c r="AH356" i="3"/>
  <c r="BA354" i="3"/>
  <c r="BB354" i="3" s="1"/>
  <c r="BB353" i="3"/>
  <c r="BQ353" i="3"/>
  <c r="BF353" i="3"/>
  <c r="BJ352" i="3" s="1"/>
  <c r="BK352" i="3" s="1"/>
  <c r="AR357" i="3"/>
  <c r="B357" i="3"/>
  <c r="AQ357" i="3"/>
  <c r="A358" i="3"/>
  <c r="AM357" i="3"/>
  <c r="S357" i="3"/>
  <c r="R357" i="3"/>
  <c r="Q357" i="3"/>
  <c r="C357" i="3"/>
  <c r="AK357" i="3"/>
  <c r="AD357" i="3"/>
  <c r="P357" i="3"/>
  <c r="O357" i="3"/>
  <c r="AE357" i="3"/>
  <c r="AF357" i="3"/>
  <c r="U357" i="3"/>
  <c r="V357" i="3"/>
  <c r="M357" i="3"/>
  <c r="G357" i="3"/>
  <c r="H357" i="3" s="1"/>
  <c r="F357" i="3"/>
  <c r="D357" i="3"/>
  <c r="T357" i="3"/>
  <c r="AY354" i="3"/>
  <c r="AW355" i="3"/>
  <c r="X356" i="3"/>
  <c r="AG356" i="3"/>
  <c r="AO356" i="3"/>
  <c r="AV354" i="3"/>
  <c r="Y356" i="3"/>
  <c r="Z356" i="3" s="1"/>
  <c r="BD353" i="3" l="1"/>
  <c r="BM357" i="3"/>
  <c r="AY355" i="3"/>
  <c r="AG357" i="3"/>
  <c r="AV355" i="3"/>
  <c r="AW356" i="3"/>
  <c r="AO357" i="3"/>
  <c r="AX356" i="3"/>
  <c r="BF354" i="3"/>
  <c r="BJ353" i="3" s="1"/>
  <c r="BK353" i="3" s="1"/>
  <c r="AT356" i="3"/>
  <c r="BQ354" i="3"/>
  <c r="Y357" i="3"/>
  <c r="Z357" i="3" s="1"/>
  <c r="AU356" i="3"/>
  <c r="BA355" i="3"/>
  <c r="BC354" i="3"/>
  <c r="BN357" i="3"/>
  <c r="AH357" i="3"/>
  <c r="X357" i="3"/>
  <c r="AN357" i="3"/>
  <c r="AR358" i="3"/>
  <c r="B358" i="3"/>
  <c r="AQ358" i="3"/>
  <c r="A359" i="3"/>
  <c r="C358" i="3"/>
  <c r="AK358" i="3"/>
  <c r="S358" i="3"/>
  <c r="AM358" i="3"/>
  <c r="T358" i="3"/>
  <c r="AD358" i="3"/>
  <c r="R358" i="3"/>
  <c r="P358" i="3"/>
  <c r="O358" i="3"/>
  <c r="AE358" i="3"/>
  <c r="M358" i="3"/>
  <c r="V358" i="3"/>
  <c r="AF358" i="3"/>
  <c r="U358" i="3"/>
  <c r="Q358" i="3"/>
  <c r="D358" i="3"/>
  <c r="F358" i="3"/>
  <c r="G358" i="3"/>
  <c r="H358" i="3" s="1"/>
  <c r="BM358" i="3" l="1"/>
  <c r="BN358" i="3"/>
  <c r="AY356" i="3"/>
  <c r="BC355" i="3"/>
  <c r="BD355" i="3" s="1"/>
  <c r="AN358" i="3"/>
  <c r="AG358" i="3"/>
  <c r="AV356" i="3"/>
  <c r="AW357" i="3"/>
  <c r="AX357" i="3"/>
  <c r="AU357" i="3"/>
  <c r="BA356" i="3"/>
  <c r="BQ356" i="3" s="1"/>
  <c r="AT357" i="3"/>
  <c r="Y358" i="3"/>
  <c r="Z358" i="3" s="1"/>
  <c r="BB355" i="3"/>
  <c r="BQ355" i="3"/>
  <c r="BF355" i="3"/>
  <c r="BJ354" i="3" s="1"/>
  <c r="BK354" i="3" s="1"/>
  <c r="X358" i="3"/>
  <c r="AQ359" i="3"/>
  <c r="B359" i="3"/>
  <c r="A360" i="3"/>
  <c r="AR359" i="3"/>
  <c r="C359" i="3"/>
  <c r="AK359" i="3"/>
  <c r="S359" i="3"/>
  <c r="AM359" i="3"/>
  <c r="R359" i="3"/>
  <c r="Q359" i="3"/>
  <c r="P359" i="3"/>
  <c r="AD359" i="3"/>
  <c r="M359" i="3"/>
  <c r="AF359" i="3"/>
  <c r="AE359" i="3"/>
  <c r="O359" i="3"/>
  <c r="V359" i="3"/>
  <c r="U359" i="3"/>
  <c r="G359" i="3"/>
  <c r="H359" i="3" s="1"/>
  <c r="D359" i="3"/>
  <c r="F359" i="3"/>
  <c r="T359" i="3"/>
  <c r="BD354" i="3"/>
  <c r="BG354" i="3"/>
  <c r="BH354" i="3" s="1"/>
  <c r="BI354" i="3" s="1"/>
  <c r="AH358" i="3"/>
  <c r="AO358" i="3"/>
  <c r="BM359" i="3" l="1"/>
  <c r="BC356" i="3"/>
  <c r="BG356" i="3" s="1"/>
  <c r="BH356" i="3" s="1"/>
  <c r="BI356" i="3" s="1"/>
  <c r="AN359" i="3"/>
  <c r="BG355" i="3"/>
  <c r="BH355" i="3" s="1"/>
  <c r="BI355" i="3" s="1"/>
  <c r="AV357" i="3"/>
  <c r="BN359" i="3"/>
  <c r="BB356" i="3"/>
  <c r="AY357" i="3"/>
  <c r="BF356" i="3"/>
  <c r="BJ355" i="3" s="1"/>
  <c r="BK355" i="3" s="1"/>
  <c r="BA357" i="3"/>
  <c r="BF357" i="3" s="1"/>
  <c r="AG359" i="3"/>
  <c r="AW358" i="3"/>
  <c r="AX358" i="3"/>
  <c r="Y359" i="3"/>
  <c r="Z359" i="3" s="1"/>
  <c r="AH359" i="3"/>
  <c r="AO359" i="3"/>
  <c r="AT358" i="3"/>
  <c r="A361" i="3"/>
  <c r="B360" i="3"/>
  <c r="AR360" i="3"/>
  <c r="AQ360" i="3"/>
  <c r="C360" i="3"/>
  <c r="AK360" i="3"/>
  <c r="R360" i="3"/>
  <c r="AM360" i="3"/>
  <c r="Q360" i="3"/>
  <c r="P360" i="3"/>
  <c r="S360" i="3"/>
  <c r="AD360" i="3"/>
  <c r="O360" i="3"/>
  <c r="M360" i="3"/>
  <c r="AE360" i="3"/>
  <c r="AF360" i="3"/>
  <c r="U360" i="3"/>
  <c r="V360" i="3"/>
  <c r="D360" i="3"/>
  <c r="G360" i="3"/>
  <c r="H360" i="3" s="1"/>
  <c r="F360" i="3"/>
  <c r="T360" i="3"/>
  <c r="X359" i="3"/>
  <c r="AU358" i="3"/>
  <c r="BM360" i="3" l="1"/>
  <c r="BD356" i="3"/>
  <c r="AU359" i="3"/>
  <c r="BC357" i="3"/>
  <c r="BD357" i="3" s="1"/>
  <c r="AN360" i="3"/>
  <c r="BN360" i="3"/>
  <c r="BB357" i="3"/>
  <c r="Y360" i="3"/>
  <c r="Z360" i="3" s="1"/>
  <c r="BJ356" i="3"/>
  <c r="BK356" i="3" s="1"/>
  <c r="AT359" i="3"/>
  <c r="BQ357" i="3"/>
  <c r="AW359" i="3"/>
  <c r="AY358" i="3"/>
  <c r="AG360" i="3"/>
  <c r="AR361" i="3"/>
  <c r="B361" i="3"/>
  <c r="AQ361" i="3"/>
  <c r="A362" i="3"/>
  <c r="AK361" i="3"/>
  <c r="S361" i="3"/>
  <c r="R361" i="3"/>
  <c r="Q361" i="3"/>
  <c r="AM361" i="3"/>
  <c r="AD361" i="3"/>
  <c r="P361" i="3"/>
  <c r="AF361" i="3"/>
  <c r="V361" i="3"/>
  <c r="O361" i="3"/>
  <c r="M361" i="3"/>
  <c r="AE361" i="3"/>
  <c r="U361" i="3"/>
  <c r="C361" i="3"/>
  <c r="G361" i="3"/>
  <c r="H361" i="3" s="1"/>
  <c r="F361" i="3"/>
  <c r="D361" i="3"/>
  <c r="T361" i="3"/>
  <c r="BA358" i="3"/>
  <c r="AV358" i="3"/>
  <c r="X360" i="3"/>
  <c r="AH360" i="3"/>
  <c r="AO360" i="3"/>
  <c r="AX359" i="3"/>
  <c r="BM361" i="3" l="1"/>
  <c r="BC358" i="3"/>
  <c r="BD358" i="3" s="1"/>
  <c r="BG357" i="3"/>
  <c r="BH357" i="3" s="1"/>
  <c r="BI357" i="3" s="1"/>
  <c r="AV359" i="3"/>
  <c r="AN361" i="3"/>
  <c r="AG361" i="3"/>
  <c r="AY359" i="3"/>
  <c r="Y361" i="3"/>
  <c r="Z361" i="3" s="1"/>
  <c r="AX360" i="3"/>
  <c r="BA359" i="3"/>
  <c r="BF359" i="3" s="1"/>
  <c r="BQ358" i="3"/>
  <c r="BB358" i="3"/>
  <c r="BF358" i="3"/>
  <c r="BJ357" i="3" s="1"/>
  <c r="BK357" i="3" s="1"/>
  <c r="X361" i="3"/>
  <c r="AT360" i="3"/>
  <c r="AW360" i="3"/>
  <c r="BN361" i="3"/>
  <c r="AO361" i="3"/>
  <c r="AR362" i="3"/>
  <c r="B362" i="3"/>
  <c r="AQ362" i="3"/>
  <c r="A363" i="3"/>
  <c r="AK362" i="3"/>
  <c r="AM362" i="3"/>
  <c r="R362" i="3"/>
  <c r="D362" i="3"/>
  <c r="S362" i="3"/>
  <c r="Q362" i="3"/>
  <c r="AD362" i="3"/>
  <c r="P362" i="3"/>
  <c r="M362" i="3"/>
  <c r="O362" i="3"/>
  <c r="AE362" i="3"/>
  <c r="V362" i="3"/>
  <c r="AF362" i="3"/>
  <c r="U362" i="3"/>
  <c r="C362" i="3"/>
  <c r="F362" i="3"/>
  <c r="G362" i="3"/>
  <c r="H362" i="3" s="1"/>
  <c r="T362" i="3"/>
  <c r="AU360" i="3"/>
  <c r="AH361" i="3"/>
  <c r="BG358" i="3" l="1"/>
  <c r="BH358" i="3" s="1"/>
  <c r="BI358" i="3" s="1"/>
  <c r="AY360" i="3"/>
  <c r="BC359" i="3"/>
  <c r="BD359" i="3" s="1"/>
  <c r="BQ359" i="3"/>
  <c r="AX361" i="3"/>
  <c r="BN362" i="3"/>
  <c r="BJ358" i="3"/>
  <c r="BK358" i="3" s="1"/>
  <c r="AO362" i="3"/>
  <c r="BB359" i="3"/>
  <c r="AV360" i="3"/>
  <c r="X362" i="3"/>
  <c r="AQ363" i="3"/>
  <c r="B363" i="3"/>
  <c r="A364" i="3"/>
  <c r="AR363" i="3"/>
  <c r="D363" i="3"/>
  <c r="AK363" i="3"/>
  <c r="R363" i="3"/>
  <c r="AM363" i="3"/>
  <c r="T363" i="3"/>
  <c r="AD363" i="3"/>
  <c r="Q363" i="3"/>
  <c r="O363" i="3"/>
  <c r="AE363" i="3"/>
  <c r="V363" i="3"/>
  <c r="U363" i="3"/>
  <c r="M363" i="3"/>
  <c r="AF363" i="3"/>
  <c r="G363" i="3"/>
  <c r="H363" i="3" s="1"/>
  <c r="F363" i="3"/>
  <c r="C363" i="3"/>
  <c r="S363" i="3"/>
  <c r="P363" i="3"/>
  <c r="AG362" i="3"/>
  <c r="AH362" i="3"/>
  <c r="AW361" i="3"/>
  <c r="Y362" i="3"/>
  <c r="Z362" i="3" s="1"/>
  <c r="BM362" i="3"/>
  <c r="AN362" i="3"/>
  <c r="AU361" i="3"/>
  <c r="AT361" i="3"/>
  <c r="BA360" i="3"/>
  <c r="BC360" i="3" l="1"/>
  <c r="BG360" i="3" s="1"/>
  <c r="BH360" i="3" s="1"/>
  <c r="BI360" i="3" s="1"/>
  <c r="BG359" i="3"/>
  <c r="BH359" i="3" s="1"/>
  <c r="BI359" i="3" s="1"/>
  <c r="AN363" i="3"/>
  <c r="AY361" i="3"/>
  <c r="BN363" i="3"/>
  <c r="AU362" i="3"/>
  <c r="Y363" i="3"/>
  <c r="Z363" i="3" s="1"/>
  <c r="AV361" i="3"/>
  <c r="BA361" i="3"/>
  <c r="BB360" i="3"/>
  <c r="BQ360" i="3"/>
  <c r="BF360" i="3"/>
  <c r="BJ359" i="3" s="1"/>
  <c r="BK359" i="3" s="1"/>
  <c r="A365" i="3"/>
  <c r="B364" i="3"/>
  <c r="AR364" i="3"/>
  <c r="AQ364" i="3"/>
  <c r="D364" i="3"/>
  <c r="C364" i="3"/>
  <c r="R364" i="3"/>
  <c r="Q364" i="3"/>
  <c r="AM364" i="3"/>
  <c r="AK364" i="3"/>
  <c r="S364" i="3"/>
  <c r="AD364" i="3"/>
  <c r="M364" i="3"/>
  <c r="V364" i="3"/>
  <c r="U364" i="3"/>
  <c r="P364" i="3"/>
  <c r="O364" i="3"/>
  <c r="AE364" i="3"/>
  <c r="AF364" i="3"/>
  <c r="G364" i="3"/>
  <c r="H364" i="3" s="1"/>
  <c r="F364" i="3"/>
  <c r="T364" i="3"/>
  <c r="AT362" i="3"/>
  <c r="AW362" i="3"/>
  <c r="X363" i="3"/>
  <c r="BM363" i="3"/>
  <c r="AG363" i="3"/>
  <c r="AX362" i="3"/>
  <c r="AH363" i="3"/>
  <c r="AO363" i="3"/>
  <c r="BD360" i="3" l="1"/>
  <c r="BC361" i="3"/>
  <c r="BG361" i="3" s="1"/>
  <c r="BH361" i="3" s="1"/>
  <c r="BI361" i="3" s="1"/>
  <c r="BN364" i="3"/>
  <c r="Y364" i="3"/>
  <c r="Z364" i="3" s="1"/>
  <c r="AV362" i="3"/>
  <c r="BM364" i="3"/>
  <c r="AN364" i="3"/>
  <c r="AR365" i="3"/>
  <c r="B365" i="3"/>
  <c r="AQ365" i="3"/>
  <c r="A366" i="3"/>
  <c r="AM365" i="3"/>
  <c r="T365" i="3"/>
  <c r="AK365" i="3"/>
  <c r="Q365" i="3"/>
  <c r="P365" i="3"/>
  <c r="S365" i="3"/>
  <c r="R365" i="3"/>
  <c r="AD365" i="3"/>
  <c r="O365" i="3"/>
  <c r="M365" i="3"/>
  <c r="AF365" i="3"/>
  <c r="AE365" i="3"/>
  <c r="U365" i="3"/>
  <c r="V365" i="3"/>
  <c r="D365" i="3"/>
  <c r="G365" i="3"/>
  <c r="H365" i="3" s="1"/>
  <c r="F365" i="3"/>
  <c r="C365" i="3"/>
  <c r="BQ361" i="3"/>
  <c r="BF361" i="3"/>
  <c r="BJ360" i="3" s="1"/>
  <c r="BK360" i="3" s="1"/>
  <c r="BB361" i="3"/>
  <c r="AY362" i="3"/>
  <c r="AT363" i="3"/>
  <c r="AW363" i="3"/>
  <c r="AX363" i="3"/>
  <c r="AU363" i="3"/>
  <c r="BA362" i="3"/>
  <c r="AG364" i="3"/>
  <c r="AH364" i="3"/>
  <c r="AO364" i="3"/>
  <c r="X364" i="3"/>
  <c r="BD361" i="3" l="1"/>
  <c r="BC362" i="3"/>
  <c r="BD362" i="3" s="1"/>
  <c r="AO365" i="3"/>
  <c r="BN365" i="3"/>
  <c r="AG365" i="3"/>
  <c r="AU364" i="3"/>
  <c r="X365" i="3"/>
  <c r="AY363" i="3"/>
  <c r="BB362" i="3"/>
  <c r="BF362" i="3"/>
  <c r="BJ361" i="3" s="1"/>
  <c r="BK361" i="3" s="1"/>
  <c r="BQ362" i="3"/>
  <c r="Y365" i="3"/>
  <c r="Z365" i="3" s="1"/>
  <c r="AX364" i="3"/>
  <c r="AV363" i="3"/>
  <c r="BM365" i="3"/>
  <c r="AN365" i="3"/>
  <c r="AR366" i="3"/>
  <c r="B366" i="3"/>
  <c r="AQ366" i="3"/>
  <c r="A367" i="3"/>
  <c r="T366" i="3"/>
  <c r="S366" i="3"/>
  <c r="AK366" i="3"/>
  <c r="AM366" i="3"/>
  <c r="Q366" i="3"/>
  <c r="R366" i="3"/>
  <c r="AD366" i="3"/>
  <c r="P366" i="3"/>
  <c r="O366" i="3"/>
  <c r="AF366" i="3"/>
  <c r="V366" i="3"/>
  <c r="M366" i="3"/>
  <c r="AE366" i="3"/>
  <c r="U366" i="3"/>
  <c r="F366" i="3"/>
  <c r="C366" i="3"/>
  <c r="D366" i="3"/>
  <c r="G366" i="3"/>
  <c r="H366" i="3" s="1"/>
  <c r="AW364" i="3"/>
  <c r="BA363" i="3"/>
  <c r="AT364" i="3"/>
  <c r="AH365" i="3"/>
  <c r="BC363" i="3" l="1"/>
  <c r="BD363" i="3" s="1"/>
  <c r="BG362" i="3"/>
  <c r="BH362" i="3" s="1"/>
  <c r="BI362" i="3" s="1"/>
  <c r="AY364" i="3"/>
  <c r="AX365" i="3"/>
  <c r="AG366" i="3"/>
  <c r="AO366" i="3"/>
  <c r="AV364" i="3"/>
  <c r="BA364" i="3"/>
  <c r="X366" i="3"/>
  <c r="BM366" i="3"/>
  <c r="BF363" i="3"/>
  <c r="BJ362" i="3" s="1"/>
  <c r="BK362" i="3" s="1"/>
  <c r="BB363" i="3"/>
  <c r="BQ363" i="3"/>
  <c r="AQ367" i="3"/>
  <c r="B367" i="3"/>
  <c r="A368" i="3"/>
  <c r="AR367" i="3"/>
  <c r="D367" i="3"/>
  <c r="AM367" i="3"/>
  <c r="AK367" i="3"/>
  <c r="S367" i="3"/>
  <c r="R367" i="3"/>
  <c r="Q367" i="3"/>
  <c r="T367" i="3"/>
  <c r="AD367" i="3"/>
  <c r="P367" i="3"/>
  <c r="AE367" i="3"/>
  <c r="O367" i="3"/>
  <c r="AF367" i="3"/>
  <c r="U367" i="3"/>
  <c r="V367" i="3"/>
  <c r="M367" i="3"/>
  <c r="G367" i="3"/>
  <c r="H367" i="3" s="1"/>
  <c r="C367" i="3"/>
  <c r="F367" i="3"/>
  <c r="AW365" i="3"/>
  <c r="BN366" i="3"/>
  <c r="AN366" i="3"/>
  <c r="AT365" i="3"/>
  <c r="Y366" i="3"/>
  <c r="Z366" i="3" s="1"/>
  <c r="AH366" i="3"/>
  <c r="AU365" i="3"/>
  <c r="BG363" i="3" l="1"/>
  <c r="BH363" i="3" s="1"/>
  <c r="BI363" i="3" s="1"/>
  <c r="AY365" i="3"/>
  <c r="BC364" i="3"/>
  <c r="BG364" i="3" s="1"/>
  <c r="BH364" i="3" s="1"/>
  <c r="BI364" i="3" s="1"/>
  <c r="AX366" i="3"/>
  <c r="BM367" i="3"/>
  <c r="BN367" i="3"/>
  <c r="AN367" i="3"/>
  <c r="AO367" i="3"/>
  <c r="BA365" i="3"/>
  <c r="AV365" i="3"/>
  <c r="AT366" i="3"/>
  <c r="AG367" i="3"/>
  <c r="AH367" i="3"/>
  <c r="Y367" i="3"/>
  <c r="Z367" i="3" s="1"/>
  <c r="A369" i="3"/>
  <c r="B368" i="3"/>
  <c r="AR368" i="3"/>
  <c r="AQ368" i="3"/>
  <c r="D368" i="3"/>
  <c r="S368" i="3"/>
  <c r="Q368" i="3"/>
  <c r="C368" i="3"/>
  <c r="AM368" i="3"/>
  <c r="AK368" i="3"/>
  <c r="P368" i="3"/>
  <c r="T368" i="3"/>
  <c r="R368" i="3"/>
  <c r="AD368" i="3"/>
  <c r="O368" i="3"/>
  <c r="M368" i="3"/>
  <c r="AE368" i="3"/>
  <c r="AF368" i="3"/>
  <c r="V368" i="3"/>
  <c r="U368" i="3"/>
  <c r="G368" i="3"/>
  <c r="H368" i="3" s="1"/>
  <c r="BN368" i="3" s="1"/>
  <c r="F368" i="3"/>
  <c r="BB364" i="3"/>
  <c r="BQ364" i="3"/>
  <c r="BF364" i="3"/>
  <c r="BJ363" i="3" s="1"/>
  <c r="BK363" i="3" s="1"/>
  <c r="AU366" i="3"/>
  <c r="AW366" i="3"/>
  <c r="X367" i="3"/>
  <c r="BC365" i="3" l="1"/>
  <c r="BG365" i="3" s="1"/>
  <c r="BH365" i="3" s="1"/>
  <c r="BI365" i="3" s="1"/>
  <c r="BD364" i="3"/>
  <c r="BM368" i="3"/>
  <c r="AY366" i="3"/>
  <c r="AO368" i="3"/>
  <c r="AT367" i="3"/>
  <c r="AU367" i="3"/>
  <c r="AW367" i="3"/>
  <c r="AH368" i="3"/>
  <c r="Y368" i="3"/>
  <c r="Z368" i="3" s="1"/>
  <c r="AR369" i="3"/>
  <c r="B369" i="3"/>
  <c r="AQ369" i="3"/>
  <c r="A370" i="3"/>
  <c r="D369" i="3"/>
  <c r="AM369" i="3"/>
  <c r="R369" i="3"/>
  <c r="AK369" i="3"/>
  <c r="Q369" i="3"/>
  <c r="S369" i="3"/>
  <c r="AD369" i="3"/>
  <c r="O369" i="3"/>
  <c r="AE369" i="3"/>
  <c r="V369" i="3"/>
  <c r="P369" i="3"/>
  <c r="M369" i="3"/>
  <c r="AF369" i="3"/>
  <c r="U369" i="3"/>
  <c r="C369" i="3"/>
  <c r="G369" i="3"/>
  <c r="H369" i="3" s="1"/>
  <c r="F369" i="3"/>
  <c r="T369" i="3"/>
  <c r="BA366" i="3"/>
  <c r="AV366" i="3"/>
  <c r="BQ365" i="3"/>
  <c r="BF365" i="3"/>
  <c r="BJ364" i="3" s="1"/>
  <c r="BK364" i="3" s="1"/>
  <c r="BB365" i="3"/>
  <c r="AG368" i="3"/>
  <c r="AN368" i="3"/>
  <c r="AX367" i="3"/>
  <c r="X368" i="3"/>
  <c r="BD365" i="3" l="1"/>
  <c r="BM369" i="3"/>
  <c r="AO369" i="3"/>
  <c r="BC366" i="3"/>
  <c r="BD366" i="3" s="1"/>
  <c r="AH369" i="3"/>
  <c r="BN369" i="3"/>
  <c r="AV367" i="3"/>
  <c r="AT368" i="3"/>
  <c r="AU368" i="3"/>
  <c r="Y369" i="3"/>
  <c r="Z369" i="3" s="1"/>
  <c r="AY367" i="3"/>
  <c r="BA367" i="3"/>
  <c r="BB367" i="3" s="1"/>
  <c r="AX368" i="3"/>
  <c r="BQ366" i="3"/>
  <c r="BB366" i="3"/>
  <c r="BF366" i="3"/>
  <c r="BJ365" i="3" s="1"/>
  <c r="BK365" i="3" s="1"/>
  <c r="X369" i="3"/>
  <c r="AG369" i="3"/>
  <c r="AR370" i="3"/>
  <c r="B370" i="3"/>
  <c r="AQ370" i="3"/>
  <c r="A371" i="3"/>
  <c r="AK370" i="3"/>
  <c r="AM370" i="3"/>
  <c r="T370" i="3"/>
  <c r="Q370" i="3"/>
  <c r="C370" i="3"/>
  <c r="S370" i="3"/>
  <c r="AD370" i="3"/>
  <c r="P370" i="3"/>
  <c r="O370" i="3"/>
  <c r="AF370" i="3"/>
  <c r="U370" i="3"/>
  <c r="V370" i="3"/>
  <c r="AE370" i="3"/>
  <c r="M370" i="3"/>
  <c r="D370" i="3"/>
  <c r="R370" i="3"/>
  <c r="F370" i="3"/>
  <c r="G370" i="3"/>
  <c r="H370" i="3" s="1"/>
  <c r="AW368" i="3"/>
  <c r="AN369" i="3"/>
  <c r="BM370" i="3" l="1"/>
  <c r="BG366" i="3"/>
  <c r="BH366" i="3" s="1"/>
  <c r="BI366" i="3" s="1"/>
  <c r="BC367" i="3"/>
  <c r="BD367" i="3" s="1"/>
  <c r="AG370" i="3"/>
  <c r="AO370" i="3"/>
  <c r="BF367" i="3"/>
  <c r="BJ366" i="3" s="1"/>
  <c r="BK366" i="3" s="1"/>
  <c r="AV368" i="3"/>
  <c r="BQ367" i="3"/>
  <c r="AY368" i="3"/>
  <c r="AW369" i="3"/>
  <c r="AX369" i="3"/>
  <c r="AQ371" i="3"/>
  <c r="B371" i="3"/>
  <c r="A372" i="3"/>
  <c r="AR371" i="3"/>
  <c r="C371" i="3"/>
  <c r="AK371" i="3"/>
  <c r="AM371" i="3"/>
  <c r="S371" i="3"/>
  <c r="AD371" i="3"/>
  <c r="Q371" i="3"/>
  <c r="R371" i="3"/>
  <c r="P371" i="3"/>
  <c r="O371" i="3"/>
  <c r="M371" i="3"/>
  <c r="AF371" i="3"/>
  <c r="AE371" i="3"/>
  <c r="V371" i="3"/>
  <c r="U371" i="3"/>
  <c r="D371" i="3"/>
  <c r="F371" i="3"/>
  <c r="G371" i="3"/>
  <c r="H371" i="3" s="1"/>
  <c r="T371" i="3"/>
  <c r="BA368" i="3"/>
  <c r="AU369" i="3"/>
  <c r="BN370" i="3"/>
  <c r="AH370" i="3"/>
  <c r="AN370" i="3"/>
  <c r="AT369" i="3"/>
  <c r="Y370" i="3"/>
  <c r="Z370" i="3" s="1"/>
  <c r="X370" i="3"/>
  <c r="BN371" i="3" l="1"/>
  <c r="BC368" i="3"/>
  <c r="BD368" i="3" s="1"/>
  <c r="BG367" i="3"/>
  <c r="BH367" i="3" s="1"/>
  <c r="BI367" i="3" s="1"/>
  <c r="BM371" i="3"/>
  <c r="AY369" i="3"/>
  <c r="AX370" i="3"/>
  <c r="AO371" i="3"/>
  <c r="AG371" i="3"/>
  <c r="AU370" i="3"/>
  <c r="Y371" i="3"/>
  <c r="Z371" i="3" s="1"/>
  <c r="BA369" i="3"/>
  <c r="AV369" i="3"/>
  <c r="BQ368" i="3"/>
  <c r="BB368" i="3"/>
  <c r="BF368" i="3"/>
  <c r="BJ367" i="3" s="1"/>
  <c r="BK367" i="3" s="1"/>
  <c r="A373" i="3"/>
  <c r="B372" i="3"/>
  <c r="AR372" i="3"/>
  <c r="AQ372" i="3"/>
  <c r="AK372" i="3"/>
  <c r="AM372" i="3"/>
  <c r="S372" i="3"/>
  <c r="R372" i="3"/>
  <c r="P372" i="3"/>
  <c r="Q372" i="3"/>
  <c r="AD372" i="3"/>
  <c r="AE372" i="3"/>
  <c r="O372" i="3"/>
  <c r="U372" i="3"/>
  <c r="M372" i="3"/>
  <c r="AF372" i="3"/>
  <c r="V372" i="3"/>
  <c r="G372" i="3"/>
  <c r="H372" i="3" s="1"/>
  <c r="F372" i="3"/>
  <c r="C372" i="3"/>
  <c r="D372" i="3"/>
  <c r="T372" i="3"/>
  <c r="AW370" i="3"/>
  <c r="AH371" i="3"/>
  <c r="AN371" i="3"/>
  <c r="X371" i="3"/>
  <c r="AT370" i="3"/>
  <c r="AY370" i="3" l="1"/>
  <c r="BG368" i="3"/>
  <c r="BH368" i="3" s="1"/>
  <c r="BI368" i="3" s="1"/>
  <c r="BM372" i="3"/>
  <c r="BC369" i="3"/>
  <c r="BG369" i="3" s="1"/>
  <c r="BH369" i="3" s="1"/>
  <c r="BI369" i="3" s="1"/>
  <c r="AU371" i="3"/>
  <c r="AO372" i="3"/>
  <c r="AT371" i="3"/>
  <c r="AW371" i="3"/>
  <c r="AH372" i="3"/>
  <c r="AV370" i="3"/>
  <c r="BA370" i="3"/>
  <c r="BF369" i="3"/>
  <c r="BJ368" i="3" s="1"/>
  <c r="BK368" i="3" s="1"/>
  <c r="BB369" i="3"/>
  <c r="BQ369" i="3"/>
  <c r="AX371" i="3"/>
  <c r="Y372" i="3"/>
  <c r="Z372" i="3" s="1"/>
  <c r="X372" i="3"/>
  <c r="BN372" i="3"/>
  <c r="AG372" i="3"/>
  <c r="AN372" i="3"/>
  <c r="AR373" i="3"/>
  <c r="B373" i="3"/>
  <c r="AQ373" i="3"/>
  <c r="A374" i="3"/>
  <c r="D373" i="3"/>
  <c r="AM373" i="3"/>
  <c r="AK373" i="3"/>
  <c r="T373" i="3"/>
  <c r="S373" i="3"/>
  <c r="R373" i="3"/>
  <c r="AD373" i="3"/>
  <c r="P373" i="3"/>
  <c r="AE373" i="3"/>
  <c r="AF373" i="3"/>
  <c r="V373" i="3"/>
  <c r="O373" i="3"/>
  <c r="M373" i="3"/>
  <c r="U373" i="3"/>
  <c r="C373" i="3"/>
  <c r="G373" i="3"/>
  <c r="H373" i="3" s="1"/>
  <c r="F373" i="3"/>
  <c r="Q373" i="3"/>
  <c r="BM373" i="3" l="1"/>
  <c r="AV371" i="3"/>
  <c r="BD369" i="3"/>
  <c r="BC370" i="3"/>
  <c r="BD370" i="3" s="1"/>
  <c r="BN373" i="3"/>
  <c r="AU372" i="3"/>
  <c r="AT372" i="3"/>
  <c r="AN373" i="3"/>
  <c r="AW372" i="3"/>
  <c r="BA371" i="3"/>
  <c r="BB371" i="3" s="1"/>
  <c r="AX372" i="3"/>
  <c r="AY371" i="3"/>
  <c r="Y373" i="3"/>
  <c r="Z373" i="3" s="1"/>
  <c r="BB370" i="3"/>
  <c r="BQ370" i="3"/>
  <c r="BF370" i="3"/>
  <c r="BJ369" i="3" s="1"/>
  <c r="BK369" i="3" s="1"/>
  <c r="X373" i="3"/>
  <c r="AG373" i="3"/>
  <c r="AH373" i="3"/>
  <c r="AO373" i="3"/>
  <c r="AR374" i="3"/>
  <c r="B374" i="3"/>
  <c r="AQ374" i="3"/>
  <c r="A375" i="3"/>
  <c r="C374" i="3"/>
  <c r="AM374" i="3"/>
  <c r="AK374" i="3"/>
  <c r="Q374" i="3"/>
  <c r="R374" i="3"/>
  <c r="AD374" i="3"/>
  <c r="M374" i="3"/>
  <c r="AE374" i="3"/>
  <c r="AF374" i="3"/>
  <c r="V374" i="3"/>
  <c r="P374" i="3"/>
  <c r="O374" i="3"/>
  <c r="U374" i="3"/>
  <c r="D374" i="3"/>
  <c r="G374" i="3"/>
  <c r="H374" i="3" s="1"/>
  <c r="F374" i="3"/>
  <c r="T374" i="3"/>
  <c r="S374" i="3"/>
  <c r="BC371" i="3" l="1"/>
  <c r="BD371" i="3" s="1"/>
  <c r="BG370" i="3"/>
  <c r="BH370" i="3" s="1"/>
  <c r="BI370" i="3" s="1"/>
  <c r="BA372" i="3"/>
  <c r="BB372" i="3" s="1"/>
  <c r="BM374" i="3"/>
  <c r="AV372" i="3"/>
  <c r="AT373" i="3"/>
  <c r="AG374" i="3"/>
  <c r="BQ371" i="3"/>
  <c r="BF371" i="3"/>
  <c r="BJ370" i="3" s="1"/>
  <c r="BK370" i="3" s="1"/>
  <c r="AY372" i="3"/>
  <c r="AN374" i="3"/>
  <c r="AU373" i="3"/>
  <c r="Y374" i="3"/>
  <c r="Z374" i="3" s="1"/>
  <c r="BN374" i="3"/>
  <c r="AO374" i="3"/>
  <c r="AX373" i="3"/>
  <c r="AQ375" i="3"/>
  <c r="B375" i="3"/>
  <c r="A376" i="3"/>
  <c r="AR375" i="3"/>
  <c r="AK375" i="3"/>
  <c r="AM375" i="3"/>
  <c r="T375" i="3"/>
  <c r="S375" i="3"/>
  <c r="C375" i="3"/>
  <c r="Q375" i="3"/>
  <c r="R375" i="3"/>
  <c r="AD375" i="3"/>
  <c r="P375" i="3"/>
  <c r="O375" i="3"/>
  <c r="AE375" i="3"/>
  <c r="AF375" i="3"/>
  <c r="M375" i="3"/>
  <c r="V375" i="3"/>
  <c r="U375" i="3"/>
  <c r="D375" i="3"/>
  <c r="F375" i="3"/>
  <c r="G375" i="3"/>
  <c r="H375" i="3" s="1"/>
  <c r="X374" i="3"/>
  <c r="AH374" i="3"/>
  <c r="AW373" i="3"/>
  <c r="BM375" i="3" l="1"/>
  <c r="BN375" i="3"/>
  <c r="BF372" i="3"/>
  <c r="BJ371" i="3" s="1"/>
  <c r="BK371" i="3" s="1"/>
  <c r="BG371" i="3"/>
  <c r="BH371" i="3" s="1"/>
  <c r="BI371" i="3" s="1"/>
  <c r="AV373" i="3"/>
  <c r="BQ372" i="3"/>
  <c r="BC372" i="3"/>
  <c r="AG375" i="3"/>
  <c r="AX374" i="3"/>
  <c r="BA373" i="3"/>
  <c r="AY373" i="3"/>
  <c r="Y375" i="3"/>
  <c r="Z375" i="3" s="1"/>
  <c r="X375" i="3"/>
  <c r="AH375" i="3"/>
  <c r="AT374" i="3"/>
  <c r="AN375" i="3"/>
  <c r="AO375" i="3"/>
  <c r="A377" i="3"/>
  <c r="B376" i="3"/>
  <c r="AR376" i="3"/>
  <c r="AQ376" i="3"/>
  <c r="D376" i="3"/>
  <c r="T376" i="3"/>
  <c r="AM376" i="3"/>
  <c r="AK376" i="3"/>
  <c r="S376" i="3"/>
  <c r="R376" i="3"/>
  <c r="AD376" i="3"/>
  <c r="P376" i="3"/>
  <c r="M376" i="3"/>
  <c r="AE376" i="3"/>
  <c r="O376" i="3"/>
  <c r="AF376" i="3"/>
  <c r="U376" i="3"/>
  <c r="V376" i="3"/>
  <c r="Q376" i="3"/>
  <c r="C376" i="3"/>
  <c r="F376" i="3"/>
  <c r="G376" i="3"/>
  <c r="H376" i="3" s="1"/>
  <c r="AU374" i="3"/>
  <c r="AW374" i="3"/>
  <c r="AU375" i="3" l="1"/>
  <c r="BC373" i="3"/>
  <c r="BG373" i="3" s="1"/>
  <c r="BH373" i="3" s="1"/>
  <c r="BI373" i="3" s="1"/>
  <c r="BG372" i="3"/>
  <c r="BH372" i="3" s="1"/>
  <c r="BI372" i="3" s="1"/>
  <c r="BD372" i="3"/>
  <c r="BN376" i="3"/>
  <c r="BM376" i="3"/>
  <c r="AY374" i="3"/>
  <c r="AW375" i="3"/>
  <c r="AN376" i="3"/>
  <c r="AV374" i="3"/>
  <c r="BA374" i="3"/>
  <c r="BF373" i="3"/>
  <c r="BJ372" i="3" s="1"/>
  <c r="BK372" i="3" s="1"/>
  <c r="BB373" i="3"/>
  <c r="BQ373" i="3"/>
  <c r="X376" i="3"/>
  <c r="AG376" i="3"/>
  <c r="AO376" i="3"/>
  <c r="AX375" i="3"/>
  <c r="Y376" i="3"/>
  <c r="Z376" i="3" s="1"/>
  <c r="AR377" i="3"/>
  <c r="B377" i="3"/>
  <c r="AQ377" i="3"/>
  <c r="A378" i="3"/>
  <c r="S377" i="3"/>
  <c r="C377" i="3"/>
  <c r="AK377" i="3"/>
  <c r="AM377" i="3"/>
  <c r="T377" i="3"/>
  <c r="Q377" i="3"/>
  <c r="AD377" i="3"/>
  <c r="P377" i="3"/>
  <c r="O377" i="3"/>
  <c r="AE377" i="3"/>
  <c r="M377" i="3"/>
  <c r="U377" i="3"/>
  <c r="V377" i="3"/>
  <c r="AF377" i="3"/>
  <c r="G377" i="3"/>
  <c r="H377" i="3" s="1"/>
  <c r="R377" i="3"/>
  <c r="D377" i="3"/>
  <c r="F377" i="3"/>
  <c r="AH376" i="3"/>
  <c r="AT375" i="3"/>
  <c r="BD373" i="3" l="1"/>
  <c r="BM377" i="3"/>
  <c r="BC374" i="3"/>
  <c r="BD374" i="3" s="1"/>
  <c r="AY375" i="3"/>
  <c r="AO377" i="3"/>
  <c r="AH377" i="3"/>
  <c r="AU376" i="3"/>
  <c r="AX376" i="3"/>
  <c r="Y377" i="3"/>
  <c r="Z377" i="3" s="1"/>
  <c r="AT376" i="3"/>
  <c r="BN377" i="3"/>
  <c r="AV375" i="3"/>
  <c r="BA375" i="3"/>
  <c r="AR378" i="3"/>
  <c r="B378" i="3"/>
  <c r="AQ378" i="3"/>
  <c r="A379" i="3"/>
  <c r="AM378" i="3"/>
  <c r="AK378" i="3"/>
  <c r="Q378" i="3"/>
  <c r="T378" i="3"/>
  <c r="S378" i="3"/>
  <c r="P378" i="3"/>
  <c r="R378" i="3"/>
  <c r="AD378" i="3"/>
  <c r="M378" i="3"/>
  <c r="O378" i="3"/>
  <c r="AE378" i="3"/>
  <c r="AF378" i="3"/>
  <c r="V378" i="3"/>
  <c r="U378" i="3"/>
  <c r="C378" i="3"/>
  <c r="D378" i="3"/>
  <c r="G378" i="3"/>
  <c r="H378" i="3" s="1"/>
  <c r="F378" i="3"/>
  <c r="BB374" i="3"/>
  <c r="BF374" i="3"/>
  <c r="BJ373" i="3" s="1"/>
  <c r="BK373" i="3" s="1"/>
  <c r="BQ374" i="3"/>
  <c r="AG377" i="3"/>
  <c r="AN377" i="3"/>
  <c r="X377" i="3"/>
  <c r="AW376" i="3"/>
  <c r="BC375" i="3" l="1"/>
  <c r="BG375" i="3" s="1"/>
  <c r="BH375" i="3" s="1"/>
  <c r="BI375" i="3" s="1"/>
  <c r="AY376" i="3"/>
  <c r="BG374" i="3"/>
  <c r="BH374" i="3" s="1"/>
  <c r="BI374" i="3" s="1"/>
  <c r="AN378" i="3"/>
  <c r="BN378" i="3"/>
  <c r="AW377" i="3"/>
  <c r="AX377" i="3"/>
  <c r="AG378" i="3"/>
  <c r="X378" i="3"/>
  <c r="Y378" i="3"/>
  <c r="Z378" i="3" s="1"/>
  <c r="AQ379" i="3"/>
  <c r="B379" i="3"/>
  <c r="A380" i="3"/>
  <c r="AR379" i="3"/>
  <c r="C379" i="3"/>
  <c r="AK379" i="3"/>
  <c r="S379" i="3"/>
  <c r="AM379" i="3"/>
  <c r="R379" i="3"/>
  <c r="Q379" i="3"/>
  <c r="AD379" i="3"/>
  <c r="P379" i="3"/>
  <c r="M379" i="3"/>
  <c r="AE379" i="3"/>
  <c r="O379" i="3"/>
  <c r="AF379" i="3"/>
  <c r="U379" i="3"/>
  <c r="V379" i="3"/>
  <c r="D379" i="3"/>
  <c r="G379" i="3"/>
  <c r="H379" i="3" s="1"/>
  <c r="F379" i="3"/>
  <c r="T379" i="3"/>
  <c r="BQ375" i="3"/>
  <c r="BB375" i="3"/>
  <c r="BF375" i="3"/>
  <c r="BJ374" i="3" s="1"/>
  <c r="BK374" i="3" s="1"/>
  <c r="BA376" i="3"/>
  <c r="AV376" i="3"/>
  <c r="BM378" i="3"/>
  <c r="AH378" i="3"/>
  <c r="AO378" i="3"/>
  <c r="AT377" i="3"/>
  <c r="AU377" i="3"/>
  <c r="BD375" i="3" l="1"/>
  <c r="BM379" i="3"/>
  <c r="BC376" i="3"/>
  <c r="BG376" i="3" s="1"/>
  <c r="BH376" i="3" s="1"/>
  <c r="BI376" i="3" s="1"/>
  <c r="AN379" i="3"/>
  <c r="AY377" i="3"/>
  <c r="AW378" i="3"/>
  <c r="AX378" i="3"/>
  <c r="AT378" i="3"/>
  <c r="AV377" i="3"/>
  <c r="BA377" i="3"/>
  <c r="A381" i="3"/>
  <c r="B380" i="3"/>
  <c r="AR380" i="3"/>
  <c r="AQ380" i="3"/>
  <c r="D380" i="3"/>
  <c r="AM380" i="3"/>
  <c r="T380" i="3"/>
  <c r="AK380" i="3"/>
  <c r="Q380" i="3"/>
  <c r="S380" i="3"/>
  <c r="AD380" i="3"/>
  <c r="P380" i="3"/>
  <c r="AE380" i="3"/>
  <c r="M380" i="3"/>
  <c r="AF380" i="3"/>
  <c r="V380" i="3"/>
  <c r="O380" i="3"/>
  <c r="U380" i="3"/>
  <c r="C380" i="3"/>
  <c r="F380" i="3"/>
  <c r="R380" i="3"/>
  <c r="G380" i="3"/>
  <c r="H380" i="3" s="1"/>
  <c r="X379" i="3"/>
  <c r="BB376" i="3"/>
  <c r="BQ376" i="3"/>
  <c r="BF376" i="3"/>
  <c r="BJ375" i="3" s="1"/>
  <c r="BK375" i="3" s="1"/>
  <c r="AU378" i="3"/>
  <c r="Y379" i="3"/>
  <c r="Z379" i="3" s="1"/>
  <c r="BN379" i="3"/>
  <c r="AH379" i="3"/>
  <c r="AG379" i="3"/>
  <c r="AO379" i="3"/>
  <c r="BD376" i="3" l="1"/>
  <c r="AO380" i="3"/>
  <c r="BC377" i="3"/>
  <c r="BG377" i="3" s="1"/>
  <c r="BH377" i="3" s="1"/>
  <c r="BI377" i="3" s="1"/>
  <c r="AH380" i="3"/>
  <c r="BN380" i="3"/>
  <c r="BM380" i="3"/>
  <c r="AV378" i="3"/>
  <c r="AY378" i="3"/>
  <c r="Y380" i="3"/>
  <c r="Z380" i="3" s="1"/>
  <c r="AR381" i="3"/>
  <c r="B381" i="3"/>
  <c r="AQ381" i="3"/>
  <c r="A382" i="3"/>
  <c r="AM381" i="3"/>
  <c r="Q381" i="3"/>
  <c r="C381" i="3"/>
  <c r="AK381" i="3"/>
  <c r="R381" i="3"/>
  <c r="S381" i="3"/>
  <c r="AD381" i="3"/>
  <c r="P381" i="3"/>
  <c r="O381" i="3"/>
  <c r="M381" i="3"/>
  <c r="AF381" i="3"/>
  <c r="U381" i="3"/>
  <c r="AE381" i="3"/>
  <c r="V381" i="3"/>
  <c r="D381" i="3"/>
  <c r="F381" i="3"/>
  <c r="G381" i="3"/>
  <c r="H381" i="3" s="1"/>
  <c r="T381" i="3"/>
  <c r="AX379" i="3"/>
  <c r="BA378" i="3"/>
  <c r="AU379" i="3"/>
  <c r="AT379" i="3"/>
  <c r="AW379" i="3"/>
  <c r="X380" i="3"/>
  <c r="AG380" i="3"/>
  <c r="BB377" i="3"/>
  <c r="BQ377" i="3"/>
  <c r="BF377" i="3"/>
  <c r="BJ376" i="3" s="1"/>
  <c r="BK376" i="3" s="1"/>
  <c r="AN380" i="3"/>
  <c r="BN381" i="3" l="1"/>
  <c r="BD377" i="3"/>
  <c r="AT380" i="3"/>
  <c r="AG381" i="3"/>
  <c r="AN381" i="3"/>
  <c r="BM381" i="3"/>
  <c r="AY379" i="3"/>
  <c r="BC378" i="3"/>
  <c r="BD378" i="3" s="1"/>
  <c r="AU380" i="3"/>
  <c r="AX380" i="3"/>
  <c r="AH381" i="3"/>
  <c r="X381" i="3"/>
  <c r="AV379" i="3"/>
  <c r="BA379" i="3"/>
  <c r="BB378" i="3"/>
  <c r="BQ378" i="3"/>
  <c r="BF378" i="3"/>
  <c r="BJ377" i="3" s="1"/>
  <c r="BK377" i="3" s="1"/>
  <c r="AR382" i="3"/>
  <c r="B382" i="3"/>
  <c r="AQ382" i="3"/>
  <c r="A383" i="3"/>
  <c r="C382" i="3"/>
  <c r="D382" i="3"/>
  <c r="AK382" i="3"/>
  <c r="S382" i="3"/>
  <c r="R382" i="3"/>
  <c r="AM382" i="3"/>
  <c r="AD382" i="3"/>
  <c r="P382" i="3"/>
  <c r="O382" i="3"/>
  <c r="AE382" i="3"/>
  <c r="U382" i="3"/>
  <c r="AF382" i="3"/>
  <c r="M382" i="3"/>
  <c r="V382" i="3"/>
  <c r="Q382" i="3"/>
  <c r="G382" i="3"/>
  <c r="H382" i="3" s="1"/>
  <c r="F382" i="3"/>
  <c r="T382" i="3"/>
  <c r="AW380" i="3"/>
  <c r="Y381" i="3"/>
  <c r="Z381" i="3" s="1"/>
  <c r="AO381" i="3"/>
  <c r="BN382" i="3" l="1"/>
  <c r="AY380" i="3"/>
  <c r="AV380" i="3"/>
  <c r="BC379" i="3"/>
  <c r="BG379" i="3" s="1"/>
  <c r="BH379" i="3" s="1"/>
  <c r="BI379" i="3" s="1"/>
  <c r="AU381" i="3"/>
  <c r="AO382" i="3"/>
  <c r="BG378" i="3"/>
  <c r="BH378" i="3" s="1"/>
  <c r="BI378" i="3" s="1"/>
  <c r="AN382" i="3"/>
  <c r="Y382" i="3"/>
  <c r="Z382" i="3" s="1"/>
  <c r="AQ383" i="3"/>
  <c r="B383" i="3"/>
  <c r="A384" i="3"/>
  <c r="AR383" i="3"/>
  <c r="Q383" i="3"/>
  <c r="AK383" i="3"/>
  <c r="AM383" i="3"/>
  <c r="S383" i="3"/>
  <c r="AD383" i="3"/>
  <c r="O383" i="3"/>
  <c r="P383" i="3"/>
  <c r="M383" i="3"/>
  <c r="AE383" i="3"/>
  <c r="AF383" i="3"/>
  <c r="V383" i="3"/>
  <c r="U383" i="3"/>
  <c r="D383" i="3"/>
  <c r="F383" i="3"/>
  <c r="R383" i="3"/>
  <c r="C383" i="3"/>
  <c r="G383" i="3"/>
  <c r="H383" i="3" s="1"/>
  <c r="BN383" i="3" s="1"/>
  <c r="T383" i="3"/>
  <c r="AG382" i="3"/>
  <c r="BA380" i="3"/>
  <c r="AX381" i="3"/>
  <c r="X382" i="3"/>
  <c r="BM382" i="3"/>
  <c r="BQ379" i="3"/>
  <c r="BF379" i="3"/>
  <c r="BJ378" i="3" s="1"/>
  <c r="BK378" i="3" s="1"/>
  <c r="BB379" i="3"/>
  <c r="AH382" i="3"/>
  <c r="AT381" i="3"/>
  <c r="AW381" i="3"/>
  <c r="BC380" i="3" l="1"/>
  <c r="BD380" i="3" s="1"/>
  <c r="BD379" i="3"/>
  <c r="AX382" i="3"/>
  <c r="AN383" i="3"/>
  <c r="AG383" i="3"/>
  <c r="X383" i="3"/>
  <c r="AT382" i="3"/>
  <c r="AU382" i="3"/>
  <c r="AY381" i="3"/>
  <c r="BB380" i="3"/>
  <c r="BF380" i="3"/>
  <c r="BJ379" i="3" s="1"/>
  <c r="BK379" i="3" s="1"/>
  <c r="BQ380" i="3"/>
  <c r="A385" i="3"/>
  <c r="B384" i="3"/>
  <c r="AR384" i="3"/>
  <c r="AQ384" i="3"/>
  <c r="D384" i="3"/>
  <c r="AK384" i="3"/>
  <c r="AM384" i="3"/>
  <c r="S384" i="3"/>
  <c r="R384" i="3"/>
  <c r="Q384" i="3"/>
  <c r="AD384" i="3"/>
  <c r="P384" i="3"/>
  <c r="M384" i="3"/>
  <c r="O384" i="3"/>
  <c r="AE384" i="3"/>
  <c r="AF384" i="3"/>
  <c r="V384" i="3"/>
  <c r="U384" i="3"/>
  <c r="F384" i="3"/>
  <c r="C384" i="3"/>
  <c r="G384" i="3"/>
  <c r="H384" i="3" s="1"/>
  <c r="T384" i="3"/>
  <c r="AW382" i="3"/>
  <c r="AH383" i="3"/>
  <c r="AV381" i="3"/>
  <c r="BA381" i="3"/>
  <c r="Y383" i="3"/>
  <c r="Z383" i="3" s="1"/>
  <c r="BM383" i="3"/>
  <c r="AO383" i="3"/>
  <c r="BN384" i="3" l="1"/>
  <c r="BG380" i="3"/>
  <c r="BH380" i="3" s="1"/>
  <c r="BI380" i="3" s="1"/>
  <c r="BC381" i="3"/>
  <c r="BG381" i="3" s="1"/>
  <c r="BH381" i="3" s="1"/>
  <c r="BI381" i="3" s="1"/>
  <c r="AY382" i="3"/>
  <c r="BM384" i="3"/>
  <c r="AN384" i="3"/>
  <c r="AG384" i="3"/>
  <c r="AV382" i="3"/>
  <c r="AW383" i="3"/>
  <c r="BA382" i="3"/>
  <c r="BQ382" i="3" s="1"/>
  <c r="BB381" i="3"/>
  <c r="BQ381" i="3"/>
  <c r="BF381" i="3"/>
  <c r="BJ380" i="3" s="1"/>
  <c r="BK380" i="3" s="1"/>
  <c r="AT383" i="3"/>
  <c r="AU383" i="3"/>
  <c r="Y384" i="3"/>
  <c r="Z384" i="3" s="1"/>
  <c r="X384" i="3"/>
  <c r="AO384" i="3"/>
  <c r="AR385" i="3"/>
  <c r="B385" i="3"/>
  <c r="AQ385" i="3"/>
  <c r="A386" i="3"/>
  <c r="AM385" i="3"/>
  <c r="T385" i="3"/>
  <c r="S385" i="3"/>
  <c r="Q385" i="3"/>
  <c r="AK385" i="3"/>
  <c r="AD385" i="3"/>
  <c r="R385" i="3"/>
  <c r="P385" i="3"/>
  <c r="O385" i="3"/>
  <c r="AE385" i="3"/>
  <c r="M385" i="3"/>
  <c r="U385" i="3"/>
  <c r="AF385" i="3"/>
  <c r="V385" i="3"/>
  <c r="D385" i="3"/>
  <c r="F385" i="3"/>
  <c r="C385" i="3"/>
  <c r="G385" i="3"/>
  <c r="H385" i="3" s="1"/>
  <c r="AX383" i="3"/>
  <c r="AH384" i="3"/>
  <c r="BD381" i="3" l="1"/>
  <c r="AO385" i="3"/>
  <c r="BC382" i="3"/>
  <c r="BG382" i="3" s="1"/>
  <c r="BH382" i="3" s="1"/>
  <c r="BI382" i="3" s="1"/>
  <c r="AY383" i="3"/>
  <c r="AX384" i="3"/>
  <c r="AH385" i="3"/>
  <c r="AV383" i="3"/>
  <c r="X385" i="3"/>
  <c r="BF382" i="3"/>
  <c r="BJ381" i="3" s="1"/>
  <c r="BK381" i="3" s="1"/>
  <c r="BB382" i="3"/>
  <c r="Y385" i="3"/>
  <c r="Z385" i="3" s="1"/>
  <c r="AR386" i="3"/>
  <c r="B386" i="3"/>
  <c r="AQ386" i="3"/>
  <c r="A387" i="3"/>
  <c r="C386" i="3"/>
  <c r="D386" i="3"/>
  <c r="AM386" i="3"/>
  <c r="S386" i="3"/>
  <c r="AK386" i="3"/>
  <c r="R386" i="3"/>
  <c r="AD386" i="3"/>
  <c r="Q386" i="3"/>
  <c r="P386" i="3"/>
  <c r="O386" i="3"/>
  <c r="AE386" i="3"/>
  <c r="M386" i="3"/>
  <c r="U386" i="3"/>
  <c r="AF386" i="3"/>
  <c r="V386" i="3"/>
  <c r="G386" i="3"/>
  <c r="H386" i="3" s="1"/>
  <c r="F386" i="3"/>
  <c r="T386" i="3"/>
  <c r="AT384" i="3"/>
  <c r="AW384" i="3"/>
  <c r="BN385" i="3"/>
  <c r="BM385" i="3"/>
  <c r="AG385" i="3"/>
  <c r="AU384" i="3"/>
  <c r="AN385" i="3"/>
  <c r="BA383" i="3"/>
  <c r="BC383" i="3" l="1"/>
  <c r="BD383" i="3" s="1"/>
  <c r="BD382" i="3"/>
  <c r="BN386" i="3"/>
  <c r="BM386" i="3"/>
  <c r="AO386" i="3"/>
  <c r="AY384" i="3"/>
  <c r="AX385" i="3"/>
  <c r="AG386" i="3"/>
  <c r="AV384" i="3"/>
  <c r="AT385" i="3"/>
  <c r="AH386" i="3"/>
  <c r="AN386" i="3"/>
  <c r="X386" i="3"/>
  <c r="BB383" i="3"/>
  <c r="BF383" i="3"/>
  <c r="BJ382" i="3" s="1"/>
  <c r="BK382" i="3" s="1"/>
  <c r="BQ383" i="3"/>
  <c r="AQ387" i="3"/>
  <c r="B387" i="3"/>
  <c r="A388" i="3"/>
  <c r="AR387" i="3"/>
  <c r="D387" i="3"/>
  <c r="S387" i="3"/>
  <c r="AK387" i="3"/>
  <c r="AM387" i="3"/>
  <c r="T387" i="3"/>
  <c r="R387" i="3"/>
  <c r="Q387" i="3"/>
  <c r="AD387" i="3"/>
  <c r="P387" i="3"/>
  <c r="O387" i="3"/>
  <c r="M387" i="3"/>
  <c r="AF387" i="3"/>
  <c r="V387" i="3"/>
  <c r="U387" i="3"/>
  <c r="AE387" i="3"/>
  <c r="C387" i="3"/>
  <c r="G387" i="3"/>
  <c r="H387" i="3" s="1"/>
  <c r="F387" i="3"/>
  <c r="AW385" i="3"/>
  <c r="AU385" i="3"/>
  <c r="BA384" i="3"/>
  <c r="Y386" i="3"/>
  <c r="Z386" i="3" s="1"/>
  <c r="BG383" i="3" l="1"/>
  <c r="BH383" i="3" s="1"/>
  <c r="BI383" i="3" s="1"/>
  <c r="BM387" i="3"/>
  <c r="AY385" i="3"/>
  <c r="BN387" i="3"/>
  <c r="BC384" i="3"/>
  <c r="BG384" i="3" s="1"/>
  <c r="BH384" i="3" s="1"/>
  <c r="BI384" i="3" s="1"/>
  <c r="AN387" i="3"/>
  <c r="BA385" i="3"/>
  <c r="BF385" i="3" s="1"/>
  <c r="AU386" i="3"/>
  <c r="AX386" i="3"/>
  <c r="BB384" i="3"/>
  <c r="BF384" i="3"/>
  <c r="BJ383" i="3" s="1"/>
  <c r="BK383" i="3" s="1"/>
  <c r="BQ384" i="3"/>
  <c r="Y387" i="3"/>
  <c r="Z387" i="3" s="1"/>
  <c r="A389" i="3"/>
  <c r="B388" i="3"/>
  <c r="AR388" i="3"/>
  <c r="AQ388" i="3"/>
  <c r="AK388" i="3"/>
  <c r="AM388" i="3"/>
  <c r="T388" i="3"/>
  <c r="R388" i="3"/>
  <c r="Q388" i="3"/>
  <c r="AD388" i="3"/>
  <c r="P388" i="3"/>
  <c r="O388" i="3"/>
  <c r="M388" i="3"/>
  <c r="AF388" i="3"/>
  <c r="V388" i="3"/>
  <c r="AE388" i="3"/>
  <c r="U388" i="3"/>
  <c r="D388" i="3"/>
  <c r="F388" i="3"/>
  <c r="G388" i="3"/>
  <c r="H388" i="3" s="1"/>
  <c r="C388" i="3"/>
  <c r="S388" i="3"/>
  <c r="X387" i="3"/>
  <c r="AH387" i="3"/>
  <c r="AV385" i="3"/>
  <c r="AG387" i="3"/>
  <c r="AO387" i="3"/>
  <c r="AT386" i="3"/>
  <c r="AW386" i="3"/>
  <c r="BN388" i="3" l="1"/>
  <c r="BC385" i="3"/>
  <c r="BG385" i="3" s="1"/>
  <c r="BH385" i="3" s="1"/>
  <c r="BI385" i="3" s="1"/>
  <c r="BD384" i="3"/>
  <c r="AN388" i="3"/>
  <c r="AG388" i="3"/>
  <c r="BQ385" i="3"/>
  <c r="X388" i="3"/>
  <c r="BB385" i="3"/>
  <c r="AY386" i="3"/>
  <c r="AV386" i="3"/>
  <c r="BA386" i="3"/>
  <c r="AR389" i="3"/>
  <c r="B389" i="3"/>
  <c r="AQ389" i="3"/>
  <c r="A390" i="3"/>
  <c r="D389" i="3"/>
  <c r="C389" i="3"/>
  <c r="AK389" i="3"/>
  <c r="S389" i="3"/>
  <c r="Q389" i="3"/>
  <c r="R389" i="3"/>
  <c r="AM389" i="3"/>
  <c r="AD389" i="3"/>
  <c r="P389" i="3"/>
  <c r="O389" i="3"/>
  <c r="AE389" i="3"/>
  <c r="U389" i="3"/>
  <c r="M389" i="3"/>
  <c r="AF389" i="3"/>
  <c r="V389" i="3"/>
  <c r="F389" i="3"/>
  <c r="G389" i="3"/>
  <c r="H389" i="3" s="1"/>
  <c r="BN389" i="3" s="1"/>
  <c r="T389" i="3"/>
  <c r="AX387" i="3"/>
  <c r="AH388" i="3"/>
  <c r="AU387" i="3"/>
  <c r="AW387" i="3"/>
  <c r="AT387" i="3"/>
  <c r="BM388" i="3"/>
  <c r="AO388" i="3"/>
  <c r="BJ384" i="3"/>
  <c r="BK384" i="3" s="1"/>
  <c r="Y388" i="3"/>
  <c r="Z388" i="3" s="1"/>
  <c r="BD385" i="3" l="1"/>
  <c r="BM389" i="3"/>
  <c r="AY387" i="3"/>
  <c r="BC386" i="3"/>
  <c r="BG386" i="3" s="1"/>
  <c r="BH386" i="3" s="1"/>
  <c r="BI386" i="3" s="1"/>
  <c r="AG389" i="3"/>
  <c r="AT388" i="3"/>
  <c r="AX388" i="3"/>
  <c r="AN389" i="3"/>
  <c r="AO389" i="3"/>
  <c r="BA387" i="3"/>
  <c r="AV387" i="3"/>
  <c r="AR390" i="3"/>
  <c r="B390" i="3"/>
  <c r="AQ390" i="3"/>
  <c r="A391" i="3"/>
  <c r="AK390" i="3"/>
  <c r="T390" i="3"/>
  <c r="AM390" i="3"/>
  <c r="S390" i="3"/>
  <c r="Q390" i="3"/>
  <c r="R390" i="3"/>
  <c r="AD390" i="3"/>
  <c r="P390" i="3"/>
  <c r="O390" i="3"/>
  <c r="AF390" i="3"/>
  <c r="U390" i="3"/>
  <c r="M390" i="3"/>
  <c r="AE390" i="3"/>
  <c r="V390" i="3"/>
  <c r="D390" i="3"/>
  <c r="C390" i="3"/>
  <c r="G390" i="3"/>
  <c r="H390" i="3" s="1"/>
  <c r="F390" i="3"/>
  <c r="BQ386" i="3"/>
  <c r="BB386" i="3"/>
  <c r="BF386" i="3"/>
  <c r="BJ385" i="3" s="1"/>
  <c r="BK385" i="3" s="1"/>
  <c r="AU388" i="3"/>
  <c r="AW388" i="3"/>
  <c r="Y389" i="3"/>
  <c r="Z389" i="3" s="1"/>
  <c r="AH389" i="3"/>
  <c r="X389" i="3"/>
  <c r="BM390" i="3" l="1"/>
  <c r="BN390" i="3"/>
  <c r="AN390" i="3"/>
  <c r="BD386" i="3"/>
  <c r="AG390" i="3"/>
  <c r="AX389" i="3"/>
  <c r="BC387" i="3"/>
  <c r="BD387" i="3" s="1"/>
  <c r="AY388" i="3"/>
  <c r="Y390" i="3"/>
  <c r="Z390" i="3" s="1"/>
  <c r="BB387" i="3"/>
  <c r="BF387" i="3"/>
  <c r="BJ386" i="3" s="1"/>
  <c r="BK386" i="3" s="1"/>
  <c r="BQ387" i="3"/>
  <c r="BA388" i="3"/>
  <c r="AV388" i="3"/>
  <c r="AH390" i="3"/>
  <c r="AO390" i="3"/>
  <c r="AU389" i="3"/>
  <c r="AW389" i="3"/>
  <c r="AQ391" i="3"/>
  <c r="B391" i="3"/>
  <c r="A392" i="3"/>
  <c r="AR391" i="3"/>
  <c r="C391" i="3"/>
  <c r="AM391" i="3"/>
  <c r="AK391" i="3"/>
  <c r="S391" i="3"/>
  <c r="R391" i="3"/>
  <c r="AD391" i="3"/>
  <c r="P391" i="3"/>
  <c r="Q391" i="3"/>
  <c r="O391" i="3"/>
  <c r="M391" i="3"/>
  <c r="AE391" i="3"/>
  <c r="V391" i="3"/>
  <c r="U391" i="3"/>
  <c r="AF391" i="3"/>
  <c r="D391" i="3"/>
  <c r="F391" i="3"/>
  <c r="G391" i="3"/>
  <c r="H391" i="3" s="1"/>
  <c r="T391" i="3"/>
  <c r="X390" i="3"/>
  <c r="AT389" i="3"/>
  <c r="BN391" i="3" l="1"/>
  <c r="AT390" i="3"/>
  <c r="AU390" i="3"/>
  <c r="BC388" i="3"/>
  <c r="BG388" i="3" s="1"/>
  <c r="BH388" i="3" s="1"/>
  <c r="BI388" i="3" s="1"/>
  <c r="AY389" i="3"/>
  <c r="BG387" i="3"/>
  <c r="BH387" i="3" s="1"/>
  <c r="BI387" i="3" s="1"/>
  <c r="BM391" i="3"/>
  <c r="AN391" i="3"/>
  <c r="AW390" i="3"/>
  <c r="Y391" i="3"/>
  <c r="Z391" i="3" s="1"/>
  <c r="BA389" i="3"/>
  <c r="AV389" i="3"/>
  <c r="A393" i="3"/>
  <c r="B392" i="3"/>
  <c r="AR392" i="3"/>
  <c r="AQ392" i="3"/>
  <c r="R392" i="3"/>
  <c r="AK392" i="3"/>
  <c r="C392" i="3"/>
  <c r="AM392" i="3"/>
  <c r="S392" i="3"/>
  <c r="Q392" i="3"/>
  <c r="AD392" i="3"/>
  <c r="P392" i="3"/>
  <c r="O392" i="3"/>
  <c r="M392" i="3"/>
  <c r="AF392" i="3"/>
  <c r="AE392" i="3"/>
  <c r="U392" i="3"/>
  <c r="V392" i="3"/>
  <c r="G392" i="3"/>
  <c r="H392" i="3" s="1"/>
  <c r="D392" i="3"/>
  <c r="F392" i="3"/>
  <c r="T392" i="3"/>
  <c r="AG391" i="3"/>
  <c r="AO391" i="3"/>
  <c r="X391" i="3"/>
  <c r="AX390" i="3"/>
  <c r="BQ388" i="3"/>
  <c r="BB388" i="3"/>
  <c r="BF388" i="3"/>
  <c r="BJ387" i="3" s="1"/>
  <c r="BK387" i="3" s="1"/>
  <c r="AH391" i="3"/>
  <c r="BM392" i="3" l="1"/>
  <c r="BD388" i="3"/>
  <c r="BC389" i="3"/>
  <c r="BG389" i="3" s="1"/>
  <c r="BH389" i="3" s="1"/>
  <c r="BI389" i="3" s="1"/>
  <c r="AV390" i="3"/>
  <c r="AY390" i="3"/>
  <c r="AU391" i="3"/>
  <c r="BN392" i="3"/>
  <c r="AT391" i="3"/>
  <c r="AO392" i="3"/>
  <c r="AN392" i="3"/>
  <c r="AX391" i="3"/>
  <c r="AW391" i="3"/>
  <c r="Y392" i="3"/>
  <c r="Z392" i="3" s="1"/>
  <c r="AG392" i="3"/>
  <c r="BA390" i="3"/>
  <c r="A394" i="3"/>
  <c r="B393" i="3"/>
  <c r="AR393" i="3"/>
  <c r="AQ393" i="3"/>
  <c r="D393" i="3"/>
  <c r="AK393" i="3"/>
  <c r="AM393" i="3"/>
  <c r="S393" i="3"/>
  <c r="R393" i="3"/>
  <c r="Q393" i="3"/>
  <c r="AD393" i="3"/>
  <c r="P393" i="3"/>
  <c r="AF393" i="3"/>
  <c r="M393" i="3"/>
  <c r="O393" i="3"/>
  <c r="AE393" i="3"/>
  <c r="U393" i="3"/>
  <c r="V393" i="3"/>
  <c r="C393" i="3"/>
  <c r="F393" i="3"/>
  <c r="G393" i="3"/>
  <c r="H393" i="3" s="1"/>
  <c r="T393" i="3"/>
  <c r="BQ389" i="3"/>
  <c r="BF389" i="3"/>
  <c r="BJ388" i="3" s="1"/>
  <c r="BK388" i="3" s="1"/>
  <c r="BB389" i="3"/>
  <c r="AH392" i="3"/>
  <c r="X392" i="3"/>
  <c r="BN393" i="3" l="1"/>
  <c r="BD389" i="3"/>
  <c r="BC390" i="3"/>
  <c r="BD390" i="3" s="1"/>
  <c r="AV391" i="3"/>
  <c r="AN393" i="3"/>
  <c r="AH393" i="3"/>
  <c r="AT392" i="3"/>
  <c r="AX392" i="3"/>
  <c r="X393" i="3"/>
  <c r="AY391" i="3"/>
  <c r="BF390" i="3"/>
  <c r="BJ389" i="3" s="1"/>
  <c r="BK389" i="3" s="1"/>
  <c r="BB390" i="3"/>
  <c r="BQ390" i="3"/>
  <c r="Y393" i="3"/>
  <c r="Z393" i="3" s="1"/>
  <c r="BM393" i="3"/>
  <c r="AG393" i="3"/>
  <c r="AO393" i="3"/>
  <c r="AW392" i="3"/>
  <c r="AQ394" i="3"/>
  <c r="B394" i="3"/>
  <c r="A395" i="3"/>
  <c r="AR394" i="3"/>
  <c r="AM394" i="3"/>
  <c r="S394" i="3"/>
  <c r="R394" i="3"/>
  <c r="D394" i="3"/>
  <c r="AK394" i="3"/>
  <c r="Q394" i="3"/>
  <c r="AD394" i="3"/>
  <c r="P394" i="3"/>
  <c r="AE394" i="3"/>
  <c r="M394" i="3"/>
  <c r="AF394" i="3"/>
  <c r="V394" i="3"/>
  <c r="O394" i="3"/>
  <c r="U394" i="3"/>
  <c r="G394" i="3"/>
  <c r="H394" i="3" s="1"/>
  <c r="C394" i="3"/>
  <c r="F394" i="3"/>
  <c r="T394" i="3"/>
  <c r="AU392" i="3"/>
  <c r="BA391" i="3"/>
  <c r="AU393" i="3" l="1"/>
  <c r="AO394" i="3"/>
  <c r="BG390" i="3"/>
  <c r="BH390" i="3" s="1"/>
  <c r="BI390" i="3" s="1"/>
  <c r="BC391" i="3"/>
  <c r="BG391" i="3" s="1"/>
  <c r="BH391" i="3" s="1"/>
  <c r="BI391" i="3" s="1"/>
  <c r="AX393" i="3"/>
  <c r="AT393" i="3"/>
  <c r="BM394" i="3"/>
  <c r="BN394" i="3"/>
  <c r="AW393" i="3"/>
  <c r="BA392" i="3"/>
  <c r="BF392" i="3" s="1"/>
  <c r="AY392" i="3"/>
  <c r="BQ391" i="3"/>
  <c r="BF391" i="3"/>
  <c r="BJ390" i="3" s="1"/>
  <c r="BK390" i="3" s="1"/>
  <c r="BB391" i="3"/>
  <c r="Y394" i="3"/>
  <c r="Z394" i="3" s="1"/>
  <c r="X394" i="3"/>
  <c r="AV392" i="3"/>
  <c r="A396" i="3"/>
  <c r="B395" i="3"/>
  <c r="AR395" i="3"/>
  <c r="AQ395" i="3"/>
  <c r="T395" i="3"/>
  <c r="R395" i="3"/>
  <c r="AM395" i="3"/>
  <c r="AK395" i="3"/>
  <c r="S395" i="3"/>
  <c r="Q395" i="3"/>
  <c r="AD395" i="3"/>
  <c r="O395" i="3"/>
  <c r="AE395" i="3"/>
  <c r="M395" i="3"/>
  <c r="V395" i="3"/>
  <c r="AF395" i="3"/>
  <c r="U395" i="3"/>
  <c r="C395" i="3"/>
  <c r="D395" i="3"/>
  <c r="G395" i="3"/>
  <c r="H395" i="3" s="1"/>
  <c r="F395" i="3"/>
  <c r="P395" i="3"/>
  <c r="AG394" i="3"/>
  <c r="AH394" i="3"/>
  <c r="AN394" i="3"/>
  <c r="AV393" i="3" l="1"/>
  <c r="BD391" i="3"/>
  <c r="BA393" i="3"/>
  <c r="BF393" i="3" s="1"/>
  <c r="BJ392" i="3" s="1"/>
  <c r="BK392" i="3" s="1"/>
  <c r="AY393" i="3"/>
  <c r="BQ392" i="3"/>
  <c r="BN395" i="3"/>
  <c r="BB392" i="3"/>
  <c r="AO395" i="3"/>
  <c r="BC392" i="3"/>
  <c r="BG392" i="3" s="1"/>
  <c r="BH392" i="3" s="1"/>
  <c r="BI392" i="3" s="1"/>
  <c r="AX394" i="3"/>
  <c r="BJ391" i="3"/>
  <c r="BK391" i="3" s="1"/>
  <c r="X395" i="3"/>
  <c r="AR396" i="3"/>
  <c r="B396" i="3"/>
  <c r="AQ396" i="3"/>
  <c r="A397" i="3"/>
  <c r="D396" i="3"/>
  <c r="C396" i="3"/>
  <c r="AM396" i="3"/>
  <c r="AK396" i="3"/>
  <c r="R396" i="3"/>
  <c r="S396" i="3"/>
  <c r="Q396" i="3"/>
  <c r="AD396" i="3"/>
  <c r="M396" i="3"/>
  <c r="P396" i="3"/>
  <c r="O396" i="3"/>
  <c r="AF396" i="3"/>
  <c r="AE396" i="3"/>
  <c r="V396" i="3"/>
  <c r="G396" i="3"/>
  <c r="H396" i="3" s="1"/>
  <c r="F396" i="3"/>
  <c r="U396" i="3"/>
  <c r="T396" i="3"/>
  <c r="Y395" i="3"/>
  <c r="Z395" i="3" s="1"/>
  <c r="AW394" i="3"/>
  <c r="BM395" i="3"/>
  <c r="AG395" i="3"/>
  <c r="AH395" i="3"/>
  <c r="AN395" i="3"/>
  <c r="AT394" i="3"/>
  <c r="AU394" i="3"/>
  <c r="BB393" i="3" l="1"/>
  <c r="BN396" i="3"/>
  <c r="BM396" i="3"/>
  <c r="BC393" i="3"/>
  <c r="BD393" i="3" s="1"/>
  <c r="AY394" i="3"/>
  <c r="BQ393" i="3"/>
  <c r="BD392" i="3"/>
  <c r="AN396" i="3"/>
  <c r="AX395" i="3"/>
  <c r="AG396" i="3"/>
  <c r="AU395" i="3"/>
  <c r="AT395" i="3"/>
  <c r="AV394" i="3"/>
  <c r="BA394" i="3"/>
  <c r="AR397" i="3"/>
  <c r="B397" i="3"/>
  <c r="AQ397" i="3"/>
  <c r="A398" i="3"/>
  <c r="C397" i="3"/>
  <c r="AK397" i="3"/>
  <c r="AM397" i="3"/>
  <c r="S397" i="3"/>
  <c r="T397" i="3"/>
  <c r="Q397" i="3"/>
  <c r="R397" i="3"/>
  <c r="AD397" i="3"/>
  <c r="P397" i="3"/>
  <c r="O397" i="3"/>
  <c r="U397" i="3"/>
  <c r="V397" i="3"/>
  <c r="M397" i="3"/>
  <c r="AF397" i="3"/>
  <c r="AE397" i="3"/>
  <c r="G397" i="3"/>
  <c r="H397" i="3" s="1"/>
  <c r="F397" i="3"/>
  <c r="BM397" i="3" s="1"/>
  <c r="D397" i="3"/>
  <c r="AW395" i="3"/>
  <c r="Y396" i="3"/>
  <c r="Z396" i="3" s="1"/>
  <c r="AH396" i="3"/>
  <c r="AO396" i="3"/>
  <c r="X396" i="3"/>
  <c r="BC394" i="3" l="1"/>
  <c r="BD394" i="3" s="1"/>
  <c r="BG393" i="3"/>
  <c r="BH393" i="3" s="1"/>
  <c r="BI393" i="3" s="1"/>
  <c r="AY395" i="3"/>
  <c r="AO397" i="3"/>
  <c r="AW396" i="3"/>
  <c r="AV395" i="3"/>
  <c r="AG397" i="3"/>
  <c r="AN397" i="3"/>
  <c r="X397" i="3"/>
  <c r="AU396" i="3"/>
  <c r="Y397" i="3"/>
  <c r="Z397" i="3" s="1"/>
  <c r="BN397" i="3"/>
  <c r="AQ398" i="3"/>
  <c r="B398" i="3"/>
  <c r="A399" i="3"/>
  <c r="AR398" i="3"/>
  <c r="AK398" i="3"/>
  <c r="S398" i="3"/>
  <c r="AM398" i="3"/>
  <c r="T398" i="3"/>
  <c r="R398" i="3"/>
  <c r="Q398" i="3"/>
  <c r="AD398" i="3"/>
  <c r="P398" i="3"/>
  <c r="O398" i="3"/>
  <c r="AF398" i="3"/>
  <c r="V398" i="3"/>
  <c r="U398" i="3"/>
  <c r="AE398" i="3"/>
  <c r="M398" i="3"/>
  <c r="D398" i="3"/>
  <c r="F398" i="3"/>
  <c r="C398" i="3"/>
  <c r="G398" i="3"/>
  <c r="H398" i="3" s="1"/>
  <c r="BQ394" i="3"/>
  <c r="BF394" i="3"/>
  <c r="BJ393" i="3" s="1"/>
  <c r="BK393" i="3" s="1"/>
  <c r="BB394" i="3"/>
  <c r="AX396" i="3"/>
  <c r="AH397" i="3"/>
  <c r="BA395" i="3"/>
  <c r="AT396" i="3"/>
  <c r="BG394" i="3" l="1"/>
  <c r="BH394" i="3" s="1"/>
  <c r="BI394" i="3" s="1"/>
  <c r="BC395" i="3"/>
  <c r="BG395" i="3" s="1"/>
  <c r="BH395" i="3" s="1"/>
  <c r="BI395" i="3" s="1"/>
  <c r="AN398" i="3"/>
  <c r="AY396" i="3"/>
  <c r="BN398" i="3"/>
  <c r="BM398" i="3"/>
  <c r="AX397" i="3"/>
  <c r="AG398" i="3"/>
  <c r="BQ395" i="3"/>
  <c r="BB395" i="3"/>
  <c r="BF395" i="3"/>
  <c r="BJ394" i="3" s="1"/>
  <c r="BK394" i="3" s="1"/>
  <c r="Y398" i="3"/>
  <c r="Z398" i="3" s="1"/>
  <c r="A400" i="3"/>
  <c r="B399" i="3"/>
  <c r="AR399" i="3"/>
  <c r="AQ399" i="3"/>
  <c r="D399" i="3"/>
  <c r="T399" i="3"/>
  <c r="AM399" i="3"/>
  <c r="AK399" i="3"/>
  <c r="R399" i="3"/>
  <c r="S399" i="3"/>
  <c r="AD399" i="3"/>
  <c r="P399" i="3"/>
  <c r="O399" i="3"/>
  <c r="M399" i="3"/>
  <c r="V399" i="3"/>
  <c r="U399" i="3"/>
  <c r="AF399" i="3"/>
  <c r="AE399" i="3"/>
  <c r="C399" i="3"/>
  <c r="G399" i="3"/>
  <c r="H399" i="3" s="1"/>
  <c r="Q399" i="3"/>
  <c r="F399" i="3"/>
  <c r="X398" i="3"/>
  <c r="AH398" i="3"/>
  <c r="AO398" i="3"/>
  <c r="AU397" i="3"/>
  <c r="BA396" i="3"/>
  <c r="AV396" i="3"/>
  <c r="AT397" i="3"/>
  <c r="AW397" i="3"/>
  <c r="BD395" i="3" l="1"/>
  <c r="BC396" i="3"/>
  <c r="BG396" i="3" s="1"/>
  <c r="BH396" i="3" s="1"/>
  <c r="BI396" i="3" s="1"/>
  <c r="AN399" i="3"/>
  <c r="AV397" i="3"/>
  <c r="AW398" i="3"/>
  <c r="BA397" i="3"/>
  <c r="AY397" i="3"/>
  <c r="BQ396" i="3"/>
  <c r="BB396" i="3"/>
  <c r="BF396" i="3"/>
  <c r="BJ395" i="3" s="1"/>
  <c r="BK395" i="3" s="1"/>
  <c r="AH399" i="3"/>
  <c r="AG399" i="3"/>
  <c r="X399" i="3"/>
  <c r="AT398" i="3"/>
  <c r="AU398" i="3"/>
  <c r="AX398" i="3"/>
  <c r="BM399" i="3"/>
  <c r="BN399" i="3"/>
  <c r="AO399" i="3"/>
  <c r="Y399" i="3"/>
  <c r="Z399" i="3" s="1"/>
  <c r="AR400" i="3"/>
  <c r="B400" i="3"/>
  <c r="AQ400" i="3"/>
  <c r="A401" i="3"/>
  <c r="D400" i="3"/>
  <c r="AK400" i="3"/>
  <c r="T400" i="3"/>
  <c r="S400" i="3"/>
  <c r="AM400" i="3"/>
  <c r="Q400" i="3"/>
  <c r="R400" i="3"/>
  <c r="P400" i="3"/>
  <c r="AD400" i="3"/>
  <c r="M400" i="3"/>
  <c r="O400" i="3"/>
  <c r="AF400" i="3"/>
  <c r="AE400" i="3"/>
  <c r="V400" i="3"/>
  <c r="U400" i="3"/>
  <c r="C400" i="3"/>
  <c r="G400" i="3"/>
  <c r="H400" i="3" s="1"/>
  <c r="BN400" i="3" s="1"/>
  <c r="F400" i="3"/>
  <c r="BD396" i="3" l="1"/>
  <c r="BM400" i="3"/>
  <c r="BC397" i="3"/>
  <c r="BD397" i="3" s="1"/>
  <c r="AY398" i="3"/>
  <c r="AO400" i="3"/>
  <c r="AU399" i="3"/>
  <c r="AT399" i="3"/>
  <c r="AW399" i="3"/>
  <c r="Y400" i="3"/>
  <c r="Z400" i="3" s="1"/>
  <c r="X400" i="3"/>
  <c r="AG400" i="3"/>
  <c r="AH400" i="3"/>
  <c r="AN400" i="3"/>
  <c r="AX399" i="3"/>
  <c r="AR401" i="3"/>
  <c r="B401" i="3"/>
  <c r="AQ401" i="3"/>
  <c r="A402" i="3"/>
  <c r="D401" i="3"/>
  <c r="AM401" i="3"/>
  <c r="S401" i="3"/>
  <c r="Q401" i="3"/>
  <c r="R401" i="3"/>
  <c r="AK401" i="3"/>
  <c r="AD401" i="3"/>
  <c r="P401" i="3"/>
  <c r="O401" i="3"/>
  <c r="AE401" i="3"/>
  <c r="AF401" i="3"/>
  <c r="M401" i="3"/>
  <c r="V401" i="3"/>
  <c r="U401" i="3"/>
  <c r="G401" i="3"/>
  <c r="H401" i="3" s="1"/>
  <c r="F401" i="3"/>
  <c r="C401" i="3"/>
  <c r="T401" i="3"/>
  <c r="AV398" i="3"/>
  <c r="BA398" i="3"/>
  <c r="BQ397" i="3"/>
  <c r="BB397" i="3"/>
  <c r="BF397" i="3"/>
  <c r="BJ396" i="3" s="1"/>
  <c r="BK396" i="3" s="1"/>
  <c r="BN401" i="3" l="1"/>
  <c r="AO401" i="3"/>
  <c r="BG397" i="3"/>
  <c r="BH397" i="3" s="1"/>
  <c r="BI397" i="3" s="1"/>
  <c r="AV399" i="3"/>
  <c r="AY399" i="3"/>
  <c r="BC398" i="3"/>
  <c r="BG398" i="3" s="1"/>
  <c r="BH398" i="3" s="1"/>
  <c r="BI398" i="3" s="1"/>
  <c r="AT400" i="3"/>
  <c r="X401" i="3"/>
  <c r="AH401" i="3"/>
  <c r="BA399" i="3"/>
  <c r="BB399" i="3" s="1"/>
  <c r="AU400" i="3"/>
  <c r="BB398" i="3"/>
  <c r="BQ398" i="3"/>
  <c r="BF398" i="3"/>
  <c r="BJ397" i="3" s="1"/>
  <c r="BK397" i="3" s="1"/>
  <c r="AQ402" i="3"/>
  <c r="B402" i="3"/>
  <c r="A403" i="3"/>
  <c r="AR402" i="3"/>
  <c r="AM402" i="3"/>
  <c r="S402" i="3"/>
  <c r="AK402" i="3"/>
  <c r="T402" i="3"/>
  <c r="Q402" i="3"/>
  <c r="AD402" i="3"/>
  <c r="P402" i="3"/>
  <c r="AE402" i="3"/>
  <c r="U402" i="3"/>
  <c r="V402" i="3"/>
  <c r="O402" i="3"/>
  <c r="M402" i="3"/>
  <c r="AF402" i="3"/>
  <c r="R402" i="3"/>
  <c r="C402" i="3"/>
  <c r="G402" i="3"/>
  <c r="H402" i="3" s="1"/>
  <c r="D402" i="3"/>
  <c r="F402" i="3"/>
  <c r="Y401" i="3"/>
  <c r="Z401" i="3" s="1"/>
  <c r="BM401" i="3"/>
  <c r="AG401" i="3"/>
  <c r="AN401" i="3"/>
  <c r="AX400" i="3"/>
  <c r="AW400" i="3"/>
  <c r="AO402" i="3" l="1"/>
  <c r="BC399" i="3"/>
  <c r="BG399" i="3" s="1"/>
  <c r="BH399" i="3" s="1"/>
  <c r="BI399" i="3" s="1"/>
  <c r="BM402" i="3"/>
  <c r="BD398" i="3"/>
  <c r="AY400" i="3"/>
  <c r="BQ399" i="3"/>
  <c r="AV400" i="3"/>
  <c r="AW401" i="3"/>
  <c r="BF399" i="3"/>
  <c r="BJ398" i="3" s="1"/>
  <c r="BK398" i="3" s="1"/>
  <c r="AH402" i="3"/>
  <c r="Y402" i="3"/>
  <c r="Z402" i="3" s="1"/>
  <c r="A404" i="3"/>
  <c r="B403" i="3"/>
  <c r="AR403" i="3"/>
  <c r="AQ403" i="3"/>
  <c r="D403" i="3"/>
  <c r="AM403" i="3"/>
  <c r="AK403" i="3"/>
  <c r="Q403" i="3"/>
  <c r="R403" i="3"/>
  <c r="S403" i="3"/>
  <c r="AD403" i="3"/>
  <c r="P403" i="3"/>
  <c r="O403" i="3"/>
  <c r="AE403" i="3"/>
  <c r="AF403" i="3"/>
  <c r="M403" i="3"/>
  <c r="V403" i="3"/>
  <c r="U403" i="3"/>
  <c r="G403" i="3"/>
  <c r="H403" i="3" s="1"/>
  <c r="C403" i="3"/>
  <c r="F403" i="3"/>
  <c r="T403" i="3"/>
  <c r="AT401" i="3"/>
  <c r="AX401" i="3"/>
  <c r="AU401" i="3"/>
  <c r="X402" i="3"/>
  <c r="AN402" i="3"/>
  <c r="BA400" i="3"/>
  <c r="BN402" i="3"/>
  <c r="AG402" i="3"/>
  <c r="BN403" i="3" l="1"/>
  <c r="BD399" i="3"/>
  <c r="BC400" i="3"/>
  <c r="BD400" i="3" s="1"/>
  <c r="AW402" i="3"/>
  <c r="AG403" i="3"/>
  <c r="AY401" i="3"/>
  <c r="AN403" i="3"/>
  <c r="AU402" i="3"/>
  <c r="AX402" i="3"/>
  <c r="AT402" i="3"/>
  <c r="Y403" i="3"/>
  <c r="Z403" i="3" s="1"/>
  <c r="X403" i="3"/>
  <c r="BQ400" i="3"/>
  <c r="BF400" i="3"/>
  <c r="BJ399" i="3" s="1"/>
  <c r="BK399" i="3" s="1"/>
  <c r="BB400" i="3"/>
  <c r="BA401" i="3"/>
  <c r="AV401" i="3"/>
  <c r="AR404" i="3"/>
  <c r="B404" i="3"/>
  <c r="AQ404" i="3"/>
  <c r="A405" i="3"/>
  <c r="D404" i="3"/>
  <c r="S404" i="3"/>
  <c r="Q404" i="3"/>
  <c r="AM404" i="3"/>
  <c r="AK404" i="3"/>
  <c r="P404" i="3"/>
  <c r="R404" i="3"/>
  <c r="AD404" i="3"/>
  <c r="M404" i="3"/>
  <c r="O404" i="3"/>
  <c r="AE404" i="3"/>
  <c r="AF404" i="3"/>
  <c r="U404" i="3"/>
  <c r="V404" i="3"/>
  <c r="C404" i="3"/>
  <c r="F404" i="3"/>
  <c r="G404" i="3"/>
  <c r="H404" i="3" s="1"/>
  <c r="T404" i="3"/>
  <c r="BM403" i="3"/>
  <c r="AH403" i="3"/>
  <c r="AO403" i="3"/>
  <c r="BN404" i="3" l="1"/>
  <c r="AV402" i="3"/>
  <c r="BG400" i="3"/>
  <c r="BH400" i="3" s="1"/>
  <c r="BI400" i="3" s="1"/>
  <c r="AO404" i="3"/>
  <c r="AY402" i="3"/>
  <c r="BA402" i="3"/>
  <c r="BF402" i="3" s="1"/>
  <c r="BC401" i="3"/>
  <c r="BD401" i="3" s="1"/>
  <c r="AX403" i="3"/>
  <c r="AW403" i="3"/>
  <c r="AG404" i="3"/>
  <c r="X404" i="3"/>
  <c r="AR405" i="3"/>
  <c r="B405" i="3"/>
  <c r="AQ405" i="3"/>
  <c r="A406" i="3"/>
  <c r="AM405" i="3"/>
  <c r="T405" i="3"/>
  <c r="AK405" i="3"/>
  <c r="C405" i="3"/>
  <c r="S405" i="3"/>
  <c r="Q405" i="3"/>
  <c r="R405" i="3"/>
  <c r="AD405" i="3"/>
  <c r="P405" i="3"/>
  <c r="O405" i="3"/>
  <c r="M405" i="3"/>
  <c r="AF405" i="3"/>
  <c r="U405" i="3"/>
  <c r="V405" i="3"/>
  <c r="AE405" i="3"/>
  <c r="D405" i="3"/>
  <c r="F405" i="3"/>
  <c r="G405" i="3"/>
  <c r="H405" i="3" s="1"/>
  <c r="AU403" i="3"/>
  <c r="AT403" i="3"/>
  <c r="Y404" i="3"/>
  <c r="Z404" i="3" s="1"/>
  <c r="BM404" i="3"/>
  <c r="AH404" i="3"/>
  <c r="AN404" i="3"/>
  <c r="BQ401" i="3"/>
  <c r="BB401" i="3"/>
  <c r="BF401" i="3"/>
  <c r="BJ400" i="3" s="1"/>
  <c r="BK400" i="3" s="1"/>
  <c r="BC402" i="3" l="1"/>
  <c r="BD402" i="3" s="1"/>
  <c r="BN405" i="3"/>
  <c r="BQ402" i="3"/>
  <c r="AO405" i="3"/>
  <c r="BM405" i="3"/>
  <c r="AU404" i="3"/>
  <c r="BB402" i="3"/>
  <c r="BG401" i="3"/>
  <c r="BH401" i="3" s="1"/>
  <c r="BI401" i="3" s="1"/>
  <c r="AG405" i="3"/>
  <c r="AY403" i="3"/>
  <c r="AW404" i="3"/>
  <c r="AT404" i="3"/>
  <c r="AV403" i="3"/>
  <c r="BA403" i="3"/>
  <c r="AN405" i="3"/>
  <c r="BJ401" i="3"/>
  <c r="BK401" i="3" s="1"/>
  <c r="Y405" i="3"/>
  <c r="Z405" i="3" s="1"/>
  <c r="AQ406" i="3"/>
  <c r="B406" i="3"/>
  <c r="A407" i="3"/>
  <c r="AR406" i="3"/>
  <c r="C406" i="3"/>
  <c r="AK406" i="3"/>
  <c r="S406" i="3"/>
  <c r="Q406" i="3"/>
  <c r="AM406" i="3"/>
  <c r="R406" i="3"/>
  <c r="AD406" i="3"/>
  <c r="P406" i="3"/>
  <c r="M406" i="3"/>
  <c r="V406" i="3"/>
  <c r="O406" i="3"/>
  <c r="AF406" i="3"/>
  <c r="AE406" i="3"/>
  <c r="U406" i="3"/>
  <c r="D406" i="3"/>
  <c r="G406" i="3"/>
  <c r="H406" i="3" s="1"/>
  <c r="F406" i="3"/>
  <c r="BM406" i="3" s="1"/>
  <c r="T406" i="3"/>
  <c r="AX404" i="3"/>
  <c r="AH405" i="3"/>
  <c r="X405" i="3"/>
  <c r="AV404" i="3" l="1"/>
  <c r="AY404" i="3"/>
  <c r="BG402" i="3"/>
  <c r="BH402" i="3" s="1"/>
  <c r="BI402" i="3" s="1"/>
  <c r="AX405" i="3"/>
  <c r="BC403" i="3"/>
  <c r="BG403" i="3" s="1"/>
  <c r="BH403" i="3" s="1"/>
  <c r="BI403" i="3" s="1"/>
  <c r="AG406" i="3"/>
  <c r="AN406" i="3"/>
  <c r="AH406" i="3"/>
  <c r="X406" i="3"/>
  <c r="Y406" i="3"/>
  <c r="Z406" i="3" s="1"/>
  <c r="BN406" i="3"/>
  <c r="AO406" i="3"/>
  <c r="BA404" i="3"/>
  <c r="AT405" i="3"/>
  <c r="A408" i="3"/>
  <c r="B407" i="3"/>
  <c r="AR407" i="3"/>
  <c r="AQ407" i="3"/>
  <c r="C407" i="3"/>
  <c r="AM407" i="3"/>
  <c r="Q407" i="3"/>
  <c r="AK407" i="3"/>
  <c r="S407" i="3"/>
  <c r="AD407" i="3"/>
  <c r="T407" i="3"/>
  <c r="R407" i="3"/>
  <c r="P407" i="3"/>
  <c r="O407" i="3"/>
  <c r="U407" i="3"/>
  <c r="M407" i="3"/>
  <c r="AE407" i="3"/>
  <c r="AF407" i="3"/>
  <c r="V407" i="3"/>
  <c r="D407" i="3"/>
  <c r="G407" i="3"/>
  <c r="H407" i="3" s="1"/>
  <c r="F407" i="3"/>
  <c r="BB403" i="3"/>
  <c r="BF403" i="3"/>
  <c r="BJ402" i="3" s="1"/>
  <c r="BK402" i="3" s="1"/>
  <c r="BQ403" i="3"/>
  <c r="AU405" i="3"/>
  <c r="AW405" i="3"/>
  <c r="BC404" i="3" l="1"/>
  <c r="BD404" i="3" s="1"/>
  <c r="AO407" i="3"/>
  <c r="BD403" i="3"/>
  <c r="BN407" i="3"/>
  <c r="AY405" i="3"/>
  <c r="AU406" i="3"/>
  <c r="AW406" i="3"/>
  <c r="AG407" i="3"/>
  <c r="AR408" i="3"/>
  <c r="B408" i="3"/>
  <c r="AQ408" i="3"/>
  <c r="A409" i="3"/>
  <c r="AM408" i="3"/>
  <c r="S408" i="3"/>
  <c r="AK408" i="3"/>
  <c r="D408" i="3"/>
  <c r="Q408" i="3"/>
  <c r="T408" i="3"/>
  <c r="R408" i="3"/>
  <c r="AD408" i="3"/>
  <c r="P408" i="3"/>
  <c r="O408" i="3"/>
  <c r="AE408" i="3"/>
  <c r="AF408" i="3"/>
  <c r="M408" i="3"/>
  <c r="U408" i="3"/>
  <c r="V408" i="3"/>
  <c r="C408" i="3"/>
  <c r="G408" i="3"/>
  <c r="H408" i="3" s="1"/>
  <c r="F408" i="3"/>
  <c r="Y407" i="3"/>
  <c r="Z407" i="3" s="1"/>
  <c r="BA405" i="3"/>
  <c r="AV405" i="3"/>
  <c r="BM407" i="3"/>
  <c r="AH407" i="3"/>
  <c r="AN407" i="3"/>
  <c r="AT406" i="3"/>
  <c r="BF404" i="3"/>
  <c r="BJ403" i="3" s="1"/>
  <c r="BK403" i="3" s="1"/>
  <c r="BB404" i="3"/>
  <c r="BQ404" i="3"/>
  <c r="X407" i="3"/>
  <c r="AX406" i="3"/>
  <c r="BM408" i="3" l="1"/>
  <c r="BG404" i="3"/>
  <c r="BH404" i="3" s="1"/>
  <c r="BI404" i="3" s="1"/>
  <c r="AO408" i="3"/>
  <c r="AY406" i="3"/>
  <c r="BC405" i="3"/>
  <c r="BG405" i="3" s="1"/>
  <c r="BH405" i="3" s="1"/>
  <c r="BI405" i="3" s="1"/>
  <c r="BN408" i="3"/>
  <c r="AU407" i="3"/>
  <c r="AG408" i="3"/>
  <c r="AN408" i="3"/>
  <c r="AW407" i="3"/>
  <c r="Y408" i="3"/>
  <c r="Z408" i="3" s="1"/>
  <c r="AR409" i="3"/>
  <c r="B409" i="3"/>
  <c r="AQ409" i="3"/>
  <c r="A410" i="3"/>
  <c r="AM409" i="3"/>
  <c r="T409" i="3"/>
  <c r="S409" i="3"/>
  <c r="AK409" i="3"/>
  <c r="Q409" i="3"/>
  <c r="P409" i="3"/>
  <c r="AD409" i="3"/>
  <c r="O409" i="3"/>
  <c r="AE409" i="3"/>
  <c r="AF409" i="3"/>
  <c r="V409" i="3"/>
  <c r="M409" i="3"/>
  <c r="U409" i="3"/>
  <c r="R409" i="3"/>
  <c r="F409" i="3"/>
  <c r="C409" i="3"/>
  <c r="D409" i="3"/>
  <c r="G409" i="3"/>
  <c r="H409" i="3" s="1"/>
  <c r="AX407" i="3"/>
  <c r="AT407" i="3"/>
  <c r="X408" i="3"/>
  <c r="AH408" i="3"/>
  <c r="AV406" i="3"/>
  <c r="BA406" i="3"/>
  <c r="BB405" i="3"/>
  <c r="BF405" i="3"/>
  <c r="BQ405" i="3"/>
  <c r="BD405" i="3" l="1"/>
  <c r="BC406" i="3"/>
  <c r="BG406" i="3" s="1"/>
  <c r="BH406" i="3" s="1"/>
  <c r="BI406" i="3" s="1"/>
  <c r="AY407" i="3"/>
  <c r="BN409" i="3"/>
  <c r="AX408" i="3"/>
  <c r="AO409" i="3"/>
  <c r="AW408" i="3"/>
  <c r="AT408" i="3"/>
  <c r="X409" i="3"/>
  <c r="BJ404" i="3"/>
  <c r="BK404" i="3" s="1"/>
  <c r="BF406" i="3"/>
  <c r="BJ405" i="3" s="1"/>
  <c r="BK405" i="3" s="1"/>
  <c r="BB406" i="3"/>
  <c r="BQ406" i="3"/>
  <c r="AV407" i="3"/>
  <c r="BA407" i="3"/>
  <c r="Y409" i="3"/>
  <c r="Z409" i="3" s="1"/>
  <c r="AU408" i="3"/>
  <c r="BM409" i="3"/>
  <c r="AG409" i="3"/>
  <c r="AH409" i="3"/>
  <c r="AN409" i="3"/>
  <c r="AQ410" i="3"/>
  <c r="B410" i="3"/>
  <c r="A411" i="3"/>
  <c r="AR410" i="3"/>
  <c r="D410" i="3"/>
  <c r="C410" i="3"/>
  <c r="AK410" i="3"/>
  <c r="AM410" i="3"/>
  <c r="T410" i="3"/>
  <c r="Q410" i="3"/>
  <c r="S410" i="3"/>
  <c r="R410" i="3"/>
  <c r="AD410" i="3"/>
  <c r="P410" i="3"/>
  <c r="O410" i="3"/>
  <c r="AE410" i="3"/>
  <c r="AF410" i="3"/>
  <c r="M410" i="3"/>
  <c r="U410" i="3"/>
  <c r="V410" i="3"/>
  <c r="F410" i="3"/>
  <c r="G410" i="3"/>
  <c r="H410" i="3" s="1"/>
  <c r="BD406" i="3" l="1"/>
  <c r="AY408" i="3"/>
  <c r="BN410" i="3"/>
  <c r="BC407" i="3"/>
  <c r="BD407" i="3" s="1"/>
  <c r="AN410" i="3"/>
  <c r="BM410" i="3"/>
  <c r="AU409" i="3"/>
  <c r="BA408" i="3"/>
  <c r="BQ408" i="3" s="1"/>
  <c r="AG410" i="3"/>
  <c r="AT409" i="3"/>
  <c r="AV408" i="3"/>
  <c r="BB407" i="3"/>
  <c r="BQ407" i="3"/>
  <c r="BF407" i="3"/>
  <c r="BJ406" i="3" s="1"/>
  <c r="BK406" i="3" s="1"/>
  <c r="X410" i="3"/>
  <c r="AW409" i="3"/>
  <c r="Y410" i="3"/>
  <c r="Z410" i="3" s="1"/>
  <c r="A412" i="3"/>
  <c r="B411" i="3"/>
  <c r="AR411" i="3"/>
  <c r="AQ411" i="3"/>
  <c r="AM411" i="3"/>
  <c r="AK411" i="3"/>
  <c r="AD411" i="3"/>
  <c r="P411" i="3"/>
  <c r="S411" i="3"/>
  <c r="R411" i="3"/>
  <c r="Q411" i="3"/>
  <c r="O411" i="3"/>
  <c r="AE411" i="3"/>
  <c r="U411" i="3"/>
  <c r="AF411" i="3"/>
  <c r="M411" i="3"/>
  <c r="V411" i="3"/>
  <c r="C411" i="3"/>
  <c r="D411" i="3"/>
  <c r="F411" i="3"/>
  <c r="G411" i="3"/>
  <c r="H411" i="3" s="1"/>
  <c r="T411" i="3"/>
  <c r="AH410" i="3"/>
  <c r="AO410" i="3"/>
  <c r="AX409" i="3"/>
  <c r="BN411" i="3" l="1"/>
  <c r="BM411" i="3"/>
  <c r="BC408" i="3"/>
  <c r="BD408" i="3" s="1"/>
  <c r="BG407" i="3"/>
  <c r="BH407" i="3" s="1"/>
  <c r="BI407" i="3" s="1"/>
  <c r="BB408" i="3"/>
  <c r="AV409" i="3"/>
  <c r="BF408" i="3"/>
  <c r="BJ407" i="3" s="1"/>
  <c r="BK407" i="3" s="1"/>
  <c r="AO411" i="3"/>
  <c r="Y411" i="3"/>
  <c r="Z411" i="3" s="1"/>
  <c r="AR412" i="3"/>
  <c r="B412" i="3"/>
  <c r="AQ412" i="3"/>
  <c r="A413" i="3"/>
  <c r="AM412" i="3"/>
  <c r="AK412" i="3"/>
  <c r="T412" i="3"/>
  <c r="S412" i="3"/>
  <c r="Q412" i="3"/>
  <c r="AD412" i="3"/>
  <c r="P412" i="3"/>
  <c r="O412" i="3"/>
  <c r="M412" i="3"/>
  <c r="AE412" i="3"/>
  <c r="AF412" i="3"/>
  <c r="V412" i="3"/>
  <c r="U412" i="3"/>
  <c r="R412" i="3"/>
  <c r="C412" i="3"/>
  <c r="G412" i="3"/>
  <c r="H412" i="3" s="1"/>
  <c r="F412" i="3"/>
  <c r="D412" i="3"/>
  <c r="X411" i="3"/>
  <c r="AX410" i="3"/>
  <c r="AG411" i="3"/>
  <c r="AH411" i="3"/>
  <c r="AN411" i="3"/>
  <c r="AW410" i="3"/>
  <c r="BA409" i="3"/>
  <c r="AY409" i="3"/>
  <c r="AT410" i="3"/>
  <c r="AU410" i="3"/>
  <c r="BM412" i="3" l="1"/>
  <c r="BG408" i="3"/>
  <c r="BH408" i="3" s="1"/>
  <c r="BI408" i="3" s="1"/>
  <c r="AY410" i="3"/>
  <c r="BC409" i="3"/>
  <c r="BD409" i="3" s="1"/>
  <c r="AT411" i="3"/>
  <c r="AN412" i="3"/>
  <c r="AU411" i="3"/>
  <c r="AX411" i="3"/>
  <c r="AV410" i="3"/>
  <c r="BA410" i="3"/>
  <c r="X412" i="3"/>
  <c r="BQ409" i="3"/>
  <c r="BF409" i="3"/>
  <c r="BJ408" i="3" s="1"/>
  <c r="BK408" i="3" s="1"/>
  <c r="BB409" i="3"/>
  <c r="Y412" i="3"/>
  <c r="Z412" i="3" s="1"/>
  <c r="AR413" i="3"/>
  <c r="B413" i="3"/>
  <c r="AQ413" i="3"/>
  <c r="A414" i="3"/>
  <c r="S413" i="3"/>
  <c r="Q413" i="3"/>
  <c r="D413" i="3"/>
  <c r="AM413" i="3"/>
  <c r="AK413" i="3"/>
  <c r="C413" i="3"/>
  <c r="R413" i="3"/>
  <c r="AD413" i="3"/>
  <c r="P413" i="3"/>
  <c r="M413" i="3"/>
  <c r="AE413" i="3"/>
  <c r="AF413" i="3"/>
  <c r="O413" i="3"/>
  <c r="V413" i="3"/>
  <c r="U413" i="3"/>
  <c r="G413" i="3"/>
  <c r="H413" i="3" s="1"/>
  <c r="F413" i="3"/>
  <c r="T413" i="3"/>
  <c r="AW411" i="3"/>
  <c r="BN412" i="3"/>
  <c r="AG412" i="3"/>
  <c r="AH412" i="3"/>
  <c r="AO412" i="3"/>
  <c r="AV411" i="3" l="1"/>
  <c r="BC410" i="3"/>
  <c r="BD410" i="3" s="1"/>
  <c r="AY411" i="3"/>
  <c r="BN413" i="3"/>
  <c r="BG409" i="3"/>
  <c r="BH409" i="3" s="1"/>
  <c r="BI409" i="3" s="1"/>
  <c r="AN413" i="3"/>
  <c r="AH413" i="3"/>
  <c r="Y413" i="3"/>
  <c r="Z413" i="3" s="1"/>
  <c r="X413" i="3"/>
  <c r="AX412" i="3"/>
  <c r="BM413" i="3"/>
  <c r="AG413" i="3"/>
  <c r="AO413" i="3"/>
  <c r="AT412" i="3"/>
  <c r="BA411" i="3"/>
  <c r="AQ414" i="3"/>
  <c r="B414" i="3"/>
  <c r="A415" i="3"/>
  <c r="AR414" i="3"/>
  <c r="D414" i="3"/>
  <c r="AM414" i="3"/>
  <c r="AK414" i="3"/>
  <c r="S414" i="3"/>
  <c r="R414" i="3"/>
  <c r="Q414" i="3"/>
  <c r="AD414" i="3"/>
  <c r="P414" i="3"/>
  <c r="O414" i="3"/>
  <c r="AE414" i="3"/>
  <c r="M414" i="3"/>
  <c r="AF414" i="3"/>
  <c r="V414" i="3"/>
  <c r="U414" i="3"/>
  <c r="F414" i="3"/>
  <c r="C414" i="3"/>
  <c r="G414" i="3"/>
  <c r="H414" i="3" s="1"/>
  <c r="BN414" i="3" s="1"/>
  <c r="T414" i="3"/>
  <c r="BQ410" i="3"/>
  <c r="BF410" i="3"/>
  <c r="BJ409" i="3" s="1"/>
  <c r="BK409" i="3" s="1"/>
  <c r="BB410" i="3"/>
  <c r="AW412" i="3"/>
  <c r="AU412" i="3"/>
  <c r="BC411" i="3" l="1"/>
  <c r="BD411" i="3" s="1"/>
  <c r="AV412" i="3"/>
  <c r="BG410" i="3"/>
  <c r="BH410" i="3" s="1"/>
  <c r="BI410" i="3" s="1"/>
  <c r="AY412" i="3"/>
  <c r="AT413" i="3"/>
  <c r="AN414" i="3"/>
  <c r="AW413" i="3"/>
  <c r="AX413" i="3"/>
  <c r="Y414" i="3"/>
  <c r="Z414" i="3" s="1"/>
  <c r="X414" i="3"/>
  <c r="A416" i="3"/>
  <c r="B415" i="3"/>
  <c r="AR415" i="3"/>
  <c r="AQ415" i="3"/>
  <c r="C415" i="3"/>
  <c r="AK415" i="3"/>
  <c r="AM415" i="3"/>
  <c r="S415" i="3"/>
  <c r="Q415" i="3"/>
  <c r="AD415" i="3"/>
  <c r="O415" i="3"/>
  <c r="M415" i="3"/>
  <c r="AF415" i="3"/>
  <c r="P415" i="3"/>
  <c r="AE415" i="3"/>
  <c r="V415" i="3"/>
  <c r="U415" i="3"/>
  <c r="R415" i="3"/>
  <c r="G415" i="3"/>
  <c r="H415" i="3" s="1"/>
  <c r="D415" i="3"/>
  <c r="F415" i="3"/>
  <c r="BM415" i="3" s="1"/>
  <c r="T415" i="3"/>
  <c r="BM414" i="3"/>
  <c r="AH414" i="3"/>
  <c r="AO414" i="3"/>
  <c r="BA412" i="3"/>
  <c r="AU413" i="3"/>
  <c r="BB411" i="3"/>
  <c r="BQ411" i="3"/>
  <c r="BF411" i="3"/>
  <c r="BJ410" i="3" s="1"/>
  <c r="BK410" i="3" s="1"/>
  <c r="AG414" i="3"/>
  <c r="BG411" i="3" l="1"/>
  <c r="BH411" i="3" s="1"/>
  <c r="BI411" i="3" s="1"/>
  <c r="BC412" i="3"/>
  <c r="BD412" i="3" s="1"/>
  <c r="AO415" i="3"/>
  <c r="AY413" i="3"/>
  <c r="AV413" i="3"/>
  <c r="AT414" i="3"/>
  <c r="BA413" i="3"/>
  <c r="BB413" i="3" s="1"/>
  <c r="AX414" i="3"/>
  <c r="AH415" i="3"/>
  <c r="Y415" i="3"/>
  <c r="Z415" i="3" s="1"/>
  <c r="A417" i="3"/>
  <c r="B416" i="3"/>
  <c r="AQ416" i="3"/>
  <c r="AR416" i="3"/>
  <c r="AM416" i="3"/>
  <c r="AK416" i="3"/>
  <c r="R416" i="3"/>
  <c r="S416" i="3"/>
  <c r="Q416" i="3"/>
  <c r="AD416" i="3"/>
  <c r="P416" i="3"/>
  <c r="O416" i="3"/>
  <c r="AE416" i="3"/>
  <c r="AF416" i="3"/>
  <c r="V416" i="3"/>
  <c r="M416" i="3"/>
  <c r="U416" i="3"/>
  <c r="D416" i="3"/>
  <c r="F416" i="3"/>
  <c r="C416" i="3"/>
  <c r="G416" i="3"/>
  <c r="H416" i="3" s="1"/>
  <c r="T416" i="3"/>
  <c r="AW414" i="3"/>
  <c r="AU414" i="3"/>
  <c r="BN415" i="3"/>
  <c r="AG415" i="3"/>
  <c r="AN415" i="3"/>
  <c r="X415" i="3"/>
  <c r="BF412" i="3"/>
  <c r="BJ411" i="3" s="1"/>
  <c r="BK411" i="3" s="1"/>
  <c r="BQ412" i="3"/>
  <c r="BB412" i="3"/>
  <c r="BG412" i="3" l="1"/>
  <c r="BH412" i="3" s="1"/>
  <c r="BI412" i="3" s="1"/>
  <c r="BC413" i="3"/>
  <c r="BD413" i="3" s="1"/>
  <c r="BN416" i="3"/>
  <c r="BM416" i="3"/>
  <c r="AY414" i="3"/>
  <c r="BF413" i="3"/>
  <c r="BJ412" i="3" s="1"/>
  <c r="BK412" i="3" s="1"/>
  <c r="AV414" i="3"/>
  <c r="AX415" i="3"/>
  <c r="BQ413" i="3"/>
  <c r="AN416" i="3"/>
  <c r="BA414" i="3"/>
  <c r="BB414" i="3" s="1"/>
  <c r="AG416" i="3"/>
  <c r="AT415" i="3"/>
  <c r="AW415" i="3"/>
  <c r="AU415" i="3"/>
  <c r="Y416" i="3"/>
  <c r="Z416" i="3" s="1"/>
  <c r="X416" i="3"/>
  <c r="AH416" i="3"/>
  <c r="AO416" i="3"/>
  <c r="AR417" i="3"/>
  <c r="B417" i="3"/>
  <c r="AQ417" i="3"/>
  <c r="A418" i="3"/>
  <c r="C417" i="3"/>
  <c r="AK417" i="3"/>
  <c r="AM417" i="3"/>
  <c r="S417" i="3"/>
  <c r="Q417" i="3"/>
  <c r="T417" i="3"/>
  <c r="R417" i="3"/>
  <c r="AD417" i="3"/>
  <c r="O417" i="3"/>
  <c r="AE417" i="3"/>
  <c r="M417" i="3"/>
  <c r="P417" i="3"/>
  <c r="U417" i="3"/>
  <c r="AF417" i="3"/>
  <c r="V417" i="3"/>
  <c r="D417" i="3"/>
  <c r="G417" i="3"/>
  <c r="H417" i="3" s="1"/>
  <c r="F417" i="3"/>
  <c r="BC414" i="3" l="1"/>
  <c r="BD414" i="3" s="1"/>
  <c r="BG413" i="3"/>
  <c r="BH413" i="3" s="1"/>
  <c r="BI413" i="3" s="1"/>
  <c r="BM417" i="3"/>
  <c r="AO417" i="3"/>
  <c r="AT416" i="3"/>
  <c r="AU416" i="3"/>
  <c r="AY415" i="3"/>
  <c r="BQ414" i="3"/>
  <c r="AW416" i="3"/>
  <c r="BF414" i="3"/>
  <c r="BJ413" i="3" s="1"/>
  <c r="BK413" i="3" s="1"/>
  <c r="BN417" i="3"/>
  <c r="AN417" i="3"/>
  <c r="X417" i="3"/>
  <c r="AX416" i="3"/>
  <c r="BA415" i="3"/>
  <c r="AV415" i="3"/>
  <c r="Y417" i="3"/>
  <c r="Z417" i="3" s="1"/>
  <c r="AR418" i="3"/>
  <c r="A419" i="3"/>
  <c r="B418" i="3"/>
  <c r="AQ418" i="3"/>
  <c r="D418" i="3"/>
  <c r="S418" i="3"/>
  <c r="R418" i="3"/>
  <c r="Q418" i="3"/>
  <c r="AK418" i="3"/>
  <c r="AM418" i="3"/>
  <c r="P418" i="3"/>
  <c r="AD418" i="3"/>
  <c r="O418" i="3"/>
  <c r="AE418" i="3"/>
  <c r="U418" i="3"/>
  <c r="M418" i="3"/>
  <c r="AF418" i="3"/>
  <c r="V418" i="3"/>
  <c r="C418" i="3"/>
  <c r="G418" i="3"/>
  <c r="H418" i="3" s="1"/>
  <c r="F418" i="3"/>
  <c r="T418" i="3"/>
  <c r="AG417" i="3"/>
  <c r="AH417" i="3"/>
  <c r="BM418" i="3" l="1"/>
  <c r="BG414" i="3"/>
  <c r="BH414" i="3" s="1"/>
  <c r="BI414" i="3" s="1"/>
  <c r="BN418" i="3"/>
  <c r="AV416" i="3"/>
  <c r="BC415" i="3"/>
  <c r="BG415" i="3" s="1"/>
  <c r="BH415" i="3" s="1"/>
  <c r="BI415" i="3" s="1"/>
  <c r="BA416" i="3"/>
  <c r="BB416" i="3" s="1"/>
  <c r="AO418" i="3"/>
  <c r="Y418" i="3"/>
  <c r="Z418" i="3" s="1"/>
  <c r="AN418" i="3"/>
  <c r="AW417" i="3"/>
  <c r="AH418" i="3"/>
  <c r="A420" i="3"/>
  <c r="B419" i="3"/>
  <c r="AR419" i="3"/>
  <c r="AQ419" i="3"/>
  <c r="C419" i="3"/>
  <c r="AM419" i="3"/>
  <c r="T419" i="3"/>
  <c r="AK419" i="3"/>
  <c r="S419" i="3"/>
  <c r="R419" i="3"/>
  <c r="Q419" i="3"/>
  <c r="AD419" i="3"/>
  <c r="P419" i="3"/>
  <c r="M419" i="3"/>
  <c r="V419" i="3"/>
  <c r="U419" i="3"/>
  <c r="O419" i="3"/>
  <c r="AF419" i="3"/>
  <c r="AE419" i="3"/>
  <c r="D419" i="3"/>
  <c r="G419" i="3"/>
  <c r="H419" i="3" s="1"/>
  <c r="F419" i="3"/>
  <c r="AX417" i="3"/>
  <c r="AG418" i="3"/>
  <c r="AU417" i="3"/>
  <c r="AY416" i="3"/>
  <c r="BQ415" i="3"/>
  <c r="BF415" i="3"/>
  <c r="BJ414" i="3" s="1"/>
  <c r="BK414" i="3" s="1"/>
  <c r="BB415" i="3"/>
  <c r="X418" i="3"/>
  <c r="AT417" i="3"/>
  <c r="AO419" i="3" l="1"/>
  <c r="BD415" i="3"/>
  <c r="BQ416" i="3"/>
  <c r="BC416" i="3"/>
  <c r="BD416" i="3" s="1"/>
  <c r="BM419" i="3"/>
  <c r="BN419" i="3"/>
  <c r="AY417" i="3"/>
  <c r="BF416" i="3"/>
  <c r="BJ415" i="3" s="1"/>
  <c r="BK415" i="3" s="1"/>
  <c r="AT418" i="3"/>
  <c r="AW418" i="3"/>
  <c r="BA417" i="3"/>
  <c r="AV417" i="3"/>
  <c r="Y419" i="3"/>
  <c r="Z419" i="3" s="1"/>
  <c r="AH419" i="3"/>
  <c r="AN419" i="3"/>
  <c r="A421" i="3"/>
  <c r="B420" i="3"/>
  <c r="AQ420" i="3"/>
  <c r="AR420" i="3"/>
  <c r="C420" i="3"/>
  <c r="AM420" i="3"/>
  <c r="AK420" i="3"/>
  <c r="T420" i="3"/>
  <c r="S420" i="3"/>
  <c r="R420" i="3"/>
  <c r="Q420" i="3"/>
  <c r="AD420" i="3"/>
  <c r="P420" i="3"/>
  <c r="M420" i="3"/>
  <c r="AF420" i="3"/>
  <c r="V420" i="3"/>
  <c r="O420" i="3"/>
  <c r="AE420" i="3"/>
  <c r="U420" i="3"/>
  <c r="G420" i="3"/>
  <c r="H420" i="3" s="1"/>
  <c r="D420" i="3"/>
  <c r="F420" i="3"/>
  <c r="AX418" i="3"/>
  <c r="AU418" i="3"/>
  <c r="AG419" i="3"/>
  <c r="X419" i="3"/>
  <c r="AV418" i="3" l="1"/>
  <c r="BG416" i="3"/>
  <c r="BH416" i="3" s="1"/>
  <c r="BI416" i="3" s="1"/>
  <c r="BM420" i="3"/>
  <c r="BN420" i="3"/>
  <c r="BC417" i="3"/>
  <c r="BG417" i="3" s="1"/>
  <c r="BH417" i="3" s="1"/>
  <c r="BI417" i="3" s="1"/>
  <c r="AG420" i="3"/>
  <c r="AW419" i="3"/>
  <c r="AY418" i="3"/>
  <c r="AO420" i="3"/>
  <c r="AN420" i="3"/>
  <c r="AT419" i="3"/>
  <c r="Y420" i="3"/>
  <c r="Z420" i="3" s="1"/>
  <c r="AR421" i="3"/>
  <c r="B421" i="3"/>
  <c r="AQ421" i="3"/>
  <c r="A422" i="3"/>
  <c r="C421" i="3"/>
  <c r="AK421" i="3"/>
  <c r="AM421" i="3"/>
  <c r="S421" i="3"/>
  <c r="R421" i="3"/>
  <c r="Q421" i="3"/>
  <c r="AD421" i="3"/>
  <c r="P421" i="3"/>
  <c r="O421" i="3"/>
  <c r="M421" i="3"/>
  <c r="AF421" i="3"/>
  <c r="AE421" i="3"/>
  <c r="U421" i="3"/>
  <c r="V421" i="3"/>
  <c r="D421" i="3"/>
  <c r="F421" i="3"/>
  <c r="G421" i="3"/>
  <c r="H421" i="3" s="1"/>
  <c r="T421" i="3"/>
  <c r="BQ417" i="3"/>
  <c r="BF417" i="3"/>
  <c r="BJ416" i="3" s="1"/>
  <c r="BK416" i="3" s="1"/>
  <c r="BB417" i="3"/>
  <c r="X420" i="3"/>
  <c r="BA418" i="3"/>
  <c r="AH420" i="3"/>
  <c r="AU419" i="3"/>
  <c r="AX419" i="3"/>
  <c r="BN421" i="3" l="1"/>
  <c r="BD417" i="3"/>
  <c r="BC418" i="3"/>
  <c r="BD418" i="3" s="1"/>
  <c r="BM421" i="3"/>
  <c r="AY419" i="3"/>
  <c r="AX420" i="3"/>
  <c r="AV419" i="3"/>
  <c r="AN421" i="3"/>
  <c r="BB418" i="3"/>
  <c r="BF418" i="3"/>
  <c r="BJ417" i="3" s="1"/>
  <c r="BK417" i="3" s="1"/>
  <c r="BQ418" i="3"/>
  <c r="AR422" i="3"/>
  <c r="A423" i="3"/>
  <c r="B422" i="3"/>
  <c r="AQ422" i="3"/>
  <c r="AM422" i="3"/>
  <c r="AK422" i="3"/>
  <c r="S422" i="3"/>
  <c r="AD422" i="3"/>
  <c r="T422" i="3"/>
  <c r="Q422" i="3"/>
  <c r="R422" i="3"/>
  <c r="P422" i="3"/>
  <c r="M422" i="3"/>
  <c r="AE422" i="3"/>
  <c r="O422" i="3"/>
  <c r="AF422" i="3"/>
  <c r="U422" i="3"/>
  <c r="V422" i="3"/>
  <c r="C422" i="3"/>
  <c r="F422" i="3"/>
  <c r="D422" i="3"/>
  <c r="G422" i="3"/>
  <c r="H422" i="3" s="1"/>
  <c r="AT420" i="3"/>
  <c r="AW420" i="3"/>
  <c r="Y421" i="3"/>
  <c r="Z421" i="3" s="1"/>
  <c r="AG421" i="3"/>
  <c r="AO421" i="3"/>
  <c r="BA419" i="3"/>
  <c r="AU420" i="3"/>
  <c r="AH421" i="3"/>
  <c r="X421" i="3"/>
  <c r="BG418" i="3" l="1"/>
  <c r="BH418" i="3" s="1"/>
  <c r="BI418" i="3" s="1"/>
  <c r="BC419" i="3"/>
  <c r="BD419" i="3" s="1"/>
  <c r="AY420" i="3"/>
  <c r="BN422" i="3"/>
  <c r="AN422" i="3"/>
  <c r="AX421" i="3"/>
  <c r="AU421" i="3"/>
  <c r="AW421" i="3"/>
  <c r="AT421" i="3"/>
  <c r="X422" i="3"/>
  <c r="BF419" i="3"/>
  <c r="BJ418" i="3" s="1"/>
  <c r="BK418" i="3" s="1"/>
  <c r="BB419" i="3"/>
  <c r="BQ419" i="3"/>
  <c r="A424" i="3"/>
  <c r="B423" i="3"/>
  <c r="AR423" i="3"/>
  <c r="AQ423" i="3"/>
  <c r="AK423" i="3"/>
  <c r="S423" i="3"/>
  <c r="AM423" i="3"/>
  <c r="R423" i="3"/>
  <c r="Q423" i="3"/>
  <c r="P423" i="3"/>
  <c r="AD423" i="3"/>
  <c r="O423" i="3"/>
  <c r="AE423" i="3"/>
  <c r="M423" i="3"/>
  <c r="V423" i="3"/>
  <c r="AF423" i="3"/>
  <c r="U423" i="3"/>
  <c r="D423" i="3"/>
  <c r="G423" i="3"/>
  <c r="H423" i="3" s="1"/>
  <c r="C423" i="3"/>
  <c r="F423" i="3"/>
  <c r="T423" i="3"/>
  <c r="BM422" i="3"/>
  <c r="AG422" i="3"/>
  <c r="AH422" i="3"/>
  <c r="AO422" i="3"/>
  <c r="AV420" i="3"/>
  <c r="BA420" i="3"/>
  <c r="Y422" i="3"/>
  <c r="Z422" i="3" s="1"/>
  <c r="AV421" i="3" l="1"/>
  <c r="AN423" i="3"/>
  <c r="BC420" i="3"/>
  <c r="BD420" i="3" s="1"/>
  <c r="BG419" i="3"/>
  <c r="BH419" i="3" s="1"/>
  <c r="BI419" i="3" s="1"/>
  <c r="AY421" i="3"/>
  <c r="AG423" i="3"/>
  <c r="BM423" i="3"/>
  <c r="BN423" i="3"/>
  <c r="BA421" i="3"/>
  <c r="BB421" i="3" s="1"/>
  <c r="A425" i="3"/>
  <c r="B424" i="3"/>
  <c r="AQ424" i="3"/>
  <c r="AR424" i="3"/>
  <c r="C424" i="3"/>
  <c r="D424" i="3"/>
  <c r="AK424" i="3"/>
  <c r="AM424" i="3"/>
  <c r="R424" i="3"/>
  <c r="S424" i="3"/>
  <c r="P424" i="3"/>
  <c r="Q424" i="3"/>
  <c r="AD424" i="3"/>
  <c r="M424" i="3"/>
  <c r="AF424" i="3"/>
  <c r="AE424" i="3"/>
  <c r="U424" i="3"/>
  <c r="V424" i="3"/>
  <c r="O424" i="3"/>
  <c r="G424" i="3"/>
  <c r="H424" i="3" s="1"/>
  <c r="F424" i="3"/>
  <c r="BM424" i="3" s="1"/>
  <c r="T424" i="3"/>
  <c r="AH423" i="3"/>
  <c r="AO423" i="3"/>
  <c r="BB420" i="3"/>
  <c r="BQ420" i="3"/>
  <c r="BF420" i="3"/>
  <c r="BJ419" i="3" s="1"/>
  <c r="BK419" i="3" s="1"/>
  <c r="AW422" i="3"/>
  <c r="AT422" i="3"/>
  <c r="AU422" i="3"/>
  <c r="AX422" i="3"/>
  <c r="Y423" i="3"/>
  <c r="Z423" i="3" s="1"/>
  <c r="X423" i="3"/>
  <c r="BN424" i="3" l="1"/>
  <c r="BC421" i="3"/>
  <c r="BD421" i="3" s="1"/>
  <c r="AU423" i="3"/>
  <c r="BG420" i="3"/>
  <c r="BH420" i="3" s="1"/>
  <c r="BI420" i="3" s="1"/>
  <c r="BQ421" i="3"/>
  <c r="BF421" i="3"/>
  <c r="BJ420" i="3" s="1"/>
  <c r="BK420" i="3" s="1"/>
  <c r="AN424" i="3"/>
  <c r="AW423" i="3"/>
  <c r="AG424" i="3"/>
  <c r="AR425" i="3"/>
  <c r="B425" i="3"/>
  <c r="AQ425" i="3"/>
  <c r="A426" i="3"/>
  <c r="AK425" i="3"/>
  <c r="R425" i="3"/>
  <c r="AM425" i="3"/>
  <c r="AD425" i="3"/>
  <c r="S425" i="3"/>
  <c r="M425" i="3"/>
  <c r="O425" i="3"/>
  <c r="P425" i="3"/>
  <c r="AE425" i="3"/>
  <c r="AF425" i="3"/>
  <c r="V425" i="3"/>
  <c r="U425" i="3"/>
  <c r="Q425" i="3"/>
  <c r="C425" i="3"/>
  <c r="D425" i="3"/>
  <c r="G425" i="3"/>
  <c r="H425" i="3" s="1"/>
  <c r="F425" i="3"/>
  <c r="T425" i="3"/>
  <c r="Y424" i="3"/>
  <c r="Z424" i="3" s="1"/>
  <c r="AV422" i="3"/>
  <c r="AY422" i="3"/>
  <c r="AX423" i="3"/>
  <c r="AH424" i="3"/>
  <c r="AO424" i="3"/>
  <c r="X424" i="3"/>
  <c r="AT423" i="3"/>
  <c r="BA422" i="3"/>
  <c r="BG421" i="3" l="1"/>
  <c r="BH421" i="3" s="1"/>
  <c r="BI421" i="3" s="1"/>
  <c r="AN425" i="3"/>
  <c r="BM425" i="3"/>
  <c r="AT424" i="3"/>
  <c r="AY423" i="3"/>
  <c r="AO425" i="3"/>
  <c r="AG425" i="3"/>
  <c r="AU424" i="3"/>
  <c r="BC422" i="3"/>
  <c r="BD422" i="3" s="1"/>
  <c r="AV423" i="3"/>
  <c r="BA423" i="3"/>
  <c r="AR426" i="3"/>
  <c r="A427" i="3"/>
  <c r="B426" i="3"/>
  <c r="AQ426" i="3"/>
  <c r="C426" i="3"/>
  <c r="AK426" i="3"/>
  <c r="S426" i="3"/>
  <c r="R426" i="3"/>
  <c r="D426" i="3"/>
  <c r="AM426" i="3"/>
  <c r="AD426" i="3"/>
  <c r="M426" i="3"/>
  <c r="P426" i="3"/>
  <c r="AE426" i="3"/>
  <c r="V426" i="3"/>
  <c r="O426" i="3"/>
  <c r="AF426" i="3"/>
  <c r="U426" i="3"/>
  <c r="Q426" i="3"/>
  <c r="G426" i="3"/>
  <c r="H426" i="3" s="1"/>
  <c r="F426" i="3"/>
  <c r="T426" i="3"/>
  <c r="AX424" i="3"/>
  <c r="AW424" i="3"/>
  <c r="Y425" i="3"/>
  <c r="Z425" i="3" s="1"/>
  <c r="BN425" i="3"/>
  <c r="X425" i="3"/>
  <c r="AH425" i="3"/>
  <c r="BB422" i="3"/>
  <c r="BQ422" i="3"/>
  <c r="BF422" i="3"/>
  <c r="BJ421" i="3" s="1"/>
  <c r="BK421" i="3" s="1"/>
  <c r="BM426" i="3" l="1"/>
  <c r="AV424" i="3"/>
  <c r="BC423" i="3"/>
  <c r="BD423" i="3" s="1"/>
  <c r="AN426" i="3"/>
  <c r="AT425" i="3"/>
  <c r="BG422" i="3"/>
  <c r="BH422" i="3" s="1"/>
  <c r="BI422" i="3" s="1"/>
  <c r="AY424" i="3"/>
  <c r="A428" i="3"/>
  <c r="B427" i="3"/>
  <c r="AR427" i="3"/>
  <c r="AQ427" i="3"/>
  <c r="D427" i="3"/>
  <c r="AM427" i="3"/>
  <c r="AK427" i="3"/>
  <c r="R427" i="3"/>
  <c r="T427" i="3"/>
  <c r="S427" i="3"/>
  <c r="AD427" i="3"/>
  <c r="Q427" i="3"/>
  <c r="O427" i="3"/>
  <c r="AE427" i="3"/>
  <c r="AF427" i="3"/>
  <c r="V427" i="3"/>
  <c r="M427" i="3"/>
  <c r="U427" i="3"/>
  <c r="C427" i="3"/>
  <c r="F427" i="3"/>
  <c r="G427" i="3"/>
  <c r="H427" i="3" s="1"/>
  <c r="BN427" i="3" s="1"/>
  <c r="P427" i="3"/>
  <c r="BQ423" i="3"/>
  <c r="BB423" i="3"/>
  <c r="BF423" i="3"/>
  <c r="BJ422" i="3" s="1"/>
  <c r="BK422" i="3" s="1"/>
  <c r="AW425" i="3"/>
  <c r="Y426" i="3"/>
  <c r="Z426" i="3" s="1"/>
  <c r="BN426" i="3"/>
  <c r="AG426" i="3"/>
  <c r="AO426" i="3"/>
  <c r="BA424" i="3"/>
  <c r="AU425" i="3"/>
  <c r="AX425" i="3"/>
  <c r="AH426" i="3"/>
  <c r="X426" i="3"/>
  <c r="BC424" i="3" l="1"/>
  <c r="BD424" i="3" s="1"/>
  <c r="BG423" i="3"/>
  <c r="BH423" i="3" s="1"/>
  <c r="BI423" i="3" s="1"/>
  <c r="BM427" i="3"/>
  <c r="AN427" i="3"/>
  <c r="AG427" i="3"/>
  <c r="BA425" i="3"/>
  <c r="BB425" i="3" s="1"/>
  <c r="Y427" i="3"/>
  <c r="Z427" i="3" s="1"/>
  <c r="AT426" i="3"/>
  <c r="AX426" i="3"/>
  <c r="A429" i="3"/>
  <c r="B428" i="3"/>
  <c r="AQ428" i="3"/>
  <c r="AR428" i="3"/>
  <c r="C428" i="3"/>
  <c r="S428" i="3"/>
  <c r="R428" i="3"/>
  <c r="D428" i="3"/>
  <c r="AK428" i="3"/>
  <c r="AM428" i="3"/>
  <c r="Q428" i="3"/>
  <c r="AD428" i="3"/>
  <c r="O428" i="3"/>
  <c r="AE428" i="3"/>
  <c r="M428" i="3"/>
  <c r="AF428" i="3"/>
  <c r="U428" i="3"/>
  <c r="P428" i="3"/>
  <c r="V428" i="3"/>
  <c r="F428" i="3"/>
  <c r="G428" i="3"/>
  <c r="H428" i="3" s="1"/>
  <c r="T428" i="3"/>
  <c r="AU426" i="3"/>
  <c r="AW426" i="3"/>
  <c r="X427" i="3"/>
  <c r="AH427" i="3"/>
  <c r="AO427" i="3"/>
  <c r="AV425" i="3"/>
  <c r="BQ424" i="3"/>
  <c r="BF424" i="3"/>
  <c r="BJ423" i="3" s="1"/>
  <c r="BK423" i="3" s="1"/>
  <c r="BB424" i="3"/>
  <c r="AY425" i="3"/>
  <c r="AY426" i="3" l="1"/>
  <c r="BG424" i="3"/>
  <c r="BH424" i="3" s="1"/>
  <c r="BI424" i="3" s="1"/>
  <c r="BQ425" i="3"/>
  <c r="BN428" i="3"/>
  <c r="AU427" i="3"/>
  <c r="AO428" i="3"/>
  <c r="BF425" i="3"/>
  <c r="BJ424" i="3" s="1"/>
  <c r="BK424" i="3" s="1"/>
  <c r="AW427" i="3"/>
  <c r="AT427" i="3"/>
  <c r="BC425" i="3"/>
  <c r="AX427" i="3"/>
  <c r="Y428" i="3"/>
  <c r="Z428" i="3" s="1"/>
  <c r="BM428" i="3"/>
  <c r="AG428" i="3"/>
  <c r="AH428" i="3"/>
  <c r="AN428" i="3"/>
  <c r="BA426" i="3"/>
  <c r="AR429" i="3"/>
  <c r="B429" i="3"/>
  <c r="AQ429" i="3"/>
  <c r="A430" i="3"/>
  <c r="D429" i="3"/>
  <c r="AK429" i="3"/>
  <c r="T429" i="3"/>
  <c r="C429" i="3"/>
  <c r="AM429" i="3"/>
  <c r="S429" i="3"/>
  <c r="Q429" i="3"/>
  <c r="AD429" i="3"/>
  <c r="P429" i="3"/>
  <c r="R429" i="3"/>
  <c r="M429" i="3"/>
  <c r="AE429" i="3"/>
  <c r="O429" i="3"/>
  <c r="V429" i="3"/>
  <c r="AF429" i="3"/>
  <c r="U429" i="3"/>
  <c r="G429" i="3"/>
  <c r="H429" i="3" s="1"/>
  <c r="F429" i="3"/>
  <c r="X428" i="3"/>
  <c r="AV426" i="3"/>
  <c r="BN429" i="3" l="1"/>
  <c r="BC426" i="3"/>
  <c r="BD426" i="3" s="1"/>
  <c r="BM429" i="3"/>
  <c r="AV427" i="3"/>
  <c r="AT428" i="3"/>
  <c r="AN429" i="3"/>
  <c r="AU428" i="3"/>
  <c r="BA427" i="3"/>
  <c r="BB427" i="3" s="1"/>
  <c r="AR430" i="3"/>
  <c r="A431" i="3"/>
  <c r="B430" i="3"/>
  <c r="AQ430" i="3"/>
  <c r="C430" i="3"/>
  <c r="AK430" i="3"/>
  <c r="T430" i="3"/>
  <c r="S430" i="3"/>
  <c r="D430" i="3"/>
  <c r="AM430" i="3"/>
  <c r="Q430" i="3"/>
  <c r="R430" i="3"/>
  <c r="AD430" i="3"/>
  <c r="P430" i="3"/>
  <c r="O430" i="3"/>
  <c r="M430" i="3"/>
  <c r="AF430" i="3"/>
  <c r="V430" i="3"/>
  <c r="AE430" i="3"/>
  <c r="U430" i="3"/>
  <c r="G430" i="3"/>
  <c r="H430" i="3" s="1"/>
  <c r="F430" i="3"/>
  <c r="AG429" i="3"/>
  <c r="AH429" i="3"/>
  <c r="X429" i="3"/>
  <c r="AO429" i="3"/>
  <c r="AW428" i="3"/>
  <c r="AY427" i="3"/>
  <c r="Y429" i="3"/>
  <c r="Z429" i="3" s="1"/>
  <c r="BQ426" i="3"/>
  <c r="BF426" i="3"/>
  <c r="BJ425" i="3" s="1"/>
  <c r="BK425" i="3" s="1"/>
  <c r="BB426" i="3"/>
  <c r="BD425" i="3"/>
  <c r="BG425" i="3"/>
  <c r="BH425" i="3" s="1"/>
  <c r="BI425" i="3" s="1"/>
  <c r="AX428" i="3"/>
  <c r="BN430" i="3" l="1"/>
  <c r="BG426" i="3"/>
  <c r="BH426" i="3" s="1"/>
  <c r="BI426" i="3" s="1"/>
  <c r="BC427" i="3"/>
  <c r="BD427" i="3" s="1"/>
  <c r="AV428" i="3"/>
  <c r="AG430" i="3"/>
  <c r="BM430" i="3"/>
  <c r="AN430" i="3"/>
  <c r="AU429" i="3"/>
  <c r="AT429" i="3"/>
  <c r="BQ427" i="3"/>
  <c r="BF427" i="3"/>
  <c r="BJ426" i="3" s="1"/>
  <c r="BK426" i="3" s="1"/>
  <c r="A432" i="3"/>
  <c r="B431" i="3"/>
  <c r="AR431" i="3"/>
  <c r="AQ431" i="3"/>
  <c r="C431" i="3"/>
  <c r="D431" i="3"/>
  <c r="AM431" i="3"/>
  <c r="S431" i="3"/>
  <c r="R431" i="3"/>
  <c r="AK431" i="3"/>
  <c r="T431" i="3"/>
  <c r="Q431" i="3"/>
  <c r="AD431" i="3"/>
  <c r="P431" i="3"/>
  <c r="M431" i="3"/>
  <c r="AF431" i="3"/>
  <c r="AE431" i="3"/>
  <c r="V431" i="3"/>
  <c r="O431" i="3"/>
  <c r="U431" i="3"/>
  <c r="G431" i="3"/>
  <c r="H431" i="3" s="1"/>
  <c r="F431" i="3"/>
  <c r="AX429" i="3"/>
  <c r="AO430" i="3"/>
  <c r="Y430" i="3"/>
  <c r="Z430" i="3" s="1"/>
  <c r="AY428" i="3"/>
  <c r="AW429" i="3"/>
  <c r="BA428" i="3"/>
  <c r="AH430" i="3"/>
  <c r="X430" i="3"/>
  <c r="BG427" i="3" l="1"/>
  <c r="BH427" i="3" s="1"/>
  <c r="BI427" i="3" s="1"/>
  <c r="BC428" i="3"/>
  <c r="BD428" i="3" s="1"/>
  <c r="AV429" i="3"/>
  <c r="AX430" i="3"/>
  <c r="BM431" i="3"/>
  <c r="BN431" i="3"/>
  <c r="AO431" i="3"/>
  <c r="AY429" i="3"/>
  <c r="A433" i="3"/>
  <c r="B432" i="3"/>
  <c r="AQ432" i="3"/>
  <c r="AR432" i="3"/>
  <c r="D432" i="3"/>
  <c r="C432" i="3"/>
  <c r="AK432" i="3"/>
  <c r="AM432" i="3"/>
  <c r="T432" i="3"/>
  <c r="Q432" i="3"/>
  <c r="S432" i="3"/>
  <c r="P432" i="3"/>
  <c r="R432" i="3"/>
  <c r="AD432" i="3"/>
  <c r="O432" i="3"/>
  <c r="M432" i="3"/>
  <c r="U432" i="3"/>
  <c r="AE432" i="3"/>
  <c r="AF432" i="3"/>
  <c r="V432" i="3"/>
  <c r="G432" i="3"/>
  <c r="H432" i="3" s="1"/>
  <c r="BN432" i="3" s="1"/>
  <c r="F432" i="3"/>
  <c r="BM432" i="3" s="1"/>
  <c r="AT430" i="3"/>
  <c r="AW430" i="3"/>
  <c r="AG431" i="3"/>
  <c r="AH431" i="3"/>
  <c r="AN431" i="3"/>
  <c r="X431" i="3"/>
  <c r="BB428" i="3"/>
  <c r="BF428" i="3"/>
  <c r="BJ427" i="3" s="1"/>
  <c r="BK427" i="3" s="1"/>
  <c r="BQ428" i="3"/>
  <c r="Y431" i="3"/>
  <c r="Z431" i="3" s="1"/>
  <c r="AU430" i="3"/>
  <c r="BA429" i="3"/>
  <c r="AY430" i="3" l="1"/>
  <c r="BG428" i="3"/>
  <c r="BH428" i="3" s="1"/>
  <c r="BI428" i="3" s="1"/>
  <c r="BC429" i="3"/>
  <c r="BD429" i="3" s="1"/>
  <c r="AN432" i="3"/>
  <c r="AU431" i="3"/>
  <c r="AG432" i="3"/>
  <c r="AX431" i="3"/>
  <c r="BB429" i="3"/>
  <c r="BQ429" i="3"/>
  <c r="BF429" i="3"/>
  <c r="BJ428" i="3" s="1"/>
  <c r="BK428" i="3" s="1"/>
  <c r="AV430" i="3"/>
  <c r="BA430" i="3"/>
  <c r="Y432" i="3"/>
  <c r="Z432" i="3" s="1"/>
  <c r="AR433" i="3"/>
  <c r="B433" i="3"/>
  <c r="AQ433" i="3"/>
  <c r="A434" i="3"/>
  <c r="C433" i="3"/>
  <c r="D433" i="3"/>
  <c r="AK433" i="3"/>
  <c r="R433" i="3"/>
  <c r="AM433" i="3"/>
  <c r="S433" i="3"/>
  <c r="AD433" i="3"/>
  <c r="P433" i="3"/>
  <c r="Q433" i="3"/>
  <c r="O433" i="3"/>
  <c r="AE433" i="3"/>
  <c r="V433" i="3"/>
  <c r="U433" i="3"/>
  <c r="M433" i="3"/>
  <c r="AF433" i="3"/>
  <c r="F433" i="3"/>
  <c r="G433" i="3"/>
  <c r="H433" i="3" s="1"/>
  <c r="T433" i="3"/>
  <c r="AT431" i="3"/>
  <c r="AW431" i="3"/>
  <c r="AH432" i="3"/>
  <c r="AO432" i="3"/>
  <c r="X432" i="3"/>
  <c r="BG429" i="3" l="1"/>
  <c r="BH429" i="3" s="1"/>
  <c r="BI429" i="3" s="1"/>
  <c r="AY431" i="3"/>
  <c r="AN433" i="3"/>
  <c r="BC430" i="3"/>
  <c r="BG430" i="3" s="1"/>
  <c r="BH430" i="3" s="1"/>
  <c r="BI430" i="3" s="1"/>
  <c r="BM433" i="3"/>
  <c r="BN433" i="3"/>
  <c r="AU432" i="3"/>
  <c r="AX432" i="3"/>
  <c r="BA431" i="3"/>
  <c r="AV431" i="3"/>
  <c r="AR434" i="3"/>
  <c r="A435" i="3"/>
  <c r="B434" i="3"/>
  <c r="AQ434" i="3"/>
  <c r="AM434" i="3"/>
  <c r="T434" i="3"/>
  <c r="D434" i="3"/>
  <c r="AK434" i="3"/>
  <c r="C434" i="3"/>
  <c r="S434" i="3"/>
  <c r="Q434" i="3"/>
  <c r="P434" i="3"/>
  <c r="AD434" i="3"/>
  <c r="O434" i="3"/>
  <c r="AE434" i="3"/>
  <c r="U434" i="3"/>
  <c r="V434" i="3"/>
  <c r="M434" i="3"/>
  <c r="AF434" i="3"/>
  <c r="G434" i="3"/>
  <c r="H434" i="3" s="1"/>
  <c r="R434" i="3"/>
  <c r="F434" i="3"/>
  <c r="BF430" i="3"/>
  <c r="BJ429" i="3" s="1"/>
  <c r="BK429" i="3" s="1"/>
  <c r="BQ430" i="3"/>
  <c r="BB430" i="3"/>
  <c r="AT432" i="3"/>
  <c r="AW432" i="3"/>
  <c r="Y433" i="3"/>
  <c r="Z433" i="3" s="1"/>
  <c r="AG433" i="3"/>
  <c r="AH433" i="3"/>
  <c r="AO433" i="3"/>
  <c r="X433" i="3"/>
  <c r="BC431" i="3" l="1"/>
  <c r="BD431" i="3" s="1"/>
  <c r="BD430" i="3"/>
  <c r="BM434" i="3"/>
  <c r="AO434" i="3"/>
  <c r="BN434" i="3"/>
  <c r="AY432" i="3"/>
  <c r="AH434" i="3"/>
  <c r="AT433" i="3"/>
  <c r="AX433" i="3"/>
  <c r="Y434" i="3"/>
  <c r="Z434" i="3" s="1"/>
  <c r="BF431" i="3"/>
  <c r="BJ430" i="3" s="1"/>
  <c r="BK430" i="3" s="1"/>
  <c r="BB431" i="3"/>
  <c r="BQ431" i="3"/>
  <c r="AU433" i="3"/>
  <c r="AW433" i="3"/>
  <c r="AG434" i="3"/>
  <c r="X434" i="3"/>
  <c r="AN434" i="3"/>
  <c r="AV432" i="3"/>
  <c r="BA432" i="3"/>
  <c r="A436" i="3"/>
  <c r="B435" i="3"/>
  <c r="AR435" i="3"/>
  <c r="AQ435" i="3"/>
  <c r="C435" i="3"/>
  <c r="AK435" i="3"/>
  <c r="AM435" i="3"/>
  <c r="D435" i="3"/>
  <c r="S435" i="3"/>
  <c r="Q435" i="3"/>
  <c r="AD435" i="3"/>
  <c r="R435" i="3"/>
  <c r="P435" i="3"/>
  <c r="AF435" i="3"/>
  <c r="M435" i="3"/>
  <c r="U435" i="3"/>
  <c r="O435" i="3"/>
  <c r="AE435" i="3"/>
  <c r="V435" i="3"/>
  <c r="G435" i="3"/>
  <c r="H435" i="3" s="1"/>
  <c r="F435" i="3"/>
  <c r="T435" i="3"/>
  <c r="BN435" i="3" l="1"/>
  <c r="BG431" i="3"/>
  <c r="BH431" i="3" s="1"/>
  <c r="BI431" i="3" s="1"/>
  <c r="AY433" i="3"/>
  <c r="BM435" i="3"/>
  <c r="BC432" i="3"/>
  <c r="BG432" i="3" s="1"/>
  <c r="BH432" i="3" s="1"/>
  <c r="BI432" i="3" s="1"/>
  <c r="AO435" i="3"/>
  <c r="AX434" i="3"/>
  <c r="AU434" i="3"/>
  <c r="AG435" i="3"/>
  <c r="Y435" i="3"/>
  <c r="Z435" i="3" s="1"/>
  <c r="BA433" i="3"/>
  <c r="BB433" i="3" s="1"/>
  <c r="BF432" i="3"/>
  <c r="BJ431" i="3" s="1"/>
  <c r="BK431" i="3" s="1"/>
  <c r="BB432" i="3"/>
  <c r="BQ432" i="3"/>
  <c r="A437" i="3"/>
  <c r="B436" i="3"/>
  <c r="AQ436" i="3"/>
  <c r="AR436" i="3"/>
  <c r="D436" i="3"/>
  <c r="C436" i="3"/>
  <c r="S436" i="3"/>
  <c r="Q436" i="3"/>
  <c r="AK436" i="3"/>
  <c r="AM436" i="3"/>
  <c r="R436" i="3"/>
  <c r="P436" i="3"/>
  <c r="AD436" i="3"/>
  <c r="O436" i="3"/>
  <c r="M436" i="3"/>
  <c r="AF436" i="3"/>
  <c r="U436" i="3"/>
  <c r="AE436" i="3"/>
  <c r="V436" i="3"/>
  <c r="F436" i="3"/>
  <c r="G436" i="3"/>
  <c r="H436" i="3" s="1"/>
  <c r="T436" i="3"/>
  <c r="AH435" i="3"/>
  <c r="AN435" i="3"/>
  <c r="X435" i="3"/>
  <c r="AV433" i="3"/>
  <c r="AT434" i="3"/>
  <c r="AW434" i="3"/>
  <c r="BN436" i="3" l="1"/>
  <c r="AU435" i="3"/>
  <c r="BM436" i="3"/>
  <c r="BC433" i="3"/>
  <c r="BD433" i="3" s="1"/>
  <c r="BD432" i="3"/>
  <c r="AN436" i="3"/>
  <c r="AY434" i="3"/>
  <c r="AG436" i="3"/>
  <c r="AX435" i="3"/>
  <c r="BF433" i="3"/>
  <c r="BJ432" i="3" s="1"/>
  <c r="BK432" i="3" s="1"/>
  <c r="BQ433" i="3"/>
  <c r="Y436" i="3"/>
  <c r="Z436" i="3" s="1"/>
  <c r="AV434" i="3"/>
  <c r="BA434" i="3"/>
  <c r="AR437" i="3"/>
  <c r="B437" i="3"/>
  <c r="AQ437" i="3"/>
  <c r="A438" i="3"/>
  <c r="D437" i="3"/>
  <c r="C437" i="3"/>
  <c r="S437" i="3"/>
  <c r="AK437" i="3"/>
  <c r="AM437" i="3"/>
  <c r="T437" i="3"/>
  <c r="Q437" i="3"/>
  <c r="AD437" i="3"/>
  <c r="R437" i="3"/>
  <c r="O437" i="3"/>
  <c r="P437" i="3"/>
  <c r="M437" i="3"/>
  <c r="V437" i="3"/>
  <c r="AE437" i="3"/>
  <c r="AF437" i="3"/>
  <c r="U437" i="3"/>
  <c r="G437" i="3"/>
  <c r="H437" i="3" s="1"/>
  <c r="F437" i="3"/>
  <c r="BM437" i="3" s="1"/>
  <c r="X436" i="3"/>
  <c r="AT435" i="3"/>
  <c r="AW435" i="3"/>
  <c r="AH436" i="3"/>
  <c r="AO436" i="3"/>
  <c r="BG433" i="3" l="1"/>
  <c r="BH433" i="3" s="1"/>
  <c r="BI433" i="3" s="1"/>
  <c r="BC434" i="3"/>
  <c r="BG434" i="3" s="1"/>
  <c r="BH434" i="3" s="1"/>
  <c r="BI434" i="3" s="1"/>
  <c r="BN437" i="3"/>
  <c r="AT436" i="3"/>
  <c r="AG437" i="3"/>
  <c r="AU436" i="3"/>
  <c r="AY435" i="3"/>
  <c r="AO437" i="3"/>
  <c r="AW436" i="3"/>
  <c r="AV435" i="3"/>
  <c r="BA435" i="3"/>
  <c r="Y437" i="3"/>
  <c r="Z437" i="3" s="1"/>
  <c r="AX436" i="3"/>
  <c r="AN437" i="3"/>
  <c r="AR438" i="3"/>
  <c r="A439" i="3"/>
  <c r="B438" i="3"/>
  <c r="AQ438" i="3"/>
  <c r="D438" i="3"/>
  <c r="C438" i="3"/>
  <c r="AM438" i="3"/>
  <c r="AK438" i="3"/>
  <c r="S438" i="3"/>
  <c r="R438" i="3"/>
  <c r="P438" i="3"/>
  <c r="Q438" i="3"/>
  <c r="AD438" i="3"/>
  <c r="O438" i="3"/>
  <c r="M438" i="3"/>
  <c r="AF438" i="3"/>
  <c r="V438" i="3"/>
  <c r="AE438" i="3"/>
  <c r="U438" i="3"/>
  <c r="F438" i="3"/>
  <c r="G438" i="3"/>
  <c r="H438" i="3" s="1"/>
  <c r="T438" i="3"/>
  <c r="BB434" i="3"/>
  <c r="BF434" i="3"/>
  <c r="BJ433" i="3" s="1"/>
  <c r="BK433" i="3" s="1"/>
  <c r="BQ434" i="3"/>
  <c r="AH437" i="3"/>
  <c r="X437" i="3"/>
  <c r="BN438" i="3" l="1"/>
  <c r="BM438" i="3"/>
  <c r="BD434" i="3"/>
  <c r="AY436" i="3"/>
  <c r="AV436" i="3"/>
  <c r="AT437" i="3"/>
  <c r="BC435" i="3"/>
  <c r="BG435" i="3" s="1"/>
  <c r="BH435" i="3" s="1"/>
  <c r="BI435" i="3" s="1"/>
  <c r="AO438" i="3"/>
  <c r="Y438" i="3"/>
  <c r="Z438" i="3" s="1"/>
  <c r="BA436" i="3"/>
  <c r="BF436" i="3" s="1"/>
  <c r="AW437" i="3"/>
  <c r="AH438" i="3"/>
  <c r="AN438" i="3"/>
  <c r="AU437" i="3"/>
  <c r="A440" i="3"/>
  <c r="B439" i="3"/>
  <c r="AR439" i="3"/>
  <c r="AQ439" i="3"/>
  <c r="C439" i="3"/>
  <c r="AK439" i="3"/>
  <c r="AM439" i="3"/>
  <c r="T439" i="3"/>
  <c r="S439" i="3"/>
  <c r="D439" i="3"/>
  <c r="Q439" i="3"/>
  <c r="R439" i="3"/>
  <c r="AD439" i="3"/>
  <c r="P439" i="3"/>
  <c r="O439" i="3"/>
  <c r="AE439" i="3"/>
  <c r="M439" i="3"/>
  <c r="AF439" i="3"/>
  <c r="V439" i="3"/>
  <c r="U439" i="3"/>
  <c r="F439" i="3"/>
  <c r="BM439" i="3" s="1"/>
  <c r="G439" i="3"/>
  <c r="H439" i="3" s="1"/>
  <c r="BQ435" i="3"/>
  <c r="BB435" i="3"/>
  <c r="BF435" i="3"/>
  <c r="BJ434" i="3" s="1"/>
  <c r="BK434" i="3" s="1"/>
  <c r="AG438" i="3"/>
  <c r="X438" i="3"/>
  <c r="AX437" i="3"/>
  <c r="BN439" i="3" l="1"/>
  <c r="BD435" i="3"/>
  <c r="BC436" i="3"/>
  <c r="BG436" i="3" s="1"/>
  <c r="BH436" i="3" s="1"/>
  <c r="BI436" i="3" s="1"/>
  <c r="BQ436" i="3"/>
  <c r="AH439" i="3"/>
  <c r="AW438" i="3"/>
  <c r="AN439" i="3"/>
  <c r="AU438" i="3"/>
  <c r="AT438" i="3"/>
  <c r="BB436" i="3"/>
  <c r="BA437" i="3"/>
  <c r="BQ437" i="3" s="1"/>
  <c r="Y439" i="3"/>
  <c r="Z439" i="3" s="1"/>
  <c r="BJ435" i="3"/>
  <c r="BK435" i="3" s="1"/>
  <c r="AG439" i="3"/>
  <c r="AO439" i="3"/>
  <c r="AY437" i="3"/>
  <c r="AV437" i="3"/>
  <c r="A441" i="3"/>
  <c r="B440" i="3"/>
  <c r="AQ440" i="3"/>
  <c r="AR440" i="3"/>
  <c r="D440" i="3"/>
  <c r="T440" i="3"/>
  <c r="C440" i="3"/>
  <c r="AK440" i="3"/>
  <c r="AM440" i="3"/>
  <c r="S440" i="3"/>
  <c r="R440" i="3"/>
  <c r="AD440" i="3"/>
  <c r="P440" i="3"/>
  <c r="O440" i="3"/>
  <c r="AE440" i="3"/>
  <c r="AF440" i="3"/>
  <c r="U440" i="3"/>
  <c r="M440" i="3"/>
  <c r="V440" i="3"/>
  <c r="Q440" i="3"/>
  <c r="F440" i="3"/>
  <c r="G440" i="3"/>
  <c r="H440" i="3" s="1"/>
  <c r="X439" i="3"/>
  <c r="AX438" i="3"/>
  <c r="BM440" i="3" l="1"/>
  <c r="BD436" i="3"/>
  <c r="BN440" i="3"/>
  <c r="AV438" i="3"/>
  <c r="AU439" i="3"/>
  <c r="AT439" i="3"/>
  <c r="AO440" i="3"/>
  <c r="AW439" i="3"/>
  <c r="BA438" i="3"/>
  <c r="BF438" i="3" s="1"/>
  <c r="BF437" i="3"/>
  <c r="BJ436" i="3" s="1"/>
  <c r="BK436" i="3" s="1"/>
  <c r="BB437" i="3"/>
  <c r="Y440" i="3"/>
  <c r="Z440" i="3" s="1"/>
  <c r="AR441" i="3"/>
  <c r="B441" i="3"/>
  <c r="AQ441" i="3"/>
  <c r="A442" i="3"/>
  <c r="D441" i="3"/>
  <c r="C441" i="3"/>
  <c r="AK441" i="3"/>
  <c r="AM441" i="3"/>
  <c r="Q441" i="3"/>
  <c r="S441" i="3"/>
  <c r="AD441" i="3"/>
  <c r="P441" i="3"/>
  <c r="T441" i="3"/>
  <c r="O441" i="3"/>
  <c r="M441" i="3"/>
  <c r="AE441" i="3"/>
  <c r="AF441" i="3"/>
  <c r="U441" i="3"/>
  <c r="V441" i="3"/>
  <c r="G441" i="3"/>
  <c r="H441" i="3" s="1"/>
  <c r="R441" i="3"/>
  <c r="F441" i="3"/>
  <c r="BM441" i="3" s="1"/>
  <c r="AH440" i="3"/>
  <c r="AY438" i="3"/>
  <c r="AG440" i="3"/>
  <c r="AN440" i="3"/>
  <c r="X440" i="3"/>
  <c r="BC437" i="3"/>
  <c r="AX439" i="3"/>
  <c r="BC438" i="3" l="1"/>
  <c r="BD438" i="3" s="1"/>
  <c r="AV439" i="3"/>
  <c r="BJ437" i="3"/>
  <c r="BK437" i="3" s="1"/>
  <c r="BB438" i="3"/>
  <c r="BQ438" i="3"/>
  <c r="BA439" i="3"/>
  <c r="BB439" i="3" s="1"/>
  <c r="AO441" i="3"/>
  <c r="AT440" i="3"/>
  <c r="AU440" i="3"/>
  <c r="AY439" i="3"/>
  <c r="BD437" i="3"/>
  <c r="BG437" i="3"/>
  <c r="BH437" i="3" s="1"/>
  <c r="BI437" i="3" s="1"/>
  <c r="AR442" i="3"/>
  <c r="AQ442" i="3"/>
  <c r="B442" i="3"/>
  <c r="A443" i="3"/>
  <c r="C442" i="3"/>
  <c r="AK442" i="3"/>
  <c r="S442" i="3"/>
  <c r="AM442" i="3"/>
  <c r="D442" i="3"/>
  <c r="T442" i="3"/>
  <c r="Q442" i="3"/>
  <c r="R442" i="3"/>
  <c r="AD442" i="3"/>
  <c r="P442" i="3"/>
  <c r="O442" i="3"/>
  <c r="U442" i="3"/>
  <c r="AF442" i="3"/>
  <c r="M442" i="3"/>
  <c r="AE442" i="3"/>
  <c r="V442" i="3"/>
  <c r="G442" i="3"/>
  <c r="H442" i="3" s="1"/>
  <c r="F442" i="3"/>
  <c r="AH441" i="3"/>
  <c r="AW440" i="3"/>
  <c r="BN441" i="3"/>
  <c r="AG441" i="3"/>
  <c r="AN441" i="3"/>
  <c r="X441" i="3"/>
  <c r="Y441" i="3"/>
  <c r="Z441" i="3" s="1"/>
  <c r="AX440" i="3"/>
  <c r="BN442" i="3" l="1"/>
  <c r="BG438" i="3"/>
  <c r="BH438" i="3" s="1"/>
  <c r="BI438" i="3" s="1"/>
  <c r="BC439" i="3"/>
  <c r="BG439" i="3" s="1"/>
  <c r="BH439" i="3" s="1"/>
  <c r="BI439" i="3" s="1"/>
  <c r="AG442" i="3"/>
  <c r="BQ439" i="3"/>
  <c r="AT441" i="3"/>
  <c r="BF439" i="3"/>
  <c r="BJ438" i="3" s="1"/>
  <c r="BK438" i="3" s="1"/>
  <c r="AV440" i="3"/>
  <c r="AN442" i="3"/>
  <c r="AR443" i="3"/>
  <c r="B443" i="3"/>
  <c r="AQ443" i="3"/>
  <c r="A444" i="3"/>
  <c r="D443" i="3"/>
  <c r="C443" i="3"/>
  <c r="AM443" i="3"/>
  <c r="AK443" i="3"/>
  <c r="S443" i="3"/>
  <c r="R443" i="3"/>
  <c r="Q443" i="3"/>
  <c r="AD443" i="3"/>
  <c r="P443" i="3"/>
  <c r="AE443" i="3"/>
  <c r="O443" i="3"/>
  <c r="U443" i="3"/>
  <c r="M443" i="3"/>
  <c r="AF443" i="3"/>
  <c r="V443" i="3"/>
  <c r="G443" i="3"/>
  <c r="H443" i="3" s="1"/>
  <c r="F443" i="3"/>
  <c r="T443" i="3"/>
  <c r="AX441" i="3"/>
  <c r="AU441" i="3"/>
  <c r="AW441" i="3"/>
  <c r="AY440" i="3"/>
  <c r="BM442" i="3"/>
  <c r="AO442" i="3"/>
  <c r="AH442" i="3"/>
  <c r="Y442" i="3"/>
  <c r="Z442" i="3" s="1"/>
  <c r="X442" i="3"/>
  <c r="BA440" i="3"/>
  <c r="BD439" i="3" l="1"/>
  <c r="AY441" i="3"/>
  <c r="BN443" i="3"/>
  <c r="BC440" i="3"/>
  <c r="BG440" i="3" s="1"/>
  <c r="BH440" i="3" s="1"/>
  <c r="BI440" i="3" s="1"/>
  <c r="AX442" i="3"/>
  <c r="AO443" i="3"/>
  <c r="BA441" i="3"/>
  <c r="BQ441" i="3" s="1"/>
  <c r="AG443" i="3"/>
  <c r="AT442" i="3"/>
  <c r="AW442" i="3"/>
  <c r="AU442" i="3"/>
  <c r="BM443" i="3"/>
  <c r="AN443" i="3"/>
  <c r="AV441" i="3"/>
  <c r="BQ440" i="3"/>
  <c r="BF440" i="3"/>
  <c r="BJ439" i="3" s="1"/>
  <c r="BK439" i="3" s="1"/>
  <c r="BB440" i="3"/>
  <c r="AQ444" i="3"/>
  <c r="AR444" i="3"/>
  <c r="B444" i="3"/>
  <c r="A445" i="3"/>
  <c r="D444" i="3"/>
  <c r="C444" i="3"/>
  <c r="AK444" i="3"/>
  <c r="AM444" i="3"/>
  <c r="T444" i="3"/>
  <c r="S444" i="3"/>
  <c r="Q444" i="3"/>
  <c r="AD444" i="3"/>
  <c r="P444" i="3"/>
  <c r="M444" i="3"/>
  <c r="AE444" i="3"/>
  <c r="AF444" i="3"/>
  <c r="V444" i="3"/>
  <c r="O444" i="3"/>
  <c r="U444" i="3"/>
  <c r="F444" i="3"/>
  <c r="G444" i="3"/>
  <c r="H444" i="3" s="1"/>
  <c r="BN444" i="3" s="1"/>
  <c r="R444" i="3"/>
  <c r="Y443" i="3"/>
  <c r="Z443" i="3" s="1"/>
  <c r="AH443" i="3"/>
  <c r="X443" i="3"/>
  <c r="BC441" i="3" l="1"/>
  <c r="BG441" i="3" s="1"/>
  <c r="BH441" i="3" s="1"/>
  <c r="BI441" i="3" s="1"/>
  <c r="BM444" i="3"/>
  <c r="BD440" i="3"/>
  <c r="AY442" i="3"/>
  <c r="AX443" i="3"/>
  <c r="BF441" i="3"/>
  <c r="BJ440" i="3" s="1"/>
  <c r="BK440" i="3" s="1"/>
  <c r="AH444" i="3"/>
  <c r="BB441" i="3"/>
  <c r="AN444" i="3"/>
  <c r="AO444" i="3"/>
  <c r="Y444" i="3"/>
  <c r="Z444" i="3" s="1"/>
  <c r="AG444" i="3"/>
  <c r="AU443" i="3"/>
  <c r="AW443" i="3"/>
  <c r="A446" i="3"/>
  <c r="AQ445" i="3"/>
  <c r="B445" i="3"/>
  <c r="AR445" i="3"/>
  <c r="C445" i="3"/>
  <c r="AK445" i="3"/>
  <c r="AM445" i="3"/>
  <c r="S445" i="3"/>
  <c r="D445" i="3"/>
  <c r="R445" i="3"/>
  <c r="Q445" i="3"/>
  <c r="P445" i="3"/>
  <c r="AD445" i="3"/>
  <c r="O445" i="3"/>
  <c r="M445" i="3"/>
  <c r="AE445" i="3"/>
  <c r="U445" i="3"/>
  <c r="AF445" i="3"/>
  <c r="V445" i="3"/>
  <c r="G445" i="3"/>
  <c r="H445" i="3" s="1"/>
  <c r="F445" i="3"/>
  <c r="T445" i="3"/>
  <c r="BA442" i="3"/>
  <c r="AV442" i="3"/>
  <c r="X444" i="3"/>
  <c r="AT443" i="3"/>
  <c r="BM445" i="3" l="1"/>
  <c r="BD441" i="3"/>
  <c r="BC442" i="3"/>
  <c r="BG442" i="3" s="1"/>
  <c r="BH442" i="3" s="1"/>
  <c r="BI442" i="3" s="1"/>
  <c r="AT444" i="3"/>
  <c r="BN445" i="3"/>
  <c r="AY443" i="3"/>
  <c r="AO445" i="3"/>
  <c r="AW444" i="3"/>
  <c r="AN445" i="3"/>
  <c r="Y445" i="3"/>
  <c r="Z445" i="3" s="1"/>
  <c r="BA443" i="3"/>
  <c r="BB443" i="3" s="1"/>
  <c r="AG445" i="3"/>
  <c r="AU444" i="3"/>
  <c r="AX444" i="3"/>
  <c r="BB442" i="3"/>
  <c r="BF442" i="3"/>
  <c r="BJ441" i="3" s="1"/>
  <c r="BK441" i="3" s="1"/>
  <c r="BQ442" i="3"/>
  <c r="B446" i="3"/>
  <c r="A447" i="3"/>
  <c r="AQ446" i="3"/>
  <c r="AR446" i="3"/>
  <c r="C446" i="3"/>
  <c r="D446" i="3"/>
  <c r="S446" i="3"/>
  <c r="R446" i="3"/>
  <c r="AM446" i="3"/>
  <c r="AK446" i="3"/>
  <c r="P446" i="3"/>
  <c r="Q446" i="3"/>
  <c r="AD446" i="3"/>
  <c r="AE446" i="3"/>
  <c r="O446" i="3"/>
  <c r="AF446" i="3"/>
  <c r="M446" i="3"/>
  <c r="V446" i="3"/>
  <c r="U446" i="3"/>
  <c r="G446" i="3"/>
  <c r="H446" i="3" s="1"/>
  <c r="F446" i="3"/>
  <c r="BM446" i="3" s="1"/>
  <c r="T446" i="3"/>
  <c r="AH445" i="3"/>
  <c r="X445" i="3"/>
  <c r="AV443" i="3"/>
  <c r="BD442" i="3" l="1"/>
  <c r="BC443" i="3"/>
  <c r="BD443" i="3" s="1"/>
  <c r="BN446" i="3"/>
  <c r="AV444" i="3"/>
  <c r="AY444" i="3"/>
  <c r="BF443" i="3"/>
  <c r="BJ442" i="3" s="1"/>
  <c r="BK442" i="3" s="1"/>
  <c r="AX445" i="3"/>
  <c r="AO446" i="3"/>
  <c r="BQ443" i="3"/>
  <c r="BA444" i="3"/>
  <c r="BQ444" i="3" s="1"/>
  <c r="AH446" i="3"/>
  <c r="Y446" i="3"/>
  <c r="Z446" i="3" s="1"/>
  <c r="B447" i="3"/>
  <c r="AQ447" i="3"/>
  <c r="AR447" i="3"/>
  <c r="A448" i="3"/>
  <c r="C447" i="3"/>
  <c r="D447" i="3"/>
  <c r="S447" i="3"/>
  <c r="Q447" i="3"/>
  <c r="AM447" i="3"/>
  <c r="AK447" i="3"/>
  <c r="AD447" i="3"/>
  <c r="P447" i="3"/>
  <c r="O447" i="3"/>
  <c r="AE447" i="3"/>
  <c r="U447" i="3"/>
  <c r="M447" i="3"/>
  <c r="AF447" i="3"/>
  <c r="V447" i="3"/>
  <c r="F447" i="3"/>
  <c r="R447" i="3"/>
  <c r="G447" i="3"/>
  <c r="H447" i="3" s="1"/>
  <c r="T447" i="3"/>
  <c r="AG446" i="3"/>
  <c r="AU445" i="3"/>
  <c r="AW445" i="3"/>
  <c r="AN446" i="3"/>
  <c r="X446" i="3"/>
  <c r="AT445" i="3"/>
  <c r="BG443" i="3" l="1"/>
  <c r="BH443" i="3" s="1"/>
  <c r="BI443" i="3" s="1"/>
  <c r="BM447" i="3"/>
  <c r="AU446" i="3"/>
  <c r="AX446" i="3"/>
  <c r="BC444" i="3"/>
  <c r="BD444" i="3" s="1"/>
  <c r="AO447" i="3"/>
  <c r="AY445" i="3"/>
  <c r="BB444" i="3"/>
  <c r="AT446" i="3"/>
  <c r="AG447" i="3"/>
  <c r="BF444" i="3"/>
  <c r="BJ443" i="3" s="1"/>
  <c r="BK443" i="3" s="1"/>
  <c r="Y447" i="3"/>
  <c r="Z447" i="3" s="1"/>
  <c r="AV445" i="3"/>
  <c r="BA445" i="3"/>
  <c r="AW446" i="3"/>
  <c r="BN447" i="3"/>
  <c r="AH447" i="3"/>
  <c r="AN447" i="3"/>
  <c r="X447" i="3"/>
  <c r="AR448" i="3"/>
  <c r="B448" i="3"/>
  <c r="AQ448" i="3"/>
  <c r="A449" i="3"/>
  <c r="AM448" i="3"/>
  <c r="AK448" i="3"/>
  <c r="S448" i="3"/>
  <c r="D448" i="3"/>
  <c r="C448" i="3"/>
  <c r="Q448" i="3"/>
  <c r="R448" i="3"/>
  <c r="AD448" i="3"/>
  <c r="P448" i="3"/>
  <c r="V448" i="3"/>
  <c r="U448" i="3"/>
  <c r="O448" i="3"/>
  <c r="AE448" i="3"/>
  <c r="AF448" i="3"/>
  <c r="M448" i="3"/>
  <c r="G448" i="3"/>
  <c r="H448" i="3" s="1"/>
  <c r="F448" i="3"/>
  <c r="T448" i="3"/>
  <c r="BM448" i="3" l="1"/>
  <c r="BN448" i="3"/>
  <c r="AV446" i="3"/>
  <c r="AT447" i="3"/>
  <c r="AY446" i="3"/>
  <c r="BC445" i="3"/>
  <c r="BG445" i="3" s="1"/>
  <c r="BH445" i="3" s="1"/>
  <c r="BI445" i="3" s="1"/>
  <c r="BG444" i="3"/>
  <c r="BH444" i="3" s="1"/>
  <c r="BI444" i="3" s="1"/>
  <c r="AO448" i="3"/>
  <c r="AW447" i="3"/>
  <c r="AU447" i="3"/>
  <c r="Y448" i="3"/>
  <c r="Z448" i="3" s="1"/>
  <c r="AH448" i="3"/>
  <c r="AG448" i="3"/>
  <c r="X448" i="3"/>
  <c r="AN448" i="3"/>
  <c r="AX447" i="3"/>
  <c r="BA446" i="3"/>
  <c r="AQ449" i="3"/>
  <c r="B449" i="3"/>
  <c r="A450" i="3"/>
  <c r="AR449" i="3"/>
  <c r="C449" i="3"/>
  <c r="AK449" i="3"/>
  <c r="T449" i="3"/>
  <c r="Q449" i="3"/>
  <c r="D449" i="3"/>
  <c r="AM449" i="3"/>
  <c r="R449" i="3"/>
  <c r="S449" i="3"/>
  <c r="AD449" i="3"/>
  <c r="P449" i="3"/>
  <c r="AE449" i="3"/>
  <c r="M449" i="3"/>
  <c r="AF449" i="3"/>
  <c r="U449" i="3"/>
  <c r="O449" i="3"/>
  <c r="V449" i="3"/>
  <c r="G449" i="3"/>
  <c r="H449" i="3" s="1"/>
  <c r="F449" i="3"/>
  <c r="BB445" i="3"/>
  <c r="BF445" i="3"/>
  <c r="BJ444" i="3" s="1"/>
  <c r="BK444" i="3" s="1"/>
  <c r="BQ445" i="3"/>
  <c r="BN449" i="3" l="1"/>
  <c r="AV447" i="3"/>
  <c r="BC446" i="3"/>
  <c r="BD446" i="3" s="1"/>
  <c r="BD445" i="3"/>
  <c r="AU448" i="3"/>
  <c r="AX448" i="3"/>
  <c r="AN449" i="3"/>
  <c r="BM449" i="3"/>
  <c r="AH449" i="3"/>
  <c r="AT448" i="3"/>
  <c r="BA447" i="3"/>
  <c r="BB447" i="3" s="1"/>
  <c r="AY447" i="3"/>
  <c r="Y449" i="3"/>
  <c r="Z449" i="3" s="1"/>
  <c r="AQ450" i="3"/>
  <c r="B450" i="3"/>
  <c r="A451" i="3"/>
  <c r="AR450" i="3"/>
  <c r="C450" i="3"/>
  <c r="D450" i="3"/>
  <c r="S450" i="3"/>
  <c r="AM450" i="3"/>
  <c r="AK450" i="3"/>
  <c r="Q450" i="3"/>
  <c r="R450" i="3"/>
  <c r="AD450" i="3"/>
  <c r="P450" i="3"/>
  <c r="M450" i="3"/>
  <c r="O450" i="3"/>
  <c r="AF450" i="3"/>
  <c r="AE450" i="3"/>
  <c r="U450" i="3"/>
  <c r="V450" i="3"/>
  <c r="F450" i="3"/>
  <c r="G450" i="3"/>
  <c r="H450" i="3" s="1"/>
  <c r="T450" i="3"/>
  <c r="AG449" i="3"/>
  <c r="X449" i="3"/>
  <c r="BQ446" i="3"/>
  <c r="BF446" i="3"/>
  <c r="BJ445" i="3" s="1"/>
  <c r="BK445" i="3" s="1"/>
  <c r="BB446" i="3"/>
  <c r="AO449" i="3"/>
  <c r="AW448" i="3"/>
  <c r="BC447" i="3" l="1"/>
  <c r="BD447" i="3" s="1"/>
  <c r="AT449" i="3"/>
  <c r="BG446" i="3"/>
  <c r="BH446" i="3" s="1"/>
  <c r="BI446" i="3" s="1"/>
  <c r="AV448" i="3"/>
  <c r="AY448" i="3"/>
  <c r="BN450" i="3"/>
  <c r="BF447" i="3"/>
  <c r="BJ446" i="3" s="1"/>
  <c r="BK446" i="3" s="1"/>
  <c r="BQ447" i="3"/>
  <c r="AX449" i="3"/>
  <c r="AO450" i="3"/>
  <c r="AU449" i="3"/>
  <c r="AG450" i="3"/>
  <c r="BA448" i="3"/>
  <c r="BB448" i="3" s="1"/>
  <c r="AW449" i="3"/>
  <c r="Y450" i="3"/>
  <c r="Z450" i="3" s="1"/>
  <c r="BM450" i="3"/>
  <c r="AH450" i="3"/>
  <c r="AN450" i="3"/>
  <c r="AR451" i="3"/>
  <c r="B451" i="3"/>
  <c r="AQ451" i="3"/>
  <c r="A452" i="3"/>
  <c r="D451" i="3"/>
  <c r="C451" i="3"/>
  <c r="AK451" i="3"/>
  <c r="AM451" i="3"/>
  <c r="S451" i="3"/>
  <c r="Q451" i="3"/>
  <c r="R451" i="3"/>
  <c r="T451" i="3"/>
  <c r="AD451" i="3"/>
  <c r="P451" i="3"/>
  <c r="O451" i="3"/>
  <c r="AE451" i="3"/>
  <c r="AF451" i="3"/>
  <c r="V451" i="3"/>
  <c r="U451" i="3"/>
  <c r="M451" i="3"/>
  <c r="F451" i="3"/>
  <c r="G451" i="3"/>
  <c r="H451" i="3" s="1"/>
  <c r="X450" i="3"/>
  <c r="BG447" i="3" l="1"/>
  <c r="BH447" i="3" s="1"/>
  <c r="BI447" i="3" s="1"/>
  <c r="AV449" i="3"/>
  <c r="BC448" i="3"/>
  <c r="BG448" i="3" s="1"/>
  <c r="BH448" i="3" s="1"/>
  <c r="BI448" i="3" s="1"/>
  <c r="BF448" i="3"/>
  <c r="BJ447" i="3" s="1"/>
  <c r="BK447" i="3" s="1"/>
  <c r="BM451" i="3"/>
  <c r="AO451" i="3"/>
  <c r="BQ448" i="3"/>
  <c r="AT450" i="3"/>
  <c r="AY449" i="3"/>
  <c r="AU450" i="3"/>
  <c r="AW450" i="3"/>
  <c r="Y451" i="3"/>
  <c r="Z451" i="3" s="1"/>
  <c r="AQ452" i="3"/>
  <c r="AR452" i="3"/>
  <c r="B452" i="3"/>
  <c r="A453" i="3"/>
  <c r="D452" i="3"/>
  <c r="C452" i="3"/>
  <c r="AM452" i="3"/>
  <c r="AK452" i="3"/>
  <c r="Q452" i="3"/>
  <c r="R452" i="3"/>
  <c r="T452" i="3"/>
  <c r="S452" i="3"/>
  <c r="AD452" i="3"/>
  <c r="P452" i="3"/>
  <c r="O452" i="3"/>
  <c r="AE452" i="3"/>
  <c r="M452" i="3"/>
  <c r="AF452" i="3"/>
  <c r="U452" i="3"/>
  <c r="V452" i="3"/>
  <c r="G452" i="3"/>
  <c r="H452" i="3" s="1"/>
  <c r="BN452" i="3" s="1"/>
  <c r="F452" i="3"/>
  <c r="BM452" i="3" s="1"/>
  <c r="AH451" i="3"/>
  <c r="BN451" i="3"/>
  <c r="AG451" i="3"/>
  <c r="AN451" i="3"/>
  <c r="X451" i="3"/>
  <c r="AX450" i="3"/>
  <c r="BA449" i="3"/>
  <c r="BC449" i="3" l="1"/>
  <c r="BG449" i="3" s="1"/>
  <c r="BH449" i="3" s="1"/>
  <c r="BI449" i="3" s="1"/>
  <c r="BD448" i="3"/>
  <c r="AV450" i="3"/>
  <c r="AO452" i="3"/>
  <c r="BA450" i="3"/>
  <c r="BQ450" i="3" s="1"/>
  <c r="AG452" i="3"/>
  <c r="AU451" i="3"/>
  <c r="A454" i="3"/>
  <c r="AQ453" i="3"/>
  <c r="B453" i="3"/>
  <c r="AR453" i="3"/>
  <c r="C453" i="3"/>
  <c r="S453" i="3"/>
  <c r="R453" i="3"/>
  <c r="D453" i="3"/>
  <c r="AK453" i="3"/>
  <c r="AM453" i="3"/>
  <c r="AD453" i="3"/>
  <c r="Q453" i="3"/>
  <c r="P453" i="3"/>
  <c r="AE453" i="3"/>
  <c r="O453" i="3"/>
  <c r="M453" i="3"/>
  <c r="AF453" i="3"/>
  <c r="U453" i="3"/>
  <c r="V453" i="3"/>
  <c r="F453" i="3"/>
  <c r="G453" i="3"/>
  <c r="H453" i="3" s="1"/>
  <c r="T453" i="3"/>
  <c r="Y452" i="3"/>
  <c r="Z452" i="3" s="1"/>
  <c r="AH452" i="3"/>
  <c r="AY450" i="3"/>
  <c r="AN452" i="3"/>
  <c r="BF449" i="3"/>
  <c r="BJ448" i="3" s="1"/>
  <c r="BK448" i="3" s="1"/>
  <c r="BB449" i="3"/>
  <c r="BQ449" i="3"/>
  <c r="AT451" i="3"/>
  <c r="AW451" i="3"/>
  <c r="AX451" i="3"/>
  <c r="X452" i="3"/>
  <c r="BD449" i="3" l="1"/>
  <c r="BC450" i="3"/>
  <c r="BD450" i="3" s="1"/>
  <c r="BN453" i="3"/>
  <c r="BM453" i="3"/>
  <c r="BF450" i="3"/>
  <c r="BJ449" i="3" s="1"/>
  <c r="BK449" i="3" s="1"/>
  <c r="BB450" i="3"/>
  <c r="AX452" i="3"/>
  <c r="AU452" i="3"/>
  <c r="AO453" i="3"/>
  <c r="AT452" i="3"/>
  <c r="AW452" i="3"/>
  <c r="AY451" i="3"/>
  <c r="AV451" i="3"/>
  <c r="BA451" i="3"/>
  <c r="Y453" i="3"/>
  <c r="Z453" i="3" s="1"/>
  <c r="AG453" i="3"/>
  <c r="AN453" i="3"/>
  <c r="B454" i="3"/>
  <c r="A455" i="3"/>
  <c r="AQ454" i="3"/>
  <c r="AR454" i="3"/>
  <c r="C454" i="3"/>
  <c r="D454" i="3"/>
  <c r="AK454" i="3"/>
  <c r="T454" i="3"/>
  <c r="AM454" i="3"/>
  <c r="S454" i="3"/>
  <c r="R454" i="3"/>
  <c r="Q454" i="3"/>
  <c r="AD454" i="3"/>
  <c r="P454" i="3"/>
  <c r="M454" i="3"/>
  <c r="AE454" i="3"/>
  <c r="O454" i="3"/>
  <c r="AF454" i="3"/>
  <c r="U454" i="3"/>
  <c r="V454" i="3"/>
  <c r="F454" i="3"/>
  <c r="G454" i="3"/>
  <c r="H454" i="3" s="1"/>
  <c r="AH453" i="3"/>
  <c r="X453" i="3"/>
  <c r="BN454" i="3" l="1"/>
  <c r="BM454" i="3"/>
  <c r="AV452" i="3"/>
  <c r="AY452" i="3"/>
  <c r="BG450" i="3"/>
  <c r="BH450" i="3" s="1"/>
  <c r="BI450" i="3" s="1"/>
  <c r="BA452" i="3"/>
  <c r="BF452" i="3" s="1"/>
  <c r="AN454" i="3"/>
  <c r="BC451" i="3"/>
  <c r="BG451" i="3" s="1"/>
  <c r="BH451" i="3" s="1"/>
  <c r="BI451" i="3" s="1"/>
  <c r="AU453" i="3"/>
  <c r="AX453" i="3"/>
  <c r="AH454" i="3"/>
  <c r="AO454" i="3"/>
  <c r="X454" i="3"/>
  <c r="AW453" i="3"/>
  <c r="Y454" i="3"/>
  <c r="Z454" i="3" s="1"/>
  <c r="B455" i="3"/>
  <c r="AQ455" i="3"/>
  <c r="AR455" i="3"/>
  <c r="A456" i="3"/>
  <c r="AK455" i="3"/>
  <c r="S455" i="3"/>
  <c r="D455" i="3"/>
  <c r="C455" i="3"/>
  <c r="AM455" i="3"/>
  <c r="R455" i="3"/>
  <c r="AD455" i="3"/>
  <c r="P455" i="3"/>
  <c r="O455" i="3"/>
  <c r="AE455" i="3"/>
  <c r="V455" i="3"/>
  <c r="AF455" i="3"/>
  <c r="M455" i="3"/>
  <c r="U455" i="3"/>
  <c r="Q455" i="3"/>
  <c r="G455" i="3"/>
  <c r="H455" i="3" s="1"/>
  <c r="F455" i="3"/>
  <c r="T455" i="3"/>
  <c r="BB451" i="3"/>
  <c r="BQ451" i="3"/>
  <c r="BF451" i="3"/>
  <c r="BJ450" i="3" s="1"/>
  <c r="BK450" i="3" s="1"/>
  <c r="AG454" i="3"/>
  <c r="AT453" i="3"/>
  <c r="BC452" i="3" l="1"/>
  <c r="BD452" i="3" s="1"/>
  <c r="AN455" i="3"/>
  <c r="BM455" i="3"/>
  <c r="BN455" i="3"/>
  <c r="BB452" i="3"/>
  <c r="BQ452" i="3"/>
  <c r="BD451" i="3"/>
  <c r="AW454" i="3"/>
  <c r="AH455" i="3"/>
  <c r="BA453" i="3"/>
  <c r="AV453" i="3"/>
  <c r="AR456" i="3"/>
  <c r="B456" i="3"/>
  <c r="AQ456" i="3"/>
  <c r="A457" i="3"/>
  <c r="C456" i="3"/>
  <c r="D456" i="3"/>
  <c r="AK456" i="3"/>
  <c r="S456" i="3"/>
  <c r="R456" i="3"/>
  <c r="AM456" i="3"/>
  <c r="Q456" i="3"/>
  <c r="AD456" i="3"/>
  <c r="P456" i="3"/>
  <c r="O456" i="3"/>
  <c r="M456" i="3"/>
  <c r="V456" i="3"/>
  <c r="AE456" i="3"/>
  <c r="AF456" i="3"/>
  <c r="U456" i="3"/>
  <c r="G456" i="3"/>
  <c r="H456" i="3" s="1"/>
  <c r="F456" i="3"/>
  <c r="BM456" i="3" s="1"/>
  <c r="T456" i="3"/>
  <c r="AT454" i="3"/>
  <c r="BJ451" i="3"/>
  <c r="BK451" i="3" s="1"/>
  <c r="Y455" i="3"/>
  <c r="Z455" i="3" s="1"/>
  <c r="AG455" i="3"/>
  <c r="X455" i="3"/>
  <c r="AX454" i="3"/>
  <c r="AO455" i="3"/>
  <c r="AU454" i="3"/>
  <c r="AY453" i="3"/>
  <c r="AU455" i="3" l="1"/>
  <c r="BN456" i="3"/>
  <c r="BG452" i="3"/>
  <c r="BH452" i="3" s="1"/>
  <c r="BI452" i="3" s="1"/>
  <c r="AO456" i="3"/>
  <c r="AY454" i="3"/>
  <c r="Y456" i="3"/>
  <c r="Z456" i="3" s="1"/>
  <c r="AT455" i="3"/>
  <c r="AX455" i="3"/>
  <c r="AG456" i="3"/>
  <c r="BQ453" i="3"/>
  <c r="BB453" i="3"/>
  <c r="BF453" i="3"/>
  <c r="BJ452" i="3" s="1"/>
  <c r="BK452" i="3" s="1"/>
  <c r="AV454" i="3"/>
  <c r="X456" i="3"/>
  <c r="AQ457" i="3"/>
  <c r="B457" i="3"/>
  <c r="A458" i="3"/>
  <c r="AR457" i="3"/>
  <c r="D457" i="3"/>
  <c r="AK457" i="3"/>
  <c r="C457" i="3"/>
  <c r="AM457" i="3"/>
  <c r="S457" i="3"/>
  <c r="Q457" i="3"/>
  <c r="R457" i="3"/>
  <c r="AD457" i="3"/>
  <c r="P457" i="3"/>
  <c r="O457" i="3"/>
  <c r="AE457" i="3"/>
  <c r="AF457" i="3"/>
  <c r="M457" i="3"/>
  <c r="V457" i="3"/>
  <c r="U457" i="3"/>
  <c r="F457" i="3"/>
  <c r="G457" i="3"/>
  <c r="H457" i="3" s="1"/>
  <c r="BN457" i="3" s="1"/>
  <c r="T457" i="3"/>
  <c r="BA454" i="3"/>
  <c r="AW455" i="3"/>
  <c r="AH456" i="3"/>
  <c r="AN456" i="3"/>
  <c r="BC453" i="3"/>
  <c r="AV455" i="3" l="1"/>
  <c r="AN457" i="3"/>
  <c r="BM457" i="3"/>
  <c r="BC454" i="3"/>
  <c r="BG454" i="3" s="1"/>
  <c r="BH454" i="3" s="1"/>
  <c r="BI454" i="3" s="1"/>
  <c r="AY455" i="3"/>
  <c r="Y457" i="3"/>
  <c r="Z457" i="3" s="1"/>
  <c r="AT456" i="3"/>
  <c r="BD453" i="3"/>
  <c r="BG453" i="3"/>
  <c r="BH453" i="3" s="1"/>
  <c r="BI453" i="3" s="1"/>
  <c r="AH457" i="3"/>
  <c r="AO457" i="3"/>
  <c r="BA455" i="3"/>
  <c r="BF454" i="3"/>
  <c r="BJ453" i="3" s="1"/>
  <c r="BK453" i="3" s="1"/>
  <c r="BQ454" i="3"/>
  <c r="BB454" i="3"/>
  <c r="AQ458" i="3"/>
  <c r="B458" i="3"/>
  <c r="A459" i="3"/>
  <c r="AR458" i="3"/>
  <c r="C458" i="3"/>
  <c r="D458" i="3"/>
  <c r="S458" i="3"/>
  <c r="R458" i="3"/>
  <c r="AK458" i="3"/>
  <c r="AM458" i="3"/>
  <c r="Q458" i="3"/>
  <c r="AD458" i="3"/>
  <c r="P458" i="3"/>
  <c r="M458" i="3"/>
  <c r="AE458" i="3"/>
  <c r="V458" i="3"/>
  <c r="O458" i="3"/>
  <c r="AF458" i="3"/>
  <c r="U458" i="3"/>
  <c r="G458" i="3"/>
  <c r="H458" i="3" s="1"/>
  <c r="F458" i="3"/>
  <c r="BM458" i="3" s="1"/>
  <c r="T458" i="3"/>
  <c r="AX456" i="3"/>
  <c r="AG457" i="3"/>
  <c r="X457" i="3"/>
  <c r="AU456" i="3"/>
  <c r="AW456" i="3"/>
  <c r="BC455" i="3" l="1"/>
  <c r="BG455" i="3" s="1"/>
  <c r="BH455" i="3" s="1"/>
  <c r="BI455" i="3" s="1"/>
  <c r="BN458" i="3"/>
  <c r="BD454" i="3"/>
  <c r="AO458" i="3"/>
  <c r="AG458" i="3"/>
  <c r="AU457" i="3"/>
  <c r="AY456" i="3"/>
  <c r="AW457" i="3"/>
  <c r="BA456" i="3"/>
  <c r="BF456" i="3" s="1"/>
  <c r="AR459" i="3"/>
  <c r="B459" i="3"/>
  <c r="AQ459" i="3"/>
  <c r="A460" i="3"/>
  <c r="D459" i="3"/>
  <c r="C459" i="3"/>
  <c r="AM459" i="3"/>
  <c r="AK459" i="3"/>
  <c r="T459" i="3"/>
  <c r="R459" i="3"/>
  <c r="S459" i="3"/>
  <c r="Q459" i="3"/>
  <c r="AD459" i="3"/>
  <c r="O459" i="3"/>
  <c r="AE459" i="3"/>
  <c r="V459" i="3"/>
  <c r="P459" i="3"/>
  <c r="M459" i="3"/>
  <c r="AF459" i="3"/>
  <c r="U459" i="3"/>
  <c r="G459" i="3"/>
  <c r="H459" i="3" s="1"/>
  <c r="F459" i="3"/>
  <c r="Y458" i="3"/>
  <c r="Z458" i="3" s="1"/>
  <c r="AH458" i="3"/>
  <c r="AN458" i="3"/>
  <c r="AT457" i="3"/>
  <c r="AX457" i="3"/>
  <c r="AV456" i="3"/>
  <c r="BB455" i="3"/>
  <c r="BF455" i="3"/>
  <c r="BJ454" i="3" s="1"/>
  <c r="BK454" i="3" s="1"/>
  <c r="BQ455" i="3"/>
  <c r="X458" i="3"/>
  <c r="BD455" i="3" l="1"/>
  <c r="BN459" i="3"/>
  <c r="BM459" i="3"/>
  <c r="AY457" i="3"/>
  <c r="BC456" i="3"/>
  <c r="BD456" i="3" s="1"/>
  <c r="AN459" i="3"/>
  <c r="AH459" i="3"/>
  <c r="AX458" i="3"/>
  <c r="BB456" i="3"/>
  <c r="BQ456" i="3"/>
  <c r="BA457" i="3"/>
  <c r="AV457" i="3"/>
  <c r="Y459" i="3"/>
  <c r="Z459" i="3" s="1"/>
  <c r="AQ460" i="3"/>
  <c r="AR460" i="3"/>
  <c r="B460" i="3"/>
  <c r="A461" i="3"/>
  <c r="C460" i="3"/>
  <c r="D460" i="3"/>
  <c r="AM460" i="3"/>
  <c r="AK460" i="3"/>
  <c r="Q460" i="3"/>
  <c r="S460" i="3"/>
  <c r="R460" i="3"/>
  <c r="P460" i="3"/>
  <c r="AD460" i="3"/>
  <c r="O460" i="3"/>
  <c r="AF460" i="3"/>
  <c r="M460" i="3"/>
  <c r="AE460" i="3"/>
  <c r="V460" i="3"/>
  <c r="U460" i="3"/>
  <c r="G460" i="3"/>
  <c r="H460" i="3" s="1"/>
  <c r="F460" i="3"/>
  <c r="BM460" i="3" s="1"/>
  <c r="T460" i="3"/>
  <c r="AU458" i="3"/>
  <c r="AW458" i="3"/>
  <c r="AT458" i="3"/>
  <c r="AO459" i="3"/>
  <c r="X459" i="3"/>
  <c r="BJ455" i="3"/>
  <c r="BK455" i="3" s="1"/>
  <c r="AG459" i="3"/>
  <c r="BN460" i="3" l="1"/>
  <c r="BC457" i="3"/>
  <c r="BD457" i="3" s="1"/>
  <c r="AG460" i="3"/>
  <c r="BG456" i="3"/>
  <c r="BH456" i="3" s="1"/>
  <c r="BI456" i="3" s="1"/>
  <c r="AO460" i="3"/>
  <c r="AY458" i="3"/>
  <c r="AW459" i="3"/>
  <c r="AV458" i="3"/>
  <c r="BA458" i="3"/>
  <c r="BF457" i="3"/>
  <c r="BJ456" i="3" s="1"/>
  <c r="BK456" i="3" s="1"/>
  <c r="BB457" i="3"/>
  <c r="BQ457" i="3"/>
  <c r="Y460" i="3"/>
  <c r="Z460" i="3" s="1"/>
  <c r="AU459" i="3"/>
  <c r="AX459" i="3"/>
  <c r="AH460" i="3"/>
  <c r="AN460" i="3"/>
  <c r="X460" i="3"/>
  <c r="A462" i="3"/>
  <c r="AQ461" i="3"/>
  <c r="B461" i="3"/>
  <c r="AR461" i="3"/>
  <c r="C461" i="3"/>
  <c r="Q461" i="3"/>
  <c r="AM461" i="3"/>
  <c r="D461" i="3"/>
  <c r="AK461" i="3"/>
  <c r="T461" i="3"/>
  <c r="R461" i="3"/>
  <c r="AD461" i="3"/>
  <c r="S461" i="3"/>
  <c r="P461" i="3"/>
  <c r="AE461" i="3"/>
  <c r="AF461" i="3"/>
  <c r="V461" i="3"/>
  <c r="U461" i="3"/>
  <c r="O461" i="3"/>
  <c r="M461" i="3"/>
  <c r="G461" i="3"/>
  <c r="H461" i="3" s="1"/>
  <c r="F461" i="3"/>
  <c r="AT459" i="3"/>
  <c r="AY459" i="3" l="1"/>
  <c r="AO461" i="3"/>
  <c r="BG457" i="3"/>
  <c r="BH457" i="3" s="1"/>
  <c r="BI457" i="3" s="1"/>
  <c r="AT460" i="3"/>
  <c r="BM461" i="3"/>
  <c r="BC458" i="3"/>
  <c r="BG458" i="3" s="1"/>
  <c r="BH458" i="3" s="1"/>
  <c r="BI458" i="3" s="1"/>
  <c r="BN461" i="3"/>
  <c r="AG461" i="3"/>
  <c r="AX460" i="3"/>
  <c r="B462" i="3"/>
  <c r="A463" i="3"/>
  <c r="AQ462" i="3"/>
  <c r="AR462" i="3"/>
  <c r="D462" i="3"/>
  <c r="AM462" i="3"/>
  <c r="S462" i="3"/>
  <c r="Q462" i="3"/>
  <c r="AK462" i="3"/>
  <c r="C462" i="3"/>
  <c r="R462" i="3"/>
  <c r="T462" i="3"/>
  <c r="AD462" i="3"/>
  <c r="P462" i="3"/>
  <c r="AE462" i="3"/>
  <c r="M462" i="3"/>
  <c r="O462" i="3"/>
  <c r="V462" i="3"/>
  <c r="AF462" i="3"/>
  <c r="U462" i="3"/>
  <c r="F462" i="3"/>
  <c r="G462" i="3"/>
  <c r="H462" i="3" s="1"/>
  <c r="AN461" i="3"/>
  <c r="X461" i="3"/>
  <c r="AV459" i="3"/>
  <c r="BA459" i="3"/>
  <c r="Y461" i="3"/>
  <c r="Z461" i="3" s="1"/>
  <c r="BQ458" i="3"/>
  <c r="BF458" i="3"/>
  <c r="BJ457" i="3" s="1"/>
  <c r="BK457" i="3" s="1"/>
  <c r="BB458" i="3"/>
  <c r="AH461" i="3"/>
  <c r="AU460" i="3"/>
  <c r="AW460" i="3"/>
  <c r="BC459" i="3" l="1"/>
  <c r="BG459" i="3" s="1"/>
  <c r="BH459" i="3" s="1"/>
  <c r="BI459" i="3" s="1"/>
  <c r="AV460" i="3"/>
  <c r="BD458" i="3"/>
  <c r="AX461" i="3"/>
  <c r="AO462" i="3"/>
  <c r="BM462" i="3"/>
  <c r="AY460" i="3"/>
  <c r="AU461" i="3"/>
  <c r="BF459" i="3"/>
  <c r="BJ458" i="3" s="1"/>
  <c r="BK458" i="3" s="1"/>
  <c r="BQ459" i="3"/>
  <c r="BB459" i="3"/>
  <c r="B463" i="3"/>
  <c r="AQ463" i="3"/>
  <c r="AR463" i="3"/>
  <c r="A464" i="3"/>
  <c r="C463" i="3"/>
  <c r="D463" i="3"/>
  <c r="AK463" i="3"/>
  <c r="AM463" i="3"/>
  <c r="T463" i="3"/>
  <c r="Q463" i="3"/>
  <c r="S463" i="3"/>
  <c r="R463" i="3"/>
  <c r="AD463" i="3"/>
  <c r="O463" i="3"/>
  <c r="P463" i="3"/>
  <c r="AE463" i="3"/>
  <c r="AF463" i="3"/>
  <c r="U463" i="3"/>
  <c r="V463" i="3"/>
  <c r="M463" i="3"/>
  <c r="G463" i="3"/>
  <c r="H463" i="3" s="1"/>
  <c r="F463" i="3"/>
  <c r="AG462" i="3"/>
  <c r="AT461" i="3"/>
  <c r="BN462" i="3"/>
  <c r="X462" i="3"/>
  <c r="AN462" i="3"/>
  <c r="Y462" i="3"/>
  <c r="Z462" i="3" s="1"/>
  <c r="BA460" i="3"/>
  <c r="AW461" i="3"/>
  <c r="AH462" i="3"/>
  <c r="BD459" i="3" l="1"/>
  <c r="BC460" i="3"/>
  <c r="BD460" i="3" s="1"/>
  <c r="AY461" i="3"/>
  <c r="AO463" i="3"/>
  <c r="BN463" i="3"/>
  <c r="AH463" i="3"/>
  <c r="AX462" i="3"/>
  <c r="AV461" i="3"/>
  <c r="Y463" i="3"/>
  <c r="Z463" i="3" s="1"/>
  <c r="AR464" i="3"/>
  <c r="B464" i="3"/>
  <c r="AQ464" i="3"/>
  <c r="A465" i="3"/>
  <c r="D464" i="3"/>
  <c r="C464" i="3"/>
  <c r="T464" i="3"/>
  <c r="Q464" i="3"/>
  <c r="AM464" i="3"/>
  <c r="AK464" i="3"/>
  <c r="R464" i="3"/>
  <c r="AD464" i="3"/>
  <c r="S464" i="3"/>
  <c r="O464" i="3"/>
  <c r="AE464" i="3"/>
  <c r="AF464" i="3"/>
  <c r="U464" i="3"/>
  <c r="P464" i="3"/>
  <c r="M464" i="3"/>
  <c r="V464" i="3"/>
  <c r="G464" i="3"/>
  <c r="H464" i="3" s="1"/>
  <c r="BN464" i="3" s="1"/>
  <c r="F464" i="3"/>
  <c r="AU462" i="3"/>
  <c r="AT462" i="3"/>
  <c r="BA461" i="3"/>
  <c r="BM463" i="3"/>
  <c r="AG463" i="3"/>
  <c r="AN463" i="3"/>
  <c r="BQ460" i="3"/>
  <c r="BF460" i="3"/>
  <c r="BJ459" i="3" s="1"/>
  <c r="BK459" i="3" s="1"/>
  <c r="BB460" i="3"/>
  <c r="AW462" i="3"/>
  <c r="X463" i="3"/>
  <c r="BM464" i="3" l="1"/>
  <c r="BG460" i="3"/>
  <c r="BH460" i="3" s="1"/>
  <c r="BI460" i="3" s="1"/>
  <c r="BC461" i="3"/>
  <c r="BG461" i="3" s="1"/>
  <c r="BH461" i="3" s="1"/>
  <c r="BI461" i="3" s="1"/>
  <c r="AW463" i="3"/>
  <c r="AN464" i="3"/>
  <c r="AG464" i="3"/>
  <c r="AO464" i="3"/>
  <c r="AU463" i="3"/>
  <c r="BA462" i="3"/>
  <c r="AY462" i="3"/>
  <c r="BB461" i="3"/>
  <c r="BF461" i="3"/>
  <c r="BQ461" i="3"/>
  <c r="Y464" i="3"/>
  <c r="Z464" i="3" s="1"/>
  <c r="AQ465" i="3"/>
  <c r="B465" i="3"/>
  <c r="A466" i="3"/>
  <c r="AR465" i="3"/>
  <c r="D465" i="3"/>
  <c r="AK465" i="3"/>
  <c r="R465" i="3"/>
  <c r="C465" i="3"/>
  <c r="AM465" i="3"/>
  <c r="S465" i="3"/>
  <c r="Q465" i="3"/>
  <c r="P465" i="3"/>
  <c r="AD465" i="3"/>
  <c r="O465" i="3"/>
  <c r="AE465" i="3"/>
  <c r="V465" i="3"/>
  <c r="U465" i="3"/>
  <c r="AF465" i="3"/>
  <c r="M465" i="3"/>
  <c r="F465" i="3"/>
  <c r="G465" i="3"/>
  <c r="H465" i="3" s="1"/>
  <c r="T465" i="3"/>
  <c r="AT463" i="3"/>
  <c r="AX463" i="3"/>
  <c r="AV462" i="3"/>
  <c r="AH464" i="3"/>
  <c r="X464" i="3"/>
  <c r="BM465" i="3" l="1"/>
  <c r="BD461" i="3"/>
  <c r="BN465" i="3"/>
  <c r="AY463" i="3"/>
  <c r="AX464" i="3"/>
  <c r="AG465" i="3"/>
  <c r="AV463" i="3"/>
  <c r="AN465" i="3"/>
  <c r="BC462" i="3"/>
  <c r="BD462" i="3" s="1"/>
  <c r="BF462" i="3"/>
  <c r="BJ461" i="3" s="1"/>
  <c r="BK461" i="3" s="1"/>
  <c r="BB462" i="3"/>
  <c r="BQ462" i="3"/>
  <c r="BA463" i="3"/>
  <c r="AH465" i="3"/>
  <c r="Y465" i="3"/>
  <c r="Z465" i="3" s="1"/>
  <c r="X465" i="3"/>
  <c r="AO465" i="3"/>
  <c r="AT464" i="3"/>
  <c r="AW464" i="3"/>
  <c r="AQ466" i="3"/>
  <c r="B466" i="3"/>
  <c r="A467" i="3"/>
  <c r="AR466" i="3"/>
  <c r="D466" i="3"/>
  <c r="C466" i="3"/>
  <c r="AM466" i="3"/>
  <c r="Q466" i="3"/>
  <c r="AK466" i="3"/>
  <c r="S466" i="3"/>
  <c r="T466" i="3"/>
  <c r="AD466" i="3"/>
  <c r="P466" i="3"/>
  <c r="AF466" i="3"/>
  <c r="V466" i="3"/>
  <c r="O466" i="3"/>
  <c r="M466" i="3"/>
  <c r="AE466" i="3"/>
  <c r="U466" i="3"/>
  <c r="R466" i="3"/>
  <c r="G466" i="3"/>
  <c r="H466" i="3" s="1"/>
  <c r="BN466" i="3" s="1"/>
  <c r="F466" i="3"/>
  <c r="BM466" i="3" s="1"/>
  <c r="BJ460" i="3"/>
  <c r="BK460" i="3" s="1"/>
  <c r="AU464" i="3"/>
  <c r="BC463" i="3" l="1"/>
  <c r="BD463" i="3" s="1"/>
  <c r="AY464" i="3"/>
  <c r="AG466" i="3"/>
  <c r="AX465" i="3"/>
  <c r="AU465" i="3"/>
  <c r="AT465" i="3"/>
  <c r="BG462" i="3"/>
  <c r="BH462" i="3" s="1"/>
  <c r="BI462" i="3" s="1"/>
  <c r="AO466" i="3"/>
  <c r="AN466" i="3"/>
  <c r="Y466" i="3"/>
  <c r="Z466" i="3" s="1"/>
  <c r="AR467" i="3"/>
  <c r="B467" i="3"/>
  <c r="AQ467" i="3"/>
  <c r="A468" i="3"/>
  <c r="D467" i="3"/>
  <c r="AM467" i="3"/>
  <c r="S467" i="3"/>
  <c r="C467" i="3"/>
  <c r="AK467" i="3"/>
  <c r="R467" i="3"/>
  <c r="Q467" i="3"/>
  <c r="AD467" i="3"/>
  <c r="P467" i="3"/>
  <c r="M467" i="3"/>
  <c r="AE467" i="3"/>
  <c r="O467" i="3"/>
  <c r="U467" i="3"/>
  <c r="AF467" i="3"/>
  <c r="V467" i="3"/>
  <c r="G467" i="3"/>
  <c r="H467" i="3" s="1"/>
  <c r="F467" i="3"/>
  <c r="T467" i="3"/>
  <c r="AV464" i="3"/>
  <c r="BA464" i="3"/>
  <c r="AW465" i="3"/>
  <c r="BF463" i="3"/>
  <c r="BJ462" i="3" s="1"/>
  <c r="BK462" i="3" s="1"/>
  <c r="BB463" i="3"/>
  <c r="BQ463" i="3"/>
  <c r="AH466" i="3"/>
  <c r="X466" i="3"/>
  <c r="BG463" i="3" l="1"/>
  <c r="BH463" i="3" s="1"/>
  <c r="BI463" i="3" s="1"/>
  <c r="BC464" i="3"/>
  <c r="BD464" i="3" s="1"/>
  <c r="BN467" i="3"/>
  <c r="AY465" i="3"/>
  <c r="AV465" i="3"/>
  <c r="AX466" i="3"/>
  <c r="AN467" i="3"/>
  <c r="AW466" i="3"/>
  <c r="AT466" i="3"/>
  <c r="BF464" i="3"/>
  <c r="BJ463" i="3" s="1"/>
  <c r="BK463" i="3" s="1"/>
  <c r="BQ464" i="3"/>
  <c r="BB464" i="3"/>
  <c r="BA465" i="3"/>
  <c r="Y467" i="3"/>
  <c r="Z467" i="3" s="1"/>
  <c r="AU466" i="3"/>
  <c r="BM467" i="3"/>
  <c r="AG467" i="3"/>
  <c r="AO467" i="3"/>
  <c r="AQ468" i="3"/>
  <c r="AR468" i="3"/>
  <c r="B468" i="3"/>
  <c r="A469" i="3"/>
  <c r="D468" i="3"/>
  <c r="AK468" i="3"/>
  <c r="S468" i="3"/>
  <c r="C468" i="3"/>
  <c r="AM468" i="3"/>
  <c r="AD468" i="3"/>
  <c r="P468" i="3"/>
  <c r="Q468" i="3"/>
  <c r="R468" i="3"/>
  <c r="M468" i="3"/>
  <c r="O468" i="3"/>
  <c r="AE468" i="3"/>
  <c r="U468" i="3"/>
  <c r="AF468" i="3"/>
  <c r="V468" i="3"/>
  <c r="F468" i="3"/>
  <c r="G468" i="3"/>
  <c r="H468" i="3" s="1"/>
  <c r="T468" i="3"/>
  <c r="AH467" i="3"/>
  <c r="X467" i="3"/>
  <c r="BM468" i="3" l="1"/>
  <c r="BN468" i="3"/>
  <c r="BG464" i="3"/>
  <c r="BH464" i="3" s="1"/>
  <c r="BI464" i="3" s="1"/>
  <c r="AY466" i="3"/>
  <c r="BC465" i="3"/>
  <c r="BD465" i="3" s="1"/>
  <c r="AN468" i="3"/>
  <c r="AV466" i="3"/>
  <c r="Y468" i="3"/>
  <c r="Z468" i="3" s="1"/>
  <c r="AT467" i="3"/>
  <c r="AX467" i="3"/>
  <c r="BQ465" i="3"/>
  <c r="BB465" i="3"/>
  <c r="BF465" i="3"/>
  <c r="BJ464" i="3" s="1"/>
  <c r="BK464" i="3" s="1"/>
  <c r="AW467" i="3"/>
  <c r="BA466" i="3"/>
  <c r="A470" i="3"/>
  <c r="AQ469" i="3"/>
  <c r="B469" i="3"/>
  <c r="AR469" i="3"/>
  <c r="C469" i="3"/>
  <c r="D469" i="3"/>
  <c r="AM469" i="3"/>
  <c r="T469" i="3"/>
  <c r="AK469" i="3"/>
  <c r="R469" i="3"/>
  <c r="S469" i="3"/>
  <c r="AD469" i="3"/>
  <c r="AE469" i="3"/>
  <c r="M469" i="3"/>
  <c r="O469" i="3"/>
  <c r="AF469" i="3"/>
  <c r="U469" i="3"/>
  <c r="V469" i="3"/>
  <c r="P469" i="3"/>
  <c r="Q469" i="3"/>
  <c r="G469" i="3"/>
  <c r="H469" i="3" s="1"/>
  <c r="F469" i="3"/>
  <c r="AG468" i="3"/>
  <c r="AH468" i="3"/>
  <c r="X468" i="3"/>
  <c r="AO468" i="3"/>
  <c r="AU467" i="3"/>
  <c r="BC466" i="3" l="1"/>
  <c r="AO469" i="3"/>
  <c r="BN469" i="3"/>
  <c r="AG469" i="3"/>
  <c r="BG465" i="3"/>
  <c r="BH465" i="3" s="1"/>
  <c r="BI465" i="3" s="1"/>
  <c r="AY467" i="3"/>
  <c r="AW468" i="3"/>
  <c r="AT468" i="3"/>
  <c r="AX468" i="3"/>
  <c r="Y469" i="3"/>
  <c r="Z469" i="3" s="1"/>
  <c r="BF466" i="3"/>
  <c r="BJ465" i="3" s="1"/>
  <c r="BK465" i="3" s="1"/>
  <c r="BQ466" i="3"/>
  <c r="BB466" i="3"/>
  <c r="BA467" i="3"/>
  <c r="AV467" i="3"/>
  <c r="AN469" i="3"/>
  <c r="BM469" i="3"/>
  <c r="AH469" i="3"/>
  <c r="AU468" i="3"/>
  <c r="B470" i="3"/>
  <c r="A471" i="3"/>
  <c r="AQ470" i="3"/>
  <c r="AR470" i="3"/>
  <c r="D470" i="3"/>
  <c r="C470" i="3"/>
  <c r="AM470" i="3"/>
  <c r="AK470" i="3"/>
  <c r="R470" i="3"/>
  <c r="AD470" i="3"/>
  <c r="P470" i="3"/>
  <c r="S470" i="3"/>
  <c r="Q470" i="3"/>
  <c r="O470" i="3"/>
  <c r="M470" i="3"/>
  <c r="V470" i="3"/>
  <c r="AF470" i="3"/>
  <c r="AE470" i="3"/>
  <c r="G470" i="3"/>
  <c r="H470" i="3" s="1"/>
  <c r="U470" i="3"/>
  <c r="F470" i="3"/>
  <c r="T470" i="3"/>
  <c r="X469" i="3"/>
  <c r="BN470" i="3" l="1"/>
  <c r="AX469" i="3"/>
  <c r="BG466" i="3"/>
  <c r="BH466" i="3" s="1"/>
  <c r="BI466" i="3" s="1"/>
  <c r="BD466" i="3"/>
  <c r="AN470" i="3"/>
  <c r="BM470" i="3"/>
  <c r="BC467" i="3"/>
  <c r="BD467" i="3" s="1"/>
  <c r="AY468" i="3"/>
  <c r="BB467" i="3"/>
  <c r="BQ467" i="3"/>
  <c r="BF467" i="3"/>
  <c r="BJ466" i="3" s="1"/>
  <c r="BK466" i="3" s="1"/>
  <c r="B471" i="3"/>
  <c r="AQ471" i="3"/>
  <c r="AR471" i="3"/>
  <c r="A472" i="3"/>
  <c r="C471" i="3"/>
  <c r="AK471" i="3"/>
  <c r="S471" i="3"/>
  <c r="D471" i="3"/>
  <c r="AM471" i="3"/>
  <c r="T471" i="3"/>
  <c r="R471" i="3"/>
  <c r="Q471" i="3"/>
  <c r="AD471" i="3"/>
  <c r="P471" i="3"/>
  <c r="O471" i="3"/>
  <c r="M471" i="3"/>
  <c r="AE471" i="3"/>
  <c r="U471" i="3"/>
  <c r="AF471" i="3"/>
  <c r="V471" i="3"/>
  <c r="F471" i="3"/>
  <c r="G471" i="3"/>
  <c r="H471" i="3" s="1"/>
  <c r="AV468" i="3"/>
  <c r="BA468" i="3"/>
  <c r="AU469" i="3"/>
  <c r="Y470" i="3"/>
  <c r="Z470" i="3" s="1"/>
  <c r="AG470" i="3"/>
  <c r="AH470" i="3"/>
  <c r="AO470" i="3"/>
  <c r="X470" i="3"/>
  <c r="AT469" i="3"/>
  <c r="AW469" i="3"/>
  <c r="BM471" i="3" l="1"/>
  <c r="BN471" i="3"/>
  <c r="BC468" i="3"/>
  <c r="BG468" i="3" s="1"/>
  <c r="BH468" i="3" s="1"/>
  <c r="BI468" i="3" s="1"/>
  <c r="AV469" i="3"/>
  <c r="BG467" i="3"/>
  <c r="BH467" i="3" s="1"/>
  <c r="BI467" i="3" s="1"/>
  <c r="AG471" i="3"/>
  <c r="AN471" i="3"/>
  <c r="AX470" i="3"/>
  <c r="BA469" i="3"/>
  <c r="AY469" i="3"/>
  <c r="AT470" i="3"/>
  <c r="AW470" i="3"/>
  <c r="BQ468" i="3"/>
  <c r="BF468" i="3"/>
  <c r="BJ467" i="3" s="1"/>
  <c r="BK467" i="3" s="1"/>
  <c r="BB468" i="3"/>
  <c r="Y471" i="3"/>
  <c r="Z471" i="3" s="1"/>
  <c r="AR472" i="3"/>
  <c r="B472" i="3"/>
  <c r="AQ472" i="3"/>
  <c r="A473" i="3"/>
  <c r="D472" i="3"/>
  <c r="C472" i="3"/>
  <c r="S472" i="3"/>
  <c r="AM472" i="3"/>
  <c r="AK472" i="3"/>
  <c r="T472" i="3"/>
  <c r="Q472" i="3"/>
  <c r="R472" i="3"/>
  <c r="P472" i="3"/>
  <c r="AD472" i="3"/>
  <c r="O472" i="3"/>
  <c r="AF472" i="3"/>
  <c r="AE472" i="3"/>
  <c r="M472" i="3"/>
  <c r="U472" i="3"/>
  <c r="V472" i="3"/>
  <c r="G472" i="3"/>
  <c r="H472" i="3" s="1"/>
  <c r="F472" i="3"/>
  <c r="BM472" i="3" s="1"/>
  <c r="AU470" i="3"/>
  <c r="AH471" i="3"/>
  <c r="AO471" i="3"/>
  <c r="X471" i="3"/>
  <c r="BN472" i="3" l="1"/>
  <c r="BD468" i="3"/>
  <c r="BC469" i="3"/>
  <c r="BG469" i="3" s="1"/>
  <c r="BH469" i="3" s="1"/>
  <c r="BI469" i="3" s="1"/>
  <c r="AY470" i="3"/>
  <c r="AO472" i="3"/>
  <c r="AX471" i="3"/>
  <c r="AG472" i="3"/>
  <c r="Y472" i="3"/>
  <c r="Z472" i="3" s="1"/>
  <c r="AQ473" i="3"/>
  <c r="B473" i="3"/>
  <c r="A474" i="3"/>
  <c r="AR473" i="3"/>
  <c r="C473" i="3"/>
  <c r="D473" i="3"/>
  <c r="AM473" i="3"/>
  <c r="AK473" i="3"/>
  <c r="T473" i="3"/>
  <c r="S473" i="3"/>
  <c r="AD473" i="3"/>
  <c r="P473" i="3"/>
  <c r="Q473" i="3"/>
  <c r="O473" i="3"/>
  <c r="AE473" i="3"/>
  <c r="M473" i="3"/>
  <c r="V473" i="3"/>
  <c r="AF473" i="3"/>
  <c r="U473" i="3"/>
  <c r="R473" i="3"/>
  <c r="G473" i="3"/>
  <c r="H473" i="3" s="1"/>
  <c r="F473" i="3"/>
  <c r="BA470" i="3"/>
  <c r="AV470" i="3"/>
  <c r="BC470" i="3" s="1"/>
  <c r="BF469" i="3"/>
  <c r="BJ468" i="3" s="1"/>
  <c r="BK468" i="3" s="1"/>
  <c r="BQ469" i="3"/>
  <c r="BB469" i="3"/>
  <c r="AW471" i="3"/>
  <c r="AH472" i="3"/>
  <c r="AN472" i="3"/>
  <c r="X472" i="3"/>
  <c r="AT471" i="3"/>
  <c r="AU471" i="3"/>
  <c r="BD469" i="3" l="1"/>
  <c r="AU472" i="3"/>
  <c r="AY471" i="3"/>
  <c r="BN473" i="3"/>
  <c r="BM473" i="3"/>
  <c r="AO473" i="3"/>
  <c r="BA471" i="3"/>
  <c r="BF471" i="3" s="1"/>
  <c r="BQ470" i="3"/>
  <c r="BB470" i="3"/>
  <c r="BF470" i="3"/>
  <c r="BJ469" i="3" s="1"/>
  <c r="BK469" i="3" s="1"/>
  <c r="AQ474" i="3"/>
  <c r="B474" i="3"/>
  <c r="A475" i="3"/>
  <c r="AR474" i="3"/>
  <c r="C474" i="3"/>
  <c r="AM474" i="3"/>
  <c r="T474" i="3"/>
  <c r="S474" i="3"/>
  <c r="D474" i="3"/>
  <c r="AK474" i="3"/>
  <c r="Q474" i="3"/>
  <c r="R474" i="3"/>
  <c r="AD474" i="3"/>
  <c r="O474" i="3"/>
  <c r="AE474" i="3"/>
  <c r="M474" i="3"/>
  <c r="AF474" i="3"/>
  <c r="P474" i="3"/>
  <c r="U474" i="3"/>
  <c r="V474" i="3"/>
  <c r="F474" i="3"/>
  <c r="BM474" i="3" s="1"/>
  <c r="G474" i="3"/>
  <c r="H474" i="3" s="1"/>
  <c r="AX472" i="3"/>
  <c r="AT472" i="3"/>
  <c r="AG473" i="3"/>
  <c r="AH473" i="3"/>
  <c r="AN473" i="3"/>
  <c r="X473" i="3"/>
  <c r="BD470" i="3"/>
  <c r="BG470" i="3"/>
  <c r="BH470" i="3" s="1"/>
  <c r="BI470" i="3" s="1"/>
  <c r="Y473" i="3"/>
  <c r="Z473" i="3" s="1"/>
  <c r="AV471" i="3"/>
  <c r="AW472" i="3"/>
  <c r="AO474" i="3" l="1"/>
  <c r="BC471" i="3"/>
  <c r="BD471" i="3" s="1"/>
  <c r="BQ471" i="3"/>
  <c r="BN474" i="3"/>
  <c r="BB471" i="3"/>
  <c r="AU473" i="3"/>
  <c r="AT473" i="3"/>
  <c r="BJ470" i="3"/>
  <c r="BK470" i="3" s="1"/>
  <c r="AW473" i="3"/>
  <c r="BA472" i="3"/>
  <c r="AV472" i="3"/>
  <c r="AY472" i="3"/>
  <c r="AX473" i="3"/>
  <c r="AN474" i="3"/>
  <c r="Y474" i="3"/>
  <c r="Z474" i="3" s="1"/>
  <c r="AR475" i="3"/>
  <c r="B475" i="3"/>
  <c r="AQ475" i="3"/>
  <c r="A476" i="3"/>
  <c r="C475" i="3"/>
  <c r="D475" i="3"/>
  <c r="AK475" i="3"/>
  <c r="AM475" i="3"/>
  <c r="S475" i="3"/>
  <c r="R475" i="3"/>
  <c r="Q475" i="3"/>
  <c r="AD475" i="3"/>
  <c r="P475" i="3"/>
  <c r="O475" i="3"/>
  <c r="AF475" i="3"/>
  <c r="M475" i="3"/>
  <c r="AE475" i="3"/>
  <c r="V475" i="3"/>
  <c r="U475" i="3"/>
  <c r="G475" i="3"/>
  <c r="H475" i="3" s="1"/>
  <c r="F475" i="3"/>
  <c r="BM475" i="3" s="1"/>
  <c r="T475" i="3"/>
  <c r="AG474" i="3"/>
  <c r="AH474" i="3"/>
  <c r="X474" i="3"/>
  <c r="BN475" i="3" l="1"/>
  <c r="BG471" i="3"/>
  <c r="BH471" i="3" s="1"/>
  <c r="BI471" i="3" s="1"/>
  <c r="AV473" i="3"/>
  <c r="AO475" i="3"/>
  <c r="AW474" i="3"/>
  <c r="AG475" i="3"/>
  <c r="Y475" i="3"/>
  <c r="Z475" i="3" s="1"/>
  <c r="BA473" i="3"/>
  <c r="BF473" i="3" s="1"/>
  <c r="BF472" i="3"/>
  <c r="BJ471" i="3" s="1"/>
  <c r="BK471" i="3" s="1"/>
  <c r="BB472" i="3"/>
  <c r="BQ472" i="3"/>
  <c r="X475" i="3"/>
  <c r="AY473" i="3"/>
  <c r="B476" i="3"/>
  <c r="AQ476" i="3"/>
  <c r="AR476" i="3"/>
  <c r="A477" i="3"/>
  <c r="D476" i="3"/>
  <c r="AM476" i="3"/>
  <c r="C476" i="3"/>
  <c r="AK476" i="3"/>
  <c r="T476" i="3"/>
  <c r="S476" i="3"/>
  <c r="AD476" i="3"/>
  <c r="Q476" i="3"/>
  <c r="P476" i="3"/>
  <c r="O476" i="3"/>
  <c r="M476" i="3"/>
  <c r="V476" i="3"/>
  <c r="U476" i="3"/>
  <c r="AE476" i="3"/>
  <c r="AF476" i="3"/>
  <c r="R476" i="3"/>
  <c r="G476" i="3"/>
  <c r="H476" i="3" s="1"/>
  <c r="BN476" i="3" s="1"/>
  <c r="F476" i="3"/>
  <c r="AU474" i="3"/>
  <c r="AX474" i="3"/>
  <c r="AH475" i="3"/>
  <c r="AN475" i="3"/>
  <c r="AT474" i="3"/>
  <c r="BC472" i="3"/>
  <c r="BC473" i="3" l="1"/>
  <c r="BD473" i="3" s="1"/>
  <c r="AO476" i="3"/>
  <c r="BM476" i="3"/>
  <c r="BB473" i="3"/>
  <c r="AY474" i="3"/>
  <c r="AW475" i="3"/>
  <c r="BQ473" i="3"/>
  <c r="AV474" i="3"/>
  <c r="BA474" i="3"/>
  <c r="AQ477" i="3"/>
  <c r="B477" i="3"/>
  <c r="A478" i="3"/>
  <c r="AR477" i="3"/>
  <c r="C477" i="3"/>
  <c r="D477" i="3"/>
  <c r="AK477" i="3"/>
  <c r="AM477" i="3"/>
  <c r="S477" i="3"/>
  <c r="Q477" i="3"/>
  <c r="R477" i="3"/>
  <c r="AD477" i="3"/>
  <c r="P477" i="3"/>
  <c r="M477" i="3"/>
  <c r="AE477" i="3"/>
  <c r="AF477" i="3"/>
  <c r="U477" i="3"/>
  <c r="O477" i="3"/>
  <c r="V477" i="3"/>
  <c r="G477" i="3"/>
  <c r="H477" i="3" s="1"/>
  <c r="F477" i="3"/>
  <c r="BM477" i="3" s="1"/>
  <c r="T477" i="3"/>
  <c r="AG476" i="3"/>
  <c r="AN476" i="3"/>
  <c r="AU475" i="3"/>
  <c r="BJ472" i="3"/>
  <c r="BK472" i="3" s="1"/>
  <c r="BD472" i="3"/>
  <c r="BG472" i="3"/>
  <c r="BH472" i="3" s="1"/>
  <c r="BI472" i="3" s="1"/>
  <c r="Y476" i="3"/>
  <c r="Z476" i="3" s="1"/>
  <c r="AX475" i="3"/>
  <c r="AH476" i="3"/>
  <c r="X476" i="3"/>
  <c r="AT475" i="3"/>
  <c r="BN477" i="3" l="1"/>
  <c r="BG473" i="3"/>
  <c r="BH473" i="3" s="1"/>
  <c r="BI473" i="3" s="1"/>
  <c r="AX476" i="3"/>
  <c r="AY475" i="3"/>
  <c r="AN477" i="3"/>
  <c r="BC474" i="3"/>
  <c r="BD474" i="3" s="1"/>
  <c r="Y477" i="3"/>
  <c r="Z477" i="3" s="1"/>
  <c r="AV475" i="3"/>
  <c r="BA475" i="3"/>
  <c r="AT476" i="3"/>
  <c r="AW476" i="3"/>
  <c r="BF474" i="3"/>
  <c r="BJ473" i="3" s="1"/>
  <c r="BK473" i="3" s="1"/>
  <c r="BB474" i="3"/>
  <c r="BQ474" i="3"/>
  <c r="B478" i="3"/>
  <c r="A479" i="3"/>
  <c r="AQ478" i="3"/>
  <c r="AR478" i="3"/>
  <c r="C478" i="3"/>
  <c r="D478" i="3"/>
  <c r="S478" i="3"/>
  <c r="R478" i="3"/>
  <c r="AK478" i="3"/>
  <c r="AM478" i="3"/>
  <c r="Q478" i="3"/>
  <c r="AD478" i="3"/>
  <c r="P478" i="3"/>
  <c r="O478" i="3"/>
  <c r="AE478" i="3"/>
  <c r="AF478" i="3"/>
  <c r="M478" i="3"/>
  <c r="V478" i="3"/>
  <c r="U478" i="3"/>
  <c r="G478" i="3"/>
  <c r="H478" i="3" s="1"/>
  <c r="F478" i="3"/>
  <c r="T478" i="3"/>
  <c r="AU476" i="3"/>
  <c r="AH477" i="3"/>
  <c r="AG477" i="3"/>
  <c r="AO477" i="3"/>
  <c r="X477" i="3"/>
  <c r="BM478" i="3" l="1"/>
  <c r="AY476" i="3"/>
  <c r="BN478" i="3"/>
  <c r="BC475" i="3"/>
  <c r="BD475" i="3" s="1"/>
  <c r="AO478" i="3"/>
  <c r="BG474" i="3"/>
  <c r="BH474" i="3" s="1"/>
  <c r="BI474" i="3" s="1"/>
  <c r="AU477" i="3"/>
  <c r="AG478" i="3"/>
  <c r="BB475" i="3"/>
  <c r="BF475" i="3"/>
  <c r="BJ474" i="3" s="1"/>
  <c r="BK474" i="3" s="1"/>
  <c r="BQ475" i="3"/>
  <c r="AR479" i="3"/>
  <c r="B479" i="3"/>
  <c r="AQ479" i="3"/>
  <c r="A480" i="3"/>
  <c r="C479" i="3"/>
  <c r="AM479" i="3"/>
  <c r="S479" i="3"/>
  <c r="D479" i="3"/>
  <c r="AK479" i="3"/>
  <c r="Q479" i="3"/>
  <c r="AD479" i="3"/>
  <c r="P479" i="3"/>
  <c r="O479" i="3"/>
  <c r="AF479" i="3"/>
  <c r="M479" i="3"/>
  <c r="AE479" i="3"/>
  <c r="U479" i="3"/>
  <c r="V479" i="3"/>
  <c r="R479" i="3"/>
  <c r="G479" i="3"/>
  <c r="H479" i="3" s="1"/>
  <c r="BN479" i="3" s="1"/>
  <c r="F479" i="3"/>
  <c r="BM479" i="3" s="1"/>
  <c r="T479" i="3"/>
  <c r="AV476" i="3"/>
  <c r="BA476" i="3"/>
  <c r="X478" i="3"/>
  <c r="AW477" i="3"/>
  <c r="AT477" i="3"/>
  <c r="AX477" i="3"/>
  <c r="Y478" i="3"/>
  <c r="Z478" i="3" s="1"/>
  <c r="AH478" i="3"/>
  <c r="AN478" i="3"/>
  <c r="BC476" i="3" l="1"/>
  <c r="BD476" i="3" s="1"/>
  <c r="BG475" i="3"/>
  <c r="BH475" i="3" s="1"/>
  <c r="BI475" i="3" s="1"/>
  <c r="AO479" i="3"/>
  <c r="AX478" i="3"/>
  <c r="AH479" i="3"/>
  <c r="AV477" i="3"/>
  <c r="BA477" i="3"/>
  <c r="BQ476" i="3"/>
  <c r="BF476" i="3"/>
  <c r="BJ475" i="3" s="1"/>
  <c r="BK475" i="3" s="1"/>
  <c r="BB476" i="3"/>
  <c r="B480" i="3"/>
  <c r="AQ480" i="3"/>
  <c r="AR480" i="3"/>
  <c r="A481" i="3"/>
  <c r="C480" i="3"/>
  <c r="D480" i="3"/>
  <c r="AK480" i="3"/>
  <c r="Q480" i="3"/>
  <c r="AM480" i="3"/>
  <c r="R480" i="3"/>
  <c r="S480" i="3"/>
  <c r="AD480" i="3"/>
  <c r="P480" i="3"/>
  <c r="O480" i="3"/>
  <c r="AE480" i="3"/>
  <c r="V480" i="3"/>
  <c r="M480" i="3"/>
  <c r="AF480" i="3"/>
  <c r="U480" i="3"/>
  <c r="F480" i="3"/>
  <c r="G480" i="3"/>
  <c r="H480" i="3" s="1"/>
  <c r="T480" i="3"/>
  <c r="AT478" i="3"/>
  <c r="Y479" i="3"/>
  <c r="Z479" i="3" s="1"/>
  <c r="AG479" i="3"/>
  <c r="AN479" i="3"/>
  <c r="AY477" i="3"/>
  <c r="AU478" i="3"/>
  <c r="AW478" i="3"/>
  <c r="X479" i="3"/>
  <c r="BG476" i="3" l="1"/>
  <c r="BH476" i="3" s="1"/>
  <c r="BI476" i="3" s="1"/>
  <c r="AN480" i="3"/>
  <c r="BN480" i="3"/>
  <c r="AY478" i="3"/>
  <c r="BC477" i="3"/>
  <c r="BD477" i="3" s="1"/>
  <c r="AG480" i="3"/>
  <c r="AX479" i="3"/>
  <c r="AU479" i="3"/>
  <c r="AW479" i="3"/>
  <c r="AV478" i="3"/>
  <c r="BA478" i="3"/>
  <c r="AQ481" i="3"/>
  <c r="B481" i="3"/>
  <c r="A482" i="3"/>
  <c r="AR481" i="3"/>
  <c r="D481" i="3"/>
  <c r="AM481" i="3"/>
  <c r="S481" i="3"/>
  <c r="Q481" i="3"/>
  <c r="C481" i="3"/>
  <c r="AK481" i="3"/>
  <c r="R481" i="3"/>
  <c r="T481" i="3"/>
  <c r="AD481" i="3"/>
  <c r="P481" i="3"/>
  <c r="M481" i="3"/>
  <c r="AE481" i="3"/>
  <c r="O481" i="3"/>
  <c r="AF481" i="3"/>
  <c r="V481" i="3"/>
  <c r="U481" i="3"/>
  <c r="G481" i="3"/>
  <c r="H481" i="3" s="1"/>
  <c r="BN481" i="3" s="1"/>
  <c r="F481" i="3"/>
  <c r="AO480" i="3"/>
  <c r="X480" i="3"/>
  <c r="AT479" i="3"/>
  <c r="Y480" i="3"/>
  <c r="Z480" i="3" s="1"/>
  <c r="BM480" i="3"/>
  <c r="AH480" i="3"/>
  <c r="BF477" i="3"/>
  <c r="BJ476" i="3" s="1"/>
  <c r="BK476" i="3" s="1"/>
  <c r="BB477" i="3"/>
  <c r="BQ477" i="3"/>
  <c r="AO481" i="3" l="1"/>
  <c r="AY479" i="3"/>
  <c r="BC478" i="3"/>
  <c r="BG478" i="3" s="1"/>
  <c r="BH478" i="3" s="1"/>
  <c r="BI478" i="3" s="1"/>
  <c r="AU480" i="3"/>
  <c r="BM481" i="3"/>
  <c r="BG477" i="3"/>
  <c r="BH477" i="3" s="1"/>
  <c r="BI477" i="3" s="1"/>
  <c r="AT480" i="3"/>
  <c r="Y481" i="3"/>
  <c r="Z481" i="3" s="1"/>
  <c r="B482" i="3"/>
  <c r="A483" i="3"/>
  <c r="AQ482" i="3"/>
  <c r="AR482" i="3"/>
  <c r="C482" i="3"/>
  <c r="AM482" i="3"/>
  <c r="S482" i="3"/>
  <c r="R482" i="3"/>
  <c r="D482" i="3"/>
  <c r="AK482" i="3"/>
  <c r="Q482" i="3"/>
  <c r="AD482" i="3"/>
  <c r="P482" i="3"/>
  <c r="M482" i="3"/>
  <c r="AF482" i="3"/>
  <c r="O482" i="3"/>
  <c r="AE482" i="3"/>
  <c r="V482" i="3"/>
  <c r="U482" i="3"/>
  <c r="F482" i="3"/>
  <c r="G482" i="3"/>
  <c r="H482" i="3" s="1"/>
  <c r="T482" i="3"/>
  <c r="AX480" i="3"/>
  <c r="AW480" i="3"/>
  <c r="AH481" i="3"/>
  <c r="X481" i="3"/>
  <c r="AV479" i="3"/>
  <c r="BA479" i="3"/>
  <c r="BQ478" i="3"/>
  <c r="BF478" i="3"/>
  <c r="BJ477" i="3" s="1"/>
  <c r="BK477" i="3" s="1"/>
  <c r="BB478" i="3"/>
  <c r="AG481" i="3"/>
  <c r="AN481" i="3"/>
  <c r="BD478" i="3" l="1"/>
  <c r="BN482" i="3"/>
  <c r="BC479" i="3"/>
  <c r="BD479" i="3" s="1"/>
  <c r="AO482" i="3"/>
  <c r="AV480" i="3"/>
  <c r="BM482" i="3"/>
  <c r="AT481" i="3"/>
  <c r="Y482" i="3"/>
  <c r="Z482" i="3" s="1"/>
  <c r="AH482" i="3"/>
  <c r="AY480" i="3"/>
  <c r="AG482" i="3"/>
  <c r="BF479" i="3"/>
  <c r="BJ478" i="3" s="1"/>
  <c r="BK478" i="3" s="1"/>
  <c r="BB479" i="3"/>
  <c r="BQ479" i="3"/>
  <c r="AW481" i="3"/>
  <c r="AU481" i="3"/>
  <c r="AX481" i="3"/>
  <c r="X482" i="3"/>
  <c r="BA480" i="3"/>
  <c r="AR483" i="3"/>
  <c r="B483" i="3"/>
  <c r="AQ483" i="3"/>
  <c r="A484" i="3"/>
  <c r="C483" i="3"/>
  <c r="AK483" i="3"/>
  <c r="T483" i="3"/>
  <c r="Q483" i="3"/>
  <c r="D483" i="3"/>
  <c r="AM483" i="3"/>
  <c r="R483" i="3"/>
  <c r="AD483" i="3"/>
  <c r="S483" i="3"/>
  <c r="P483" i="3"/>
  <c r="O483" i="3"/>
  <c r="AF483" i="3"/>
  <c r="AE483" i="3"/>
  <c r="V483" i="3"/>
  <c r="M483" i="3"/>
  <c r="U483" i="3"/>
  <c r="G483" i="3"/>
  <c r="H483" i="3" s="1"/>
  <c r="F483" i="3"/>
  <c r="AN482" i="3"/>
  <c r="BN483" i="3" l="1"/>
  <c r="BG479" i="3"/>
  <c r="BH479" i="3" s="1"/>
  <c r="BI479" i="3" s="1"/>
  <c r="AU482" i="3"/>
  <c r="AT482" i="3"/>
  <c r="AN483" i="3"/>
  <c r="BC480" i="3"/>
  <c r="BD480" i="3" s="1"/>
  <c r="BM483" i="3"/>
  <c r="AW482" i="3"/>
  <c r="AG483" i="3"/>
  <c r="BA481" i="3"/>
  <c r="BQ481" i="3" s="1"/>
  <c r="B484" i="3"/>
  <c r="AQ484" i="3"/>
  <c r="AR484" i="3"/>
  <c r="A485" i="3"/>
  <c r="C484" i="3"/>
  <c r="D484" i="3"/>
  <c r="AM484" i="3"/>
  <c r="T484" i="3"/>
  <c r="AK484" i="3"/>
  <c r="S484" i="3"/>
  <c r="R484" i="3"/>
  <c r="Q484" i="3"/>
  <c r="AD484" i="3"/>
  <c r="P484" i="3"/>
  <c r="O484" i="3"/>
  <c r="M484" i="3"/>
  <c r="AE484" i="3"/>
  <c r="V484" i="3"/>
  <c r="AF484" i="3"/>
  <c r="U484" i="3"/>
  <c r="G484" i="3"/>
  <c r="H484" i="3" s="1"/>
  <c r="F484" i="3"/>
  <c r="BQ480" i="3"/>
  <c r="BF480" i="3"/>
  <c r="BJ479" i="3" s="1"/>
  <c r="BK479" i="3" s="1"/>
  <c r="BB480" i="3"/>
  <c r="AH483" i="3"/>
  <c r="AO483" i="3"/>
  <c r="AX482" i="3"/>
  <c r="AV481" i="3"/>
  <c r="Y483" i="3"/>
  <c r="Z483" i="3" s="1"/>
  <c r="X483" i="3"/>
  <c r="AY481" i="3"/>
  <c r="AV482" i="3" l="1"/>
  <c r="AY482" i="3"/>
  <c r="BG480" i="3"/>
  <c r="BH480" i="3" s="1"/>
  <c r="BI480" i="3" s="1"/>
  <c r="BN484" i="3"/>
  <c r="BM484" i="3"/>
  <c r="AT483" i="3"/>
  <c r="AW483" i="3"/>
  <c r="AU483" i="3"/>
  <c r="AX483" i="3"/>
  <c r="BC481" i="3"/>
  <c r="BG481" i="3" s="1"/>
  <c r="BH481" i="3" s="1"/>
  <c r="BI481" i="3" s="1"/>
  <c r="BF481" i="3"/>
  <c r="BJ480" i="3" s="1"/>
  <c r="BK480" i="3" s="1"/>
  <c r="BB481" i="3"/>
  <c r="BA482" i="3"/>
  <c r="BF482" i="3" s="1"/>
  <c r="AO484" i="3"/>
  <c r="AN484" i="3"/>
  <c r="AG484" i="3"/>
  <c r="AH484" i="3"/>
  <c r="X484" i="3"/>
  <c r="Y484" i="3"/>
  <c r="Z484" i="3" s="1"/>
  <c r="AQ485" i="3"/>
  <c r="B485" i="3"/>
  <c r="A486" i="3"/>
  <c r="AR485" i="3"/>
  <c r="D485" i="3"/>
  <c r="C485" i="3"/>
  <c r="AK485" i="3"/>
  <c r="S485" i="3"/>
  <c r="R485" i="3"/>
  <c r="AM485" i="3"/>
  <c r="Q485" i="3"/>
  <c r="AD485" i="3"/>
  <c r="P485" i="3"/>
  <c r="AE485" i="3"/>
  <c r="M485" i="3"/>
  <c r="U485" i="3"/>
  <c r="O485" i="3"/>
  <c r="AF485" i="3"/>
  <c r="V485" i="3"/>
  <c r="G485" i="3"/>
  <c r="H485" i="3" s="1"/>
  <c r="F485" i="3"/>
  <c r="T485" i="3"/>
  <c r="BC482" i="3" l="1"/>
  <c r="BG482" i="3" s="1"/>
  <c r="BH482" i="3" s="1"/>
  <c r="BI482" i="3" s="1"/>
  <c r="AY483" i="3"/>
  <c r="BJ481" i="3"/>
  <c r="BK481" i="3" s="1"/>
  <c r="BD481" i="3"/>
  <c r="BM485" i="3"/>
  <c r="BA483" i="3"/>
  <c r="BF483" i="3" s="1"/>
  <c r="BJ482" i="3" s="1"/>
  <c r="BK482" i="3" s="1"/>
  <c r="AV483" i="3"/>
  <c r="AO485" i="3"/>
  <c r="AT484" i="3"/>
  <c r="AU484" i="3"/>
  <c r="BQ482" i="3"/>
  <c r="BB482" i="3"/>
  <c r="B486" i="3"/>
  <c r="A487" i="3"/>
  <c r="AQ486" i="3"/>
  <c r="AR486" i="3"/>
  <c r="D486" i="3"/>
  <c r="C486" i="3"/>
  <c r="AM486" i="3"/>
  <c r="AK486" i="3"/>
  <c r="T486" i="3"/>
  <c r="S486" i="3"/>
  <c r="R486" i="3"/>
  <c r="AD486" i="3"/>
  <c r="P486" i="3"/>
  <c r="O486" i="3"/>
  <c r="M486" i="3"/>
  <c r="AE486" i="3"/>
  <c r="U486" i="3"/>
  <c r="AF486" i="3"/>
  <c r="V486" i="3"/>
  <c r="G486" i="3"/>
  <c r="H486" i="3" s="1"/>
  <c r="Q486" i="3"/>
  <c r="F486" i="3"/>
  <c r="BM486" i="3" s="1"/>
  <c r="Y485" i="3"/>
  <c r="Z485" i="3" s="1"/>
  <c r="BN485" i="3"/>
  <c r="AG485" i="3"/>
  <c r="AH485" i="3"/>
  <c r="AN485" i="3"/>
  <c r="X485" i="3"/>
  <c r="AX484" i="3"/>
  <c r="AW484" i="3"/>
  <c r="BC483" i="3" l="1"/>
  <c r="BG483" i="3" s="1"/>
  <c r="BH483" i="3" s="1"/>
  <c r="BI483" i="3" s="1"/>
  <c r="BD482" i="3"/>
  <c r="AH486" i="3"/>
  <c r="AO486" i="3"/>
  <c r="BN486" i="3"/>
  <c r="BQ483" i="3"/>
  <c r="BB483" i="3"/>
  <c r="AV484" i="3"/>
  <c r="AY484" i="3"/>
  <c r="AW485" i="3"/>
  <c r="AU485" i="3"/>
  <c r="AT485" i="3"/>
  <c r="AR487" i="3"/>
  <c r="B487" i="3"/>
  <c r="AQ487" i="3"/>
  <c r="A488" i="3"/>
  <c r="D487" i="3"/>
  <c r="AK487" i="3"/>
  <c r="S487" i="3"/>
  <c r="C487" i="3"/>
  <c r="AM487" i="3"/>
  <c r="R487" i="3"/>
  <c r="Q487" i="3"/>
  <c r="P487" i="3"/>
  <c r="AD487" i="3"/>
  <c r="AE487" i="3"/>
  <c r="AF487" i="3"/>
  <c r="V487" i="3"/>
  <c r="O487" i="3"/>
  <c r="M487" i="3"/>
  <c r="U487" i="3"/>
  <c r="G487" i="3"/>
  <c r="H487" i="3" s="1"/>
  <c r="F487" i="3"/>
  <c r="T487" i="3"/>
  <c r="AG486" i="3"/>
  <c r="X486" i="3"/>
  <c r="BA484" i="3"/>
  <c r="Y486" i="3"/>
  <c r="Z486" i="3" s="1"/>
  <c r="AX485" i="3"/>
  <c r="AN486" i="3"/>
  <c r="AU486" i="3" l="1"/>
  <c r="AT486" i="3"/>
  <c r="BD483" i="3"/>
  <c r="BC484" i="3"/>
  <c r="BG484" i="3" s="1"/>
  <c r="BH484" i="3" s="1"/>
  <c r="BI484" i="3" s="1"/>
  <c r="BM487" i="3"/>
  <c r="AY485" i="3"/>
  <c r="AN487" i="3"/>
  <c r="Y487" i="3"/>
  <c r="Z487" i="3" s="1"/>
  <c r="BN487" i="3"/>
  <c r="AX486" i="3"/>
  <c r="AV485" i="3"/>
  <c r="BA485" i="3"/>
  <c r="AW486" i="3"/>
  <c r="AH487" i="3"/>
  <c r="BQ484" i="3"/>
  <c r="BB484" i="3"/>
  <c r="BF484" i="3"/>
  <c r="BJ483" i="3" s="1"/>
  <c r="BK483" i="3" s="1"/>
  <c r="B488" i="3"/>
  <c r="AQ488" i="3"/>
  <c r="AR488" i="3"/>
  <c r="A489" i="3"/>
  <c r="C488" i="3"/>
  <c r="D488" i="3"/>
  <c r="AK488" i="3"/>
  <c r="S488" i="3"/>
  <c r="R488" i="3"/>
  <c r="AM488" i="3"/>
  <c r="Q488" i="3"/>
  <c r="AD488" i="3"/>
  <c r="P488" i="3"/>
  <c r="O488" i="3"/>
  <c r="M488" i="3"/>
  <c r="AF488" i="3"/>
  <c r="U488" i="3"/>
  <c r="V488" i="3"/>
  <c r="AE488" i="3"/>
  <c r="F488" i="3"/>
  <c r="G488" i="3"/>
  <c r="H488" i="3" s="1"/>
  <c r="T488" i="3"/>
  <c r="AG487" i="3"/>
  <c r="X487" i="3"/>
  <c r="AO487" i="3"/>
  <c r="BD484" i="3" l="1"/>
  <c r="AV486" i="3"/>
  <c r="BC485" i="3"/>
  <c r="BD485" i="3" s="1"/>
  <c r="BM488" i="3"/>
  <c r="Y488" i="3"/>
  <c r="Z488" i="3" s="1"/>
  <c r="AN488" i="3"/>
  <c r="AY486" i="3"/>
  <c r="AT487" i="3"/>
  <c r="BA486" i="3"/>
  <c r="BB486" i="3" s="1"/>
  <c r="BB485" i="3"/>
  <c r="BF485" i="3"/>
  <c r="BJ484" i="3" s="1"/>
  <c r="BK484" i="3" s="1"/>
  <c r="BQ485" i="3"/>
  <c r="AH488" i="3"/>
  <c r="BN488" i="3"/>
  <c r="AG488" i="3"/>
  <c r="AO488" i="3"/>
  <c r="X488" i="3"/>
  <c r="AQ489" i="3"/>
  <c r="B489" i="3"/>
  <c r="A490" i="3"/>
  <c r="AR489" i="3"/>
  <c r="D489" i="3"/>
  <c r="S489" i="3"/>
  <c r="R489" i="3"/>
  <c r="C489" i="3"/>
  <c r="AM489" i="3"/>
  <c r="AK489" i="3"/>
  <c r="Q489" i="3"/>
  <c r="AD489" i="3"/>
  <c r="P489" i="3"/>
  <c r="AE489" i="3"/>
  <c r="M489" i="3"/>
  <c r="U489" i="3"/>
  <c r="O489" i="3"/>
  <c r="AF489" i="3"/>
  <c r="V489" i="3"/>
  <c r="F489" i="3"/>
  <c r="G489" i="3"/>
  <c r="H489" i="3" s="1"/>
  <c r="T489" i="3"/>
  <c r="AW487" i="3"/>
  <c r="AU487" i="3"/>
  <c r="AX487" i="3"/>
  <c r="BM489" i="3" l="1"/>
  <c r="BN489" i="3"/>
  <c r="BG485" i="3"/>
  <c r="BH485" i="3" s="1"/>
  <c r="BI485" i="3" s="1"/>
  <c r="BC486" i="3"/>
  <c r="BD486" i="3" s="1"/>
  <c r="AO489" i="3"/>
  <c r="AV487" i="3"/>
  <c r="AH489" i="3"/>
  <c r="AT488" i="3"/>
  <c r="BQ486" i="3"/>
  <c r="BF486" i="3"/>
  <c r="BJ485" i="3" s="1"/>
  <c r="BK485" i="3" s="1"/>
  <c r="AY487" i="3"/>
  <c r="Y489" i="3"/>
  <c r="Z489" i="3" s="1"/>
  <c r="AG489" i="3"/>
  <c r="X489" i="3"/>
  <c r="AX488" i="3"/>
  <c r="BA487" i="3"/>
  <c r="B490" i="3"/>
  <c r="A491" i="3"/>
  <c r="AQ490" i="3"/>
  <c r="AR490" i="3"/>
  <c r="D490" i="3"/>
  <c r="AK490" i="3"/>
  <c r="AM490" i="3"/>
  <c r="R490" i="3"/>
  <c r="C490" i="3"/>
  <c r="Q490" i="3"/>
  <c r="AD490" i="3"/>
  <c r="S490" i="3"/>
  <c r="P490" i="3"/>
  <c r="O490" i="3"/>
  <c r="AE490" i="3"/>
  <c r="AF490" i="3"/>
  <c r="V490" i="3"/>
  <c r="U490" i="3"/>
  <c r="M490" i="3"/>
  <c r="F490" i="3"/>
  <c r="G490" i="3"/>
  <c r="H490" i="3" s="1"/>
  <c r="BN490" i="3" s="1"/>
  <c r="T490" i="3"/>
  <c r="AN489" i="3"/>
  <c r="AW488" i="3"/>
  <c r="AU488" i="3"/>
  <c r="BG486" i="3" l="1"/>
  <c r="BH486" i="3" s="1"/>
  <c r="BI486" i="3" s="1"/>
  <c r="AU489" i="3"/>
  <c r="BC487" i="3"/>
  <c r="BD487" i="3" s="1"/>
  <c r="BM490" i="3"/>
  <c r="AT489" i="3"/>
  <c r="AY488" i="3"/>
  <c r="AO490" i="3"/>
  <c r="AX489" i="3"/>
  <c r="Y490" i="3"/>
  <c r="Z490" i="3" s="1"/>
  <c r="BA488" i="3"/>
  <c r="BQ488" i="3" s="1"/>
  <c r="AG490" i="3"/>
  <c r="AH490" i="3"/>
  <c r="X490" i="3"/>
  <c r="AN490" i="3"/>
  <c r="AV488" i="3"/>
  <c r="AR491" i="3"/>
  <c r="B491" i="3"/>
  <c r="AQ491" i="3"/>
  <c r="A492" i="3"/>
  <c r="D491" i="3"/>
  <c r="AK491" i="3"/>
  <c r="R491" i="3"/>
  <c r="AM491" i="3"/>
  <c r="C491" i="3"/>
  <c r="T491" i="3"/>
  <c r="S491" i="3"/>
  <c r="Q491" i="3"/>
  <c r="AD491" i="3"/>
  <c r="AE491" i="3"/>
  <c r="P491" i="3"/>
  <c r="O491" i="3"/>
  <c r="V491" i="3"/>
  <c r="M491" i="3"/>
  <c r="AF491" i="3"/>
  <c r="U491" i="3"/>
  <c r="F491" i="3"/>
  <c r="G491" i="3"/>
  <c r="H491" i="3" s="1"/>
  <c r="BQ487" i="3"/>
  <c r="BB487" i="3"/>
  <c r="BF487" i="3"/>
  <c r="BJ486" i="3" s="1"/>
  <c r="BK486" i="3" s="1"/>
  <c r="AW489" i="3"/>
  <c r="BM491" i="3" l="1"/>
  <c r="AN491" i="3"/>
  <c r="AV489" i="3"/>
  <c r="BC488" i="3"/>
  <c r="BG488" i="3" s="1"/>
  <c r="BH488" i="3" s="1"/>
  <c r="BI488" i="3" s="1"/>
  <c r="BG487" i="3"/>
  <c r="BH487" i="3" s="1"/>
  <c r="BI487" i="3" s="1"/>
  <c r="AY489" i="3"/>
  <c r="BN491" i="3"/>
  <c r="AU490" i="3"/>
  <c r="AT490" i="3"/>
  <c r="BB488" i="3"/>
  <c r="BF488" i="3"/>
  <c r="BJ487" i="3" s="1"/>
  <c r="BK487" i="3" s="1"/>
  <c r="B492" i="3"/>
  <c r="AQ492" i="3"/>
  <c r="AR492" i="3"/>
  <c r="A493" i="3"/>
  <c r="D492" i="3"/>
  <c r="C492" i="3"/>
  <c r="S492" i="3"/>
  <c r="R492" i="3"/>
  <c r="AM492" i="3"/>
  <c r="AK492" i="3"/>
  <c r="Q492" i="3"/>
  <c r="P492" i="3"/>
  <c r="AD492" i="3"/>
  <c r="O492" i="3"/>
  <c r="AE492" i="3"/>
  <c r="M492" i="3"/>
  <c r="U492" i="3"/>
  <c r="AF492" i="3"/>
  <c r="V492" i="3"/>
  <c r="G492" i="3"/>
  <c r="H492" i="3" s="1"/>
  <c r="F492" i="3"/>
  <c r="T492" i="3"/>
  <c r="AX490" i="3"/>
  <c r="AW490" i="3"/>
  <c r="AG491" i="3"/>
  <c r="AO491" i="3"/>
  <c r="Y491" i="3"/>
  <c r="Z491" i="3" s="1"/>
  <c r="BA489" i="3"/>
  <c r="AH491" i="3"/>
  <c r="X491" i="3"/>
  <c r="BD488" i="3" l="1"/>
  <c r="BC489" i="3"/>
  <c r="BG489" i="3" s="1"/>
  <c r="BH489" i="3" s="1"/>
  <c r="BI489" i="3" s="1"/>
  <c r="BN492" i="3"/>
  <c r="AV490" i="3"/>
  <c r="AO492" i="3"/>
  <c r="BA490" i="3"/>
  <c r="BQ490" i="3" s="1"/>
  <c r="AX491" i="3"/>
  <c r="AY490" i="3"/>
  <c r="BF489" i="3"/>
  <c r="BJ488" i="3" s="1"/>
  <c r="BK488" i="3" s="1"/>
  <c r="BQ489" i="3"/>
  <c r="BB489" i="3"/>
  <c r="Y492" i="3"/>
  <c r="Z492" i="3" s="1"/>
  <c r="AT491" i="3"/>
  <c r="BM492" i="3"/>
  <c r="AG492" i="3"/>
  <c r="AH492" i="3"/>
  <c r="AN492" i="3"/>
  <c r="AQ493" i="3"/>
  <c r="B493" i="3"/>
  <c r="A494" i="3"/>
  <c r="AR493" i="3"/>
  <c r="C493" i="3"/>
  <c r="D493" i="3"/>
  <c r="T493" i="3"/>
  <c r="S493" i="3"/>
  <c r="Q493" i="3"/>
  <c r="AM493" i="3"/>
  <c r="AK493" i="3"/>
  <c r="AD493" i="3"/>
  <c r="R493" i="3"/>
  <c r="P493" i="3"/>
  <c r="AE493" i="3"/>
  <c r="O493" i="3"/>
  <c r="AF493" i="3"/>
  <c r="V493" i="3"/>
  <c r="M493" i="3"/>
  <c r="U493" i="3"/>
  <c r="G493" i="3"/>
  <c r="H493" i="3" s="1"/>
  <c r="F493" i="3"/>
  <c r="AU491" i="3"/>
  <c r="AW491" i="3"/>
  <c r="X492" i="3"/>
  <c r="BD489" i="3" l="1"/>
  <c r="BB490" i="3"/>
  <c r="BC490" i="3"/>
  <c r="BD490" i="3" s="1"/>
  <c r="AO493" i="3"/>
  <c r="BN493" i="3"/>
  <c r="BM493" i="3"/>
  <c r="AY491" i="3"/>
  <c r="AT492" i="3"/>
  <c r="BF490" i="3"/>
  <c r="BJ489" i="3" s="1"/>
  <c r="BK489" i="3" s="1"/>
  <c r="AN493" i="3"/>
  <c r="B494" i="3"/>
  <c r="A495" i="3"/>
  <c r="AQ494" i="3"/>
  <c r="AR494" i="3"/>
  <c r="C494" i="3"/>
  <c r="D494" i="3"/>
  <c r="AM494" i="3"/>
  <c r="AK494" i="3"/>
  <c r="T494" i="3"/>
  <c r="S494" i="3"/>
  <c r="R494" i="3"/>
  <c r="Q494" i="3"/>
  <c r="AD494" i="3"/>
  <c r="P494" i="3"/>
  <c r="AE494" i="3"/>
  <c r="O494" i="3"/>
  <c r="V494" i="3"/>
  <c r="AF494" i="3"/>
  <c r="M494" i="3"/>
  <c r="U494" i="3"/>
  <c r="F494" i="3"/>
  <c r="BM494" i="3" s="1"/>
  <c r="G494" i="3"/>
  <c r="H494" i="3" s="1"/>
  <c r="BN494" i="3" s="1"/>
  <c r="AV491" i="3"/>
  <c r="BA491" i="3"/>
  <c r="AG493" i="3"/>
  <c r="X493" i="3"/>
  <c r="AW492" i="3"/>
  <c r="Y493" i="3"/>
  <c r="Z493" i="3" s="1"/>
  <c r="AU492" i="3"/>
  <c r="AX492" i="3"/>
  <c r="AH493" i="3"/>
  <c r="BG490" i="3" l="1"/>
  <c r="BH490" i="3" s="1"/>
  <c r="BI490" i="3" s="1"/>
  <c r="AV492" i="3"/>
  <c r="AO494" i="3"/>
  <c r="BC491" i="3"/>
  <c r="BD491" i="3" s="1"/>
  <c r="AX493" i="3"/>
  <c r="AH494" i="3"/>
  <c r="AY492" i="3"/>
  <c r="BA492" i="3"/>
  <c r="AT493" i="3"/>
  <c r="AU493" i="3"/>
  <c r="AW493" i="3"/>
  <c r="AG494" i="3"/>
  <c r="AN494" i="3"/>
  <c r="X494" i="3"/>
  <c r="BQ491" i="3"/>
  <c r="BB491" i="3"/>
  <c r="BF491" i="3"/>
  <c r="BJ490" i="3" s="1"/>
  <c r="BK490" i="3" s="1"/>
  <c r="Y494" i="3"/>
  <c r="Z494" i="3" s="1"/>
  <c r="AR495" i="3"/>
  <c r="B495" i="3"/>
  <c r="AQ495" i="3"/>
  <c r="A496" i="3"/>
  <c r="D495" i="3"/>
  <c r="C495" i="3"/>
  <c r="AK495" i="3"/>
  <c r="R495" i="3"/>
  <c r="Q495" i="3"/>
  <c r="AM495" i="3"/>
  <c r="T495" i="3"/>
  <c r="S495" i="3"/>
  <c r="AD495" i="3"/>
  <c r="O495" i="3"/>
  <c r="AE495" i="3"/>
  <c r="M495" i="3"/>
  <c r="V495" i="3"/>
  <c r="P495" i="3"/>
  <c r="AF495" i="3"/>
  <c r="U495" i="3"/>
  <c r="G495" i="3"/>
  <c r="H495" i="3" s="1"/>
  <c r="F495" i="3"/>
  <c r="BN495" i="3" l="1"/>
  <c r="BM495" i="3"/>
  <c r="BC492" i="3"/>
  <c r="BD492" i="3" s="1"/>
  <c r="BG491" i="3"/>
  <c r="BH491" i="3" s="1"/>
  <c r="BI491" i="3" s="1"/>
  <c r="AY493" i="3"/>
  <c r="AO495" i="3"/>
  <c r="AX494" i="3"/>
  <c r="AT494" i="3"/>
  <c r="Y495" i="3"/>
  <c r="Z495" i="3" s="1"/>
  <c r="B496" i="3"/>
  <c r="AQ496" i="3"/>
  <c r="AR496" i="3"/>
  <c r="A497" i="3"/>
  <c r="C496" i="3"/>
  <c r="S496" i="3"/>
  <c r="AM496" i="3"/>
  <c r="D496" i="3"/>
  <c r="AK496" i="3"/>
  <c r="T496" i="3"/>
  <c r="AD496" i="3"/>
  <c r="Q496" i="3"/>
  <c r="R496" i="3"/>
  <c r="P496" i="3"/>
  <c r="O496" i="3"/>
  <c r="AE496" i="3"/>
  <c r="M496" i="3"/>
  <c r="AF496" i="3"/>
  <c r="V496" i="3"/>
  <c r="U496" i="3"/>
  <c r="F496" i="3"/>
  <c r="G496" i="3"/>
  <c r="H496" i="3" s="1"/>
  <c r="AV493" i="3"/>
  <c r="BA493" i="3"/>
  <c r="AH495" i="3"/>
  <c r="AN495" i="3"/>
  <c r="X495" i="3"/>
  <c r="AU494" i="3"/>
  <c r="AW494" i="3"/>
  <c r="BB492" i="3"/>
  <c r="BQ492" i="3"/>
  <c r="BF492" i="3"/>
  <c r="BJ491" i="3" s="1"/>
  <c r="BK491" i="3" s="1"/>
  <c r="AG495" i="3"/>
  <c r="BM496" i="3" l="1"/>
  <c r="BN496" i="3"/>
  <c r="AO496" i="3"/>
  <c r="BG492" i="3"/>
  <c r="BH492" i="3" s="1"/>
  <c r="BI492" i="3" s="1"/>
  <c r="BC493" i="3"/>
  <c r="BD493" i="3" s="1"/>
  <c r="AW495" i="3"/>
  <c r="AY494" i="3"/>
  <c r="AH496" i="3"/>
  <c r="BA494" i="3"/>
  <c r="BQ494" i="3" s="1"/>
  <c r="AT495" i="3"/>
  <c r="AX495" i="3"/>
  <c r="AN496" i="3"/>
  <c r="X496" i="3"/>
  <c r="AV494" i="3"/>
  <c r="BF493" i="3"/>
  <c r="BJ492" i="3" s="1"/>
  <c r="BK492" i="3" s="1"/>
  <c r="BQ493" i="3"/>
  <c r="BB493" i="3"/>
  <c r="Y496" i="3"/>
  <c r="Z496" i="3" s="1"/>
  <c r="AQ497" i="3"/>
  <c r="B497" i="3"/>
  <c r="A498" i="3"/>
  <c r="AR497" i="3"/>
  <c r="C497" i="3"/>
  <c r="AM497" i="3"/>
  <c r="R497" i="3"/>
  <c r="D497" i="3"/>
  <c r="AK497" i="3"/>
  <c r="Q497" i="3"/>
  <c r="AD497" i="3"/>
  <c r="P497" i="3"/>
  <c r="S497" i="3"/>
  <c r="O497" i="3"/>
  <c r="AE497" i="3"/>
  <c r="AF497" i="3"/>
  <c r="V497" i="3"/>
  <c r="M497" i="3"/>
  <c r="U497" i="3"/>
  <c r="F497" i="3"/>
  <c r="G497" i="3"/>
  <c r="H497" i="3" s="1"/>
  <c r="T497" i="3"/>
  <c r="AU495" i="3"/>
  <c r="AG496" i="3"/>
  <c r="BG493" i="3" l="1"/>
  <c r="BH493" i="3" s="1"/>
  <c r="BI493" i="3" s="1"/>
  <c r="AG497" i="3"/>
  <c r="BN497" i="3"/>
  <c r="AO497" i="3"/>
  <c r="AY495" i="3"/>
  <c r="AW496" i="3"/>
  <c r="BC494" i="3"/>
  <c r="BD494" i="3" s="1"/>
  <c r="BB494" i="3"/>
  <c r="AU496" i="3"/>
  <c r="AX496" i="3"/>
  <c r="BF494" i="3"/>
  <c r="BJ493" i="3" s="1"/>
  <c r="BK493" i="3" s="1"/>
  <c r="Y497" i="3"/>
  <c r="Z497" i="3" s="1"/>
  <c r="BM497" i="3"/>
  <c r="AN497" i="3"/>
  <c r="AT496" i="3"/>
  <c r="AV495" i="3"/>
  <c r="B498" i="3"/>
  <c r="A499" i="3"/>
  <c r="AQ498" i="3"/>
  <c r="AR498" i="3"/>
  <c r="C498" i="3"/>
  <c r="AM498" i="3"/>
  <c r="AK498" i="3"/>
  <c r="T498" i="3"/>
  <c r="S498" i="3"/>
  <c r="D498" i="3"/>
  <c r="Q498" i="3"/>
  <c r="AD498" i="3"/>
  <c r="P498" i="3"/>
  <c r="M498" i="3"/>
  <c r="AF498" i="3"/>
  <c r="AE498" i="3"/>
  <c r="V498" i="3"/>
  <c r="O498" i="3"/>
  <c r="G498" i="3"/>
  <c r="H498" i="3" s="1"/>
  <c r="U498" i="3"/>
  <c r="R498" i="3"/>
  <c r="F498" i="3"/>
  <c r="AH497" i="3"/>
  <c r="X497" i="3"/>
  <c r="BA495" i="3"/>
  <c r="AY496" i="3" l="1"/>
  <c r="BC495" i="3"/>
  <c r="BD495" i="3" s="1"/>
  <c r="BM498" i="3"/>
  <c r="AW497" i="3"/>
  <c r="BG494" i="3"/>
  <c r="BH494" i="3" s="1"/>
  <c r="BI494" i="3" s="1"/>
  <c r="AU497" i="3"/>
  <c r="AN498" i="3"/>
  <c r="AV496" i="3"/>
  <c r="BF495" i="3"/>
  <c r="BJ494" i="3" s="1"/>
  <c r="BK494" i="3" s="1"/>
  <c r="BB495" i="3"/>
  <c r="BQ495" i="3"/>
  <c r="Y498" i="3"/>
  <c r="Z498" i="3" s="1"/>
  <c r="AX497" i="3"/>
  <c r="BN498" i="3"/>
  <c r="AO498" i="3"/>
  <c r="X498" i="3"/>
  <c r="AT497" i="3"/>
  <c r="BA496" i="3"/>
  <c r="AH498" i="3"/>
  <c r="AG498" i="3"/>
  <c r="AR499" i="3"/>
  <c r="B499" i="3"/>
  <c r="AQ499" i="3"/>
  <c r="A500" i="3"/>
  <c r="D499" i="3"/>
  <c r="C499" i="3"/>
  <c r="AM499" i="3"/>
  <c r="AK499" i="3"/>
  <c r="Q499" i="3"/>
  <c r="P499" i="3"/>
  <c r="S499" i="3"/>
  <c r="R499" i="3"/>
  <c r="AD499" i="3"/>
  <c r="O499" i="3"/>
  <c r="M499" i="3"/>
  <c r="U499" i="3"/>
  <c r="AE499" i="3"/>
  <c r="AF499" i="3"/>
  <c r="V499" i="3"/>
  <c r="F499" i="3"/>
  <c r="G499" i="3"/>
  <c r="H499" i="3" s="1"/>
  <c r="BN499" i="3" s="1"/>
  <c r="T499" i="3"/>
  <c r="BM499" i="3" l="1"/>
  <c r="BC496" i="3"/>
  <c r="BD496" i="3" s="1"/>
  <c r="BG495" i="3"/>
  <c r="BH495" i="3" s="1"/>
  <c r="BI495" i="3" s="1"/>
  <c r="AY497" i="3"/>
  <c r="AG499" i="3"/>
  <c r="AO499" i="3"/>
  <c r="AN499" i="3"/>
  <c r="AW498" i="3"/>
  <c r="AT498" i="3"/>
  <c r="AU498" i="3"/>
  <c r="B500" i="3"/>
  <c r="AQ500" i="3"/>
  <c r="AR500" i="3"/>
  <c r="A501" i="3"/>
  <c r="D500" i="3"/>
  <c r="C500" i="3"/>
  <c r="AM500" i="3"/>
  <c r="S500" i="3"/>
  <c r="AK500" i="3"/>
  <c r="R500" i="3"/>
  <c r="Q500" i="3"/>
  <c r="P500" i="3"/>
  <c r="AD500" i="3"/>
  <c r="M500" i="3"/>
  <c r="AE500" i="3"/>
  <c r="O500" i="3"/>
  <c r="AF500" i="3"/>
  <c r="U500" i="3"/>
  <c r="V500" i="3"/>
  <c r="G500" i="3"/>
  <c r="H500" i="3" s="1"/>
  <c r="F500" i="3"/>
  <c r="T500" i="3"/>
  <c r="BF496" i="3"/>
  <c r="BJ495" i="3" s="1"/>
  <c r="BK495" i="3" s="1"/>
  <c r="BB496" i="3"/>
  <c r="BQ496" i="3"/>
  <c r="Y499" i="3"/>
  <c r="Z499" i="3" s="1"/>
  <c r="X499" i="3"/>
  <c r="BA497" i="3"/>
  <c r="AV497" i="3"/>
  <c r="AH499" i="3"/>
  <c r="AX498" i="3"/>
  <c r="AO500" i="3" l="1"/>
  <c r="BC497" i="3"/>
  <c r="BG497" i="3" s="1"/>
  <c r="BH497" i="3" s="1"/>
  <c r="BI497" i="3" s="1"/>
  <c r="BG496" i="3"/>
  <c r="BH496" i="3" s="1"/>
  <c r="BI496" i="3" s="1"/>
  <c r="AX499" i="3"/>
  <c r="BN500" i="3"/>
  <c r="AH500" i="3"/>
  <c r="AY498" i="3"/>
  <c r="BA498" i="3"/>
  <c r="BB498" i="3" s="1"/>
  <c r="Y500" i="3"/>
  <c r="Z500" i="3" s="1"/>
  <c r="AV498" i="3"/>
  <c r="AU499" i="3"/>
  <c r="AW499" i="3"/>
  <c r="AT499" i="3"/>
  <c r="BM500" i="3"/>
  <c r="AG500" i="3"/>
  <c r="AN500" i="3"/>
  <c r="BF497" i="3"/>
  <c r="BJ496" i="3" s="1"/>
  <c r="BK496" i="3" s="1"/>
  <c r="BB497" i="3"/>
  <c r="BQ497" i="3"/>
  <c r="AQ501" i="3"/>
  <c r="B501" i="3"/>
  <c r="A502" i="3"/>
  <c r="AR501" i="3"/>
  <c r="C501" i="3"/>
  <c r="AK501" i="3"/>
  <c r="AM501" i="3"/>
  <c r="D501" i="3"/>
  <c r="T501" i="3"/>
  <c r="S501" i="3"/>
  <c r="R501" i="3"/>
  <c r="AD501" i="3"/>
  <c r="Q501" i="3"/>
  <c r="P501" i="3"/>
  <c r="AF501" i="3"/>
  <c r="AE501" i="3"/>
  <c r="U501" i="3"/>
  <c r="V501" i="3"/>
  <c r="O501" i="3"/>
  <c r="M501" i="3"/>
  <c r="F501" i="3"/>
  <c r="BM501" i="3" s="1"/>
  <c r="G501" i="3"/>
  <c r="H501" i="3" s="1"/>
  <c r="X500" i="3"/>
  <c r="BD497" i="3" l="1"/>
  <c r="BN501" i="3"/>
  <c r="AY499" i="3"/>
  <c r="AU500" i="3"/>
  <c r="AV499" i="3"/>
  <c r="AT500" i="3"/>
  <c r="AG501" i="3"/>
  <c r="BC498" i="3"/>
  <c r="BG498" i="3" s="1"/>
  <c r="BH498" i="3" s="1"/>
  <c r="BI498" i="3" s="1"/>
  <c r="BQ498" i="3"/>
  <c r="BF498" i="3"/>
  <c r="BJ497" i="3" s="1"/>
  <c r="BK497" i="3" s="1"/>
  <c r="BA499" i="3"/>
  <c r="BQ499" i="3" s="1"/>
  <c r="AX500" i="3"/>
  <c r="B502" i="3"/>
  <c r="A503" i="3"/>
  <c r="AQ502" i="3"/>
  <c r="AR502" i="3"/>
  <c r="C502" i="3"/>
  <c r="D502" i="3"/>
  <c r="AK502" i="3"/>
  <c r="AM502" i="3"/>
  <c r="S502" i="3"/>
  <c r="R502" i="3"/>
  <c r="AD502" i="3"/>
  <c r="P502" i="3"/>
  <c r="M502" i="3"/>
  <c r="O502" i="3"/>
  <c r="U502" i="3"/>
  <c r="V502" i="3"/>
  <c r="AF502" i="3"/>
  <c r="AE502" i="3"/>
  <c r="G502" i="3"/>
  <c r="H502" i="3" s="1"/>
  <c r="F502" i="3"/>
  <c r="Q502" i="3"/>
  <c r="T502" i="3"/>
  <c r="X501" i="3"/>
  <c r="AW500" i="3"/>
  <c r="Y501" i="3"/>
  <c r="Z501" i="3" s="1"/>
  <c r="AN501" i="3"/>
  <c r="AO501" i="3"/>
  <c r="AH501" i="3"/>
  <c r="BC499" i="3" l="1"/>
  <c r="BG499" i="3" s="1"/>
  <c r="BH499" i="3" s="1"/>
  <c r="BI499" i="3" s="1"/>
  <c r="AV500" i="3"/>
  <c r="BF499" i="3"/>
  <c r="BJ498" i="3" s="1"/>
  <c r="BK498" i="3" s="1"/>
  <c r="BD498" i="3"/>
  <c r="BM502" i="3"/>
  <c r="AU501" i="3"/>
  <c r="BB499" i="3"/>
  <c r="AY500" i="3"/>
  <c r="AN502" i="3"/>
  <c r="AW501" i="3"/>
  <c r="AT501" i="3"/>
  <c r="AG502" i="3"/>
  <c r="BA500" i="3"/>
  <c r="BF500" i="3" s="1"/>
  <c r="Y502" i="3"/>
  <c r="Z502" i="3" s="1"/>
  <c r="AX501" i="3"/>
  <c r="BN502" i="3"/>
  <c r="AH502" i="3"/>
  <c r="AO502" i="3"/>
  <c r="X502" i="3"/>
  <c r="AR503" i="3"/>
  <c r="B503" i="3"/>
  <c r="AQ503" i="3"/>
  <c r="A504" i="3"/>
  <c r="C503" i="3"/>
  <c r="T503" i="3"/>
  <c r="S503" i="3"/>
  <c r="AK503" i="3"/>
  <c r="D503" i="3"/>
  <c r="AM503" i="3"/>
  <c r="Q503" i="3"/>
  <c r="R503" i="3"/>
  <c r="AD503" i="3"/>
  <c r="P503" i="3"/>
  <c r="O503" i="3"/>
  <c r="M503" i="3"/>
  <c r="AF503" i="3"/>
  <c r="U503" i="3"/>
  <c r="AE503" i="3"/>
  <c r="V503" i="3"/>
  <c r="G503" i="3"/>
  <c r="H503" i="3" s="1"/>
  <c r="F503" i="3"/>
  <c r="BN503" i="3" l="1"/>
  <c r="BD499" i="3"/>
  <c r="BC500" i="3"/>
  <c r="BG500" i="3" s="1"/>
  <c r="BH500" i="3" s="1"/>
  <c r="BI500" i="3" s="1"/>
  <c r="AU502" i="3"/>
  <c r="AV501" i="3"/>
  <c r="BJ499" i="3"/>
  <c r="BK499" i="3" s="1"/>
  <c r="AN503" i="3"/>
  <c r="BM503" i="3"/>
  <c r="AG503" i="3"/>
  <c r="BA501" i="3"/>
  <c r="BB501" i="3" s="1"/>
  <c r="AT502" i="3"/>
  <c r="AW502" i="3"/>
  <c r="BQ500" i="3"/>
  <c r="AY501" i="3"/>
  <c r="BB500" i="3"/>
  <c r="Y503" i="3"/>
  <c r="Z503" i="3" s="1"/>
  <c r="AH503" i="3"/>
  <c r="X503" i="3"/>
  <c r="AX502" i="3"/>
  <c r="B504" i="3"/>
  <c r="AQ504" i="3"/>
  <c r="AR504" i="3"/>
  <c r="A505" i="3"/>
  <c r="D504" i="3"/>
  <c r="AM504" i="3"/>
  <c r="T504" i="3"/>
  <c r="C504" i="3"/>
  <c r="AK504" i="3"/>
  <c r="R504" i="3"/>
  <c r="Q504" i="3"/>
  <c r="AD504" i="3"/>
  <c r="P504" i="3"/>
  <c r="S504" i="3"/>
  <c r="M504" i="3"/>
  <c r="AE504" i="3"/>
  <c r="O504" i="3"/>
  <c r="U504" i="3"/>
  <c r="AF504" i="3"/>
  <c r="V504" i="3"/>
  <c r="G504" i="3"/>
  <c r="H504" i="3" s="1"/>
  <c r="BN504" i="3" s="1"/>
  <c r="F504" i="3"/>
  <c r="AO503" i="3"/>
  <c r="BM504" i="3" l="1"/>
  <c r="BD500" i="3"/>
  <c r="BF501" i="3"/>
  <c r="BJ500" i="3" s="1"/>
  <c r="BK500" i="3" s="1"/>
  <c r="AV502" i="3"/>
  <c r="BC501" i="3"/>
  <c r="BD501" i="3" s="1"/>
  <c r="AU503" i="3"/>
  <c r="AT503" i="3"/>
  <c r="BQ501" i="3"/>
  <c r="BA502" i="3"/>
  <c r="BQ502" i="3" s="1"/>
  <c r="AW503" i="3"/>
  <c r="AY502" i="3"/>
  <c r="AO504" i="3"/>
  <c r="AQ505" i="3"/>
  <c r="B505" i="3"/>
  <c r="A506" i="3"/>
  <c r="AR505" i="3"/>
  <c r="D505" i="3"/>
  <c r="C505" i="3"/>
  <c r="AK505" i="3"/>
  <c r="AM505" i="3"/>
  <c r="T505" i="3"/>
  <c r="P505" i="3"/>
  <c r="S505" i="3"/>
  <c r="Q505" i="3"/>
  <c r="AD505" i="3"/>
  <c r="M505" i="3"/>
  <c r="AE505" i="3"/>
  <c r="V505" i="3"/>
  <c r="U505" i="3"/>
  <c r="O505" i="3"/>
  <c r="AF505" i="3"/>
  <c r="G505" i="3"/>
  <c r="H505" i="3" s="1"/>
  <c r="F505" i="3"/>
  <c r="R505" i="3"/>
  <c r="AG504" i="3"/>
  <c r="AH504" i="3"/>
  <c r="X504" i="3"/>
  <c r="AN504" i="3"/>
  <c r="AX503" i="3"/>
  <c r="Y504" i="3"/>
  <c r="Z504" i="3" s="1"/>
  <c r="BG501" i="3" l="1"/>
  <c r="BH501" i="3" s="1"/>
  <c r="BI501" i="3" s="1"/>
  <c r="BC502" i="3"/>
  <c r="BD502" i="3" s="1"/>
  <c r="AV503" i="3"/>
  <c r="BM505" i="3"/>
  <c r="BF502" i="3"/>
  <c r="BJ501" i="3" s="1"/>
  <c r="BK501" i="3" s="1"/>
  <c r="BB502" i="3"/>
  <c r="AY503" i="3"/>
  <c r="AT504" i="3"/>
  <c r="AO505" i="3"/>
  <c r="BA503" i="3"/>
  <c r="BF503" i="3" s="1"/>
  <c r="AX504" i="3"/>
  <c r="AH505" i="3"/>
  <c r="AU504" i="3"/>
  <c r="AW504" i="3"/>
  <c r="BN505" i="3"/>
  <c r="AN505" i="3"/>
  <c r="X505" i="3"/>
  <c r="Y505" i="3"/>
  <c r="Z505" i="3" s="1"/>
  <c r="B506" i="3"/>
  <c r="A507" i="3"/>
  <c r="AQ506" i="3"/>
  <c r="AR506" i="3"/>
  <c r="C506" i="3"/>
  <c r="D506" i="3"/>
  <c r="S506" i="3"/>
  <c r="Q506" i="3"/>
  <c r="AM506" i="3"/>
  <c r="AK506" i="3"/>
  <c r="T506" i="3"/>
  <c r="R506" i="3"/>
  <c r="AD506" i="3"/>
  <c r="P506" i="3"/>
  <c r="AE506" i="3"/>
  <c r="AF506" i="3"/>
  <c r="M506" i="3"/>
  <c r="U506" i="3"/>
  <c r="O506" i="3"/>
  <c r="V506" i="3"/>
  <c r="G506" i="3"/>
  <c r="H506" i="3" s="1"/>
  <c r="F506" i="3"/>
  <c r="AG505" i="3"/>
  <c r="BC503" i="3" l="1"/>
  <c r="BG503" i="3" s="1"/>
  <c r="BH503" i="3" s="1"/>
  <c r="BI503" i="3" s="1"/>
  <c r="BG502" i="3"/>
  <c r="BH502" i="3" s="1"/>
  <c r="BI502" i="3" s="1"/>
  <c r="BN506" i="3"/>
  <c r="BJ502" i="3"/>
  <c r="BK502" i="3" s="1"/>
  <c r="AW505" i="3"/>
  <c r="AV504" i="3"/>
  <c r="AG506" i="3"/>
  <c r="AU505" i="3"/>
  <c r="AN506" i="3"/>
  <c r="BQ503" i="3"/>
  <c r="BB503" i="3"/>
  <c r="Y506" i="3"/>
  <c r="Z506" i="3" s="1"/>
  <c r="AR507" i="3"/>
  <c r="B507" i="3"/>
  <c r="AQ507" i="3"/>
  <c r="A508" i="3"/>
  <c r="D507" i="3"/>
  <c r="C507" i="3"/>
  <c r="AK507" i="3"/>
  <c r="S507" i="3"/>
  <c r="AM507" i="3"/>
  <c r="R507" i="3"/>
  <c r="Q507" i="3"/>
  <c r="AD507" i="3"/>
  <c r="P507" i="3"/>
  <c r="M507" i="3"/>
  <c r="U507" i="3"/>
  <c r="O507" i="3"/>
  <c r="AF507" i="3"/>
  <c r="AE507" i="3"/>
  <c r="V507" i="3"/>
  <c r="F507" i="3"/>
  <c r="G507" i="3"/>
  <c r="H507" i="3" s="1"/>
  <c r="BN507" i="3" s="1"/>
  <c r="T507" i="3"/>
  <c r="BA504" i="3"/>
  <c r="AY504" i="3"/>
  <c r="X506" i="3"/>
  <c r="BM506" i="3"/>
  <c r="AO506" i="3"/>
  <c r="AT505" i="3"/>
  <c r="AX505" i="3"/>
  <c r="AH506" i="3"/>
  <c r="AV505" i="3" l="1"/>
  <c r="BD503" i="3"/>
  <c r="BM507" i="3"/>
  <c r="AN507" i="3"/>
  <c r="AW506" i="3"/>
  <c r="AY505" i="3"/>
  <c r="BC504" i="3"/>
  <c r="BD504" i="3" s="1"/>
  <c r="AU506" i="3"/>
  <c r="AX506" i="3"/>
  <c r="BB504" i="3"/>
  <c r="BQ504" i="3"/>
  <c r="BF504" i="3"/>
  <c r="BJ503" i="3" s="1"/>
  <c r="BK503" i="3" s="1"/>
  <c r="AT506" i="3"/>
  <c r="AO507" i="3"/>
  <c r="B508" i="3"/>
  <c r="AQ508" i="3"/>
  <c r="AR508" i="3"/>
  <c r="A509" i="3"/>
  <c r="D508" i="3"/>
  <c r="AM508" i="3"/>
  <c r="T508" i="3"/>
  <c r="C508" i="3"/>
  <c r="AK508" i="3"/>
  <c r="S508" i="3"/>
  <c r="Q508" i="3"/>
  <c r="AD508" i="3"/>
  <c r="P508" i="3"/>
  <c r="O508" i="3"/>
  <c r="AF508" i="3"/>
  <c r="V508" i="3"/>
  <c r="U508" i="3"/>
  <c r="AE508" i="3"/>
  <c r="M508" i="3"/>
  <c r="R508" i="3"/>
  <c r="G508" i="3"/>
  <c r="H508" i="3" s="1"/>
  <c r="F508" i="3"/>
  <c r="BA505" i="3"/>
  <c r="Y507" i="3"/>
  <c r="Z507" i="3" s="1"/>
  <c r="AG507" i="3"/>
  <c r="AH507" i="3"/>
  <c r="X507" i="3"/>
  <c r="BN508" i="3" l="1"/>
  <c r="BC505" i="3"/>
  <c r="BG505" i="3" s="1"/>
  <c r="BH505" i="3" s="1"/>
  <c r="BI505" i="3" s="1"/>
  <c r="BM508" i="3"/>
  <c r="AY506" i="3"/>
  <c r="AG508" i="3"/>
  <c r="BG504" i="3"/>
  <c r="BH504" i="3" s="1"/>
  <c r="BI504" i="3" s="1"/>
  <c r="AX507" i="3"/>
  <c r="AO508" i="3"/>
  <c r="AN508" i="3"/>
  <c r="AQ509" i="3"/>
  <c r="B509" i="3"/>
  <c r="A510" i="3"/>
  <c r="AR509" i="3"/>
  <c r="C509" i="3"/>
  <c r="AM509" i="3"/>
  <c r="S509" i="3"/>
  <c r="AK509" i="3"/>
  <c r="D509" i="3"/>
  <c r="R509" i="3"/>
  <c r="P509" i="3"/>
  <c r="Q509" i="3"/>
  <c r="AD509" i="3"/>
  <c r="O509" i="3"/>
  <c r="AE509" i="3"/>
  <c r="U509" i="3"/>
  <c r="M509" i="3"/>
  <c r="AF509" i="3"/>
  <c r="V509" i="3"/>
  <c r="G509" i="3"/>
  <c r="H509" i="3" s="1"/>
  <c r="F509" i="3"/>
  <c r="T509" i="3"/>
  <c r="BQ505" i="3"/>
  <c r="BF505" i="3"/>
  <c r="BJ504" i="3" s="1"/>
  <c r="BK504" i="3" s="1"/>
  <c r="BB505" i="3"/>
  <c r="Y508" i="3"/>
  <c r="Z508" i="3" s="1"/>
  <c r="AW507" i="3"/>
  <c r="AU507" i="3"/>
  <c r="BA506" i="3"/>
  <c r="AV506" i="3"/>
  <c r="AH508" i="3"/>
  <c r="AU508" i="3" s="1"/>
  <c r="X508" i="3"/>
  <c r="AT507" i="3"/>
  <c r="BD505" i="3" l="1"/>
  <c r="BC506" i="3"/>
  <c r="BD506" i="3" s="1"/>
  <c r="BM509" i="3"/>
  <c r="AO509" i="3"/>
  <c r="BN509" i="3"/>
  <c r="AY507" i="3"/>
  <c r="AV507" i="3"/>
  <c r="BA507" i="3"/>
  <c r="BB506" i="3"/>
  <c r="BQ506" i="3"/>
  <c r="BF506" i="3"/>
  <c r="BJ505" i="3" s="1"/>
  <c r="BK505" i="3" s="1"/>
  <c r="B510" i="3"/>
  <c r="A511" i="3"/>
  <c r="AQ510" i="3"/>
  <c r="AR510" i="3"/>
  <c r="D510" i="3"/>
  <c r="C510" i="3"/>
  <c r="AM510" i="3"/>
  <c r="R510" i="3"/>
  <c r="AK510" i="3"/>
  <c r="S510" i="3"/>
  <c r="Q510" i="3"/>
  <c r="AD510" i="3"/>
  <c r="P510" i="3"/>
  <c r="O510" i="3"/>
  <c r="M510" i="3"/>
  <c r="AF510" i="3"/>
  <c r="AE510" i="3"/>
  <c r="U510" i="3"/>
  <c r="V510" i="3"/>
  <c r="G510" i="3"/>
  <c r="H510" i="3" s="1"/>
  <c r="F510" i="3"/>
  <c r="T510" i="3"/>
  <c r="Y509" i="3"/>
  <c r="Z509" i="3" s="1"/>
  <c r="AW508" i="3"/>
  <c r="AT508" i="3"/>
  <c r="AG509" i="3"/>
  <c r="AH509" i="3"/>
  <c r="X509" i="3"/>
  <c r="AX508" i="3"/>
  <c r="AN509" i="3"/>
  <c r="BG506" i="3" l="1"/>
  <c r="BH506" i="3" s="1"/>
  <c r="BI506" i="3" s="1"/>
  <c r="AO510" i="3"/>
  <c r="BM510" i="3"/>
  <c r="BN510" i="3"/>
  <c r="BC507" i="3"/>
  <c r="BD507" i="3" s="1"/>
  <c r="AU509" i="3"/>
  <c r="AG510" i="3"/>
  <c r="AY508" i="3"/>
  <c r="AV508" i="3"/>
  <c r="BA508" i="3"/>
  <c r="AR511" i="3"/>
  <c r="B511" i="3"/>
  <c r="AQ511" i="3"/>
  <c r="A512" i="3"/>
  <c r="D511" i="3"/>
  <c r="C511" i="3"/>
  <c r="AM511" i="3"/>
  <c r="AK511" i="3"/>
  <c r="S511" i="3"/>
  <c r="AD511" i="3"/>
  <c r="P511" i="3"/>
  <c r="AE511" i="3"/>
  <c r="U511" i="3"/>
  <c r="O511" i="3"/>
  <c r="M511" i="3"/>
  <c r="AF511" i="3"/>
  <c r="V511" i="3"/>
  <c r="Q511" i="3"/>
  <c r="G511" i="3"/>
  <c r="H511" i="3" s="1"/>
  <c r="F511" i="3"/>
  <c r="R511" i="3"/>
  <c r="T511" i="3"/>
  <c r="AW509" i="3"/>
  <c r="AT509" i="3"/>
  <c r="AX509" i="3"/>
  <c r="Y510" i="3"/>
  <c r="Z510" i="3" s="1"/>
  <c r="AH510" i="3"/>
  <c r="X510" i="3"/>
  <c r="BQ507" i="3"/>
  <c r="BF507" i="3"/>
  <c r="BJ506" i="3" s="1"/>
  <c r="BK506" i="3" s="1"/>
  <c r="BB507" i="3"/>
  <c r="AN510" i="3"/>
  <c r="BN511" i="3" l="1"/>
  <c r="BM511" i="3"/>
  <c r="AU510" i="3"/>
  <c r="BG507" i="3"/>
  <c r="BH507" i="3" s="1"/>
  <c r="BI507" i="3" s="1"/>
  <c r="AT510" i="3"/>
  <c r="AW510" i="3"/>
  <c r="AO511" i="3"/>
  <c r="BC508" i="3"/>
  <c r="BD508" i="3" s="1"/>
  <c r="BA509" i="3"/>
  <c r="BQ509" i="3" s="1"/>
  <c r="Y511" i="3"/>
  <c r="Z511" i="3" s="1"/>
  <c r="AV509" i="3"/>
  <c r="AX510" i="3"/>
  <c r="AY509" i="3"/>
  <c r="AN511" i="3"/>
  <c r="B512" i="3"/>
  <c r="AQ512" i="3"/>
  <c r="AR512" i="3"/>
  <c r="A513" i="3"/>
  <c r="C512" i="3"/>
  <c r="AM512" i="3"/>
  <c r="AK512" i="3"/>
  <c r="S512" i="3"/>
  <c r="D512" i="3"/>
  <c r="R512" i="3"/>
  <c r="Q512" i="3"/>
  <c r="AD512" i="3"/>
  <c r="P512" i="3"/>
  <c r="O512" i="3"/>
  <c r="M512" i="3"/>
  <c r="V512" i="3"/>
  <c r="AF512" i="3"/>
  <c r="AE512" i="3"/>
  <c r="U512" i="3"/>
  <c r="G512" i="3"/>
  <c r="H512" i="3" s="1"/>
  <c r="F512" i="3"/>
  <c r="BM512" i="3" s="1"/>
  <c r="T512" i="3"/>
  <c r="BB508" i="3"/>
  <c r="BF508" i="3"/>
  <c r="BJ507" i="3" s="1"/>
  <c r="BK507" i="3" s="1"/>
  <c r="BQ508" i="3"/>
  <c r="AG511" i="3"/>
  <c r="AH511" i="3"/>
  <c r="X511" i="3"/>
  <c r="AV510" i="3" l="1"/>
  <c r="BF509" i="3"/>
  <c r="BJ508" i="3" s="1"/>
  <c r="BK508" i="3" s="1"/>
  <c r="BN512" i="3"/>
  <c r="AY510" i="3"/>
  <c r="BC509" i="3"/>
  <c r="BG509" i="3" s="1"/>
  <c r="BH509" i="3" s="1"/>
  <c r="BI509" i="3" s="1"/>
  <c r="BA510" i="3"/>
  <c r="BF510" i="3" s="1"/>
  <c r="AG512" i="3"/>
  <c r="BG508" i="3"/>
  <c r="BH508" i="3" s="1"/>
  <c r="BI508" i="3" s="1"/>
  <c r="AN512" i="3"/>
  <c r="AX511" i="3"/>
  <c r="Y512" i="3"/>
  <c r="Z512" i="3" s="1"/>
  <c r="BB509" i="3"/>
  <c r="AW511" i="3"/>
  <c r="AO512" i="3"/>
  <c r="X512" i="3"/>
  <c r="AU511" i="3"/>
  <c r="AQ513" i="3"/>
  <c r="B513" i="3"/>
  <c r="A514" i="3"/>
  <c r="AR513" i="3"/>
  <c r="C513" i="3"/>
  <c r="D513" i="3"/>
  <c r="AK513" i="3"/>
  <c r="AM513" i="3"/>
  <c r="T513" i="3"/>
  <c r="S513" i="3"/>
  <c r="Q513" i="3"/>
  <c r="R513" i="3"/>
  <c r="AD513" i="3"/>
  <c r="P513" i="3"/>
  <c r="O513" i="3"/>
  <c r="AE513" i="3"/>
  <c r="M513" i="3"/>
  <c r="AF513" i="3"/>
  <c r="V513" i="3"/>
  <c r="U513" i="3"/>
  <c r="G513" i="3"/>
  <c r="H513" i="3" s="1"/>
  <c r="F513" i="3"/>
  <c r="AH512" i="3"/>
  <c r="AT511" i="3"/>
  <c r="BJ509" i="3" l="1"/>
  <c r="BK509" i="3" s="1"/>
  <c r="BC510" i="3"/>
  <c r="BD510" i="3" s="1"/>
  <c r="BD509" i="3"/>
  <c r="AN513" i="3"/>
  <c r="AY511" i="3"/>
  <c r="BM513" i="3"/>
  <c r="BQ510" i="3"/>
  <c r="BB510" i="3"/>
  <c r="AX512" i="3"/>
  <c r="AU512" i="3"/>
  <c r="AG513" i="3"/>
  <c r="Y513" i="3"/>
  <c r="Z513" i="3" s="1"/>
  <c r="AT512" i="3"/>
  <c r="AV511" i="3"/>
  <c r="BA511" i="3"/>
  <c r="B514" i="3"/>
  <c r="A515" i="3"/>
  <c r="AQ514" i="3"/>
  <c r="AR514" i="3"/>
  <c r="C514" i="3"/>
  <c r="S514" i="3"/>
  <c r="AM514" i="3"/>
  <c r="D514" i="3"/>
  <c r="AK514" i="3"/>
  <c r="R514" i="3"/>
  <c r="Q514" i="3"/>
  <c r="AD514" i="3"/>
  <c r="P514" i="3"/>
  <c r="O514" i="3"/>
  <c r="AE514" i="3"/>
  <c r="AF514" i="3"/>
  <c r="M514" i="3"/>
  <c r="U514" i="3"/>
  <c r="V514" i="3"/>
  <c r="G514" i="3"/>
  <c r="H514" i="3" s="1"/>
  <c r="F514" i="3"/>
  <c r="BM514" i="3" s="1"/>
  <c r="T514" i="3"/>
  <c r="BN513" i="3"/>
  <c r="AH513" i="3"/>
  <c r="AO513" i="3"/>
  <c r="X513" i="3"/>
  <c r="AW512" i="3"/>
  <c r="BN514" i="3" l="1"/>
  <c r="BG510" i="3"/>
  <c r="BH510" i="3" s="1"/>
  <c r="BI510" i="3" s="1"/>
  <c r="AU513" i="3"/>
  <c r="AO514" i="3"/>
  <c r="BC511" i="3"/>
  <c r="BG511" i="3" s="1"/>
  <c r="BH511" i="3" s="1"/>
  <c r="BI511" i="3" s="1"/>
  <c r="AY512" i="3"/>
  <c r="AG514" i="3"/>
  <c r="AR515" i="3"/>
  <c r="B515" i="3"/>
  <c r="AQ515" i="3"/>
  <c r="A516" i="3"/>
  <c r="D515" i="3"/>
  <c r="AK515" i="3"/>
  <c r="AM515" i="3"/>
  <c r="Q515" i="3"/>
  <c r="C515" i="3"/>
  <c r="T515" i="3"/>
  <c r="S515" i="3"/>
  <c r="R515" i="3"/>
  <c r="AD515" i="3"/>
  <c r="P515" i="3"/>
  <c r="O515" i="3"/>
  <c r="M515" i="3"/>
  <c r="AE515" i="3"/>
  <c r="AF515" i="3"/>
  <c r="V515" i="3"/>
  <c r="U515" i="3"/>
  <c r="F515" i="3"/>
  <c r="G515" i="3"/>
  <c r="H515" i="3" s="1"/>
  <c r="BF511" i="3"/>
  <c r="BJ510" i="3" s="1"/>
  <c r="BK510" i="3" s="1"/>
  <c r="BQ511" i="3"/>
  <c r="BB511" i="3"/>
  <c r="AV512" i="3"/>
  <c r="BA512" i="3"/>
  <c r="AX513" i="3"/>
  <c r="Y514" i="3"/>
  <c r="Z514" i="3" s="1"/>
  <c r="AH514" i="3"/>
  <c r="AW513" i="3"/>
  <c r="AN514" i="3"/>
  <c r="X514" i="3"/>
  <c r="AT513" i="3"/>
  <c r="BM515" i="3" l="1"/>
  <c r="BD511" i="3"/>
  <c r="AT514" i="3"/>
  <c r="BN515" i="3"/>
  <c r="BC512" i="3"/>
  <c r="BG512" i="3" s="1"/>
  <c r="BH512" i="3" s="1"/>
  <c r="BI512" i="3" s="1"/>
  <c r="AN515" i="3"/>
  <c r="AY513" i="3"/>
  <c r="AU514" i="3"/>
  <c r="AW514" i="3"/>
  <c r="AG515" i="3"/>
  <c r="Y515" i="3"/>
  <c r="Z515" i="3" s="1"/>
  <c r="X515" i="3"/>
  <c r="BF512" i="3"/>
  <c r="BQ512" i="3"/>
  <c r="BB512" i="3"/>
  <c r="BA513" i="3"/>
  <c r="AV513" i="3"/>
  <c r="B516" i="3"/>
  <c r="AQ516" i="3"/>
  <c r="AR516" i="3"/>
  <c r="A517" i="3"/>
  <c r="C516" i="3"/>
  <c r="D516" i="3"/>
  <c r="S516" i="3"/>
  <c r="Q516" i="3"/>
  <c r="AM516" i="3"/>
  <c r="AK516" i="3"/>
  <c r="T516" i="3"/>
  <c r="R516" i="3"/>
  <c r="AD516" i="3"/>
  <c r="P516" i="3"/>
  <c r="O516" i="3"/>
  <c r="M516" i="3"/>
  <c r="V516" i="3"/>
  <c r="AF516" i="3"/>
  <c r="AE516" i="3"/>
  <c r="U516" i="3"/>
  <c r="G516" i="3"/>
  <c r="H516" i="3" s="1"/>
  <c r="F516" i="3"/>
  <c r="AX514" i="3"/>
  <c r="AH515" i="3"/>
  <c r="AO515" i="3"/>
  <c r="BC513" i="3" l="1"/>
  <c r="BG513" i="3" s="1"/>
  <c r="BH513" i="3" s="1"/>
  <c r="BI513" i="3" s="1"/>
  <c r="BD512" i="3"/>
  <c r="AV514" i="3"/>
  <c r="AY514" i="3"/>
  <c r="BN516" i="3"/>
  <c r="AG516" i="3"/>
  <c r="AN516" i="3"/>
  <c r="Y516" i="3"/>
  <c r="Z516" i="3" s="1"/>
  <c r="AQ517" i="3"/>
  <c r="B517" i="3"/>
  <c r="A518" i="3"/>
  <c r="AR517" i="3"/>
  <c r="D517" i="3"/>
  <c r="C517" i="3"/>
  <c r="AK517" i="3"/>
  <c r="AM517" i="3"/>
  <c r="R517" i="3"/>
  <c r="S517" i="3"/>
  <c r="AD517" i="3"/>
  <c r="P517" i="3"/>
  <c r="AE517" i="3"/>
  <c r="O517" i="3"/>
  <c r="M517" i="3"/>
  <c r="AF517" i="3"/>
  <c r="U517" i="3"/>
  <c r="V517" i="3"/>
  <c r="Q517" i="3"/>
  <c r="G517" i="3"/>
  <c r="H517" i="3" s="1"/>
  <c r="F517" i="3"/>
  <c r="T517" i="3"/>
  <c r="BJ511" i="3"/>
  <c r="BK511" i="3" s="1"/>
  <c r="AH516" i="3"/>
  <c r="X516" i="3"/>
  <c r="AX515" i="3"/>
  <c r="BM516" i="3"/>
  <c r="AO516" i="3"/>
  <c r="BA514" i="3"/>
  <c r="AU515" i="3"/>
  <c r="AW515" i="3"/>
  <c r="BB513" i="3"/>
  <c r="BQ513" i="3"/>
  <c r="BF513" i="3"/>
  <c r="BJ512" i="3" s="1"/>
  <c r="BK512" i="3" s="1"/>
  <c r="AT515" i="3"/>
  <c r="BD513" i="3" l="1"/>
  <c r="AU516" i="3"/>
  <c r="BC514" i="3"/>
  <c r="BD514" i="3" s="1"/>
  <c r="AW516" i="3"/>
  <c r="Y517" i="3"/>
  <c r="Z517" i="3" s="1"/>
  <c r="BN517" i="3"/>
  <c r="AN517" i="3"/>
  <c r="AT516" i="3"/>
  <c r="AY515" i="3"/>
  <c r="BQ514" i="3"/>
  <c r="BF514" i="3"/>
  <c r="BJ513" i="3" s="1"/>
  <c r="BK513" i="3" s="1"/>
  <c r="BB514" i="3"/>
  <c r="B518" i="3"/>
  <c r="A519" i="3"/>
  <c r="AQ518" i="3"/>
  <c r="AR518" i="3"/>
  <c r="C518" i="3"/>
  <c r="D518" i="3"/>
  <c r="T518" i="3"/>
  <c r="S518" i="3"/>
  <c r="AK518" i="3"/>
  <c r="AM518" i="3"/>
  <c r="Q518" i="3"/>
  <c r="R518" i="3"/>
  <c r="AD518" i="3"/>
  <c r="P518" i="3"/>
  <c r="O518" i="3"/>
  <c r="M518" i="3"/>
  <c r="AE518" i="3"/>
  <c r="U518" i="3"/>
  <c r="AF518" i="3"/>
  <c r="V518" i="3"/>
  <c r="F518" i="3"/>
  <c r="BM518" i="3" s="1"/>
  <c r="G518" i="3"/>
  <c r="H518" i="3" s="1"/>
  <c r="AX516" i="3"/>
  <c r="BM517" i="3"/>
  <c r="AG517" i="3"/>
  <c r="AH517" i="3"/>
  <c r="AO517" i="3"/>
  <c r="AV515" i="3"/>
  <c r="BA515" i="3"/>
  <c r="X517" i="3"/>
  <c r="BN518" i="3" l="1"/>
  <c r="AV516" i="3"/>
  <c r="BG514" i="3"/>
  <c r="BH514" i="3" s="1"/>
  <c r="BI514" i="3" s="1"/>
  <c r="BA516" i="3"/>
  <c r="BB516" i="3" s="1"/>
  <c r="AU517" i="3"/>
  <c r="BC515" i="3"/>
  <c r="BG515" i="3" s="1"/>
  <c r="BH515" i="3" s="1"/>
  <c r="BI515" i="3" s="1"/>
  <c r="AO518" i="3"/>
  <c r="BF515" i="3"/>
  <c r="BJ514" i="3" s="1"/>
  <c r="BK514" i="3" s="1"/>
  <c r="BB515" i="3"/>
  <c r="BQ515" i="3"/>
  <c r="AH518" i="3"/>
  <c r="AG518" i="3"/>
  <c r="Y518" i="3"/>
  <c r="Z518" i="3" s="1"/>
  <c r="AR519" i="3"/>
  <c r="B519" i="3"/>
  <c r="AQ519" i="3"/>
  <c r="A520" i="3"/>
  <c r="D519" i="3"/>
  <c r="C519" i="3"/>
  <c r="S519" i="3"/>
  <c r="AK519" i="3"/>
  <c r="AM519" i="3"/>
  <c r="R519" i="3"/>
  <c r="Q519" i="3"/>
  <c r="AD519" i="3"/>
  <c r="P519" i="3"/>
  <c r="O519" i="3"/>
  <c r="AE519" i="3"/>
  <c r="M519" i="3"/>
  <c r="AF519" i="3"/>
  <c r="V519" i="3"/>
  <c r="U519" i="3"/>
  <c r="G519" i="3"/>
  <c r="H519" i="3" s="1"/>
  <c r="F519" i="3"/>
  <c r="T519" i="3"/>
  <c r="AW517" i="3"/>
  <c r="AY516" i="3"/>
  <c r="AT517" i="3"/>
  <c r="AX517" i="3"/>
  <c r="AN518" i="3"/>
  <c r="X518" i="3"/>
  <c r="BC516" i="3" l="1"/>
  <c r="BD516" i="3" s="1"/>
  <c r="BD515" i="3"/>
  <c r="BM519" i="3"/>
  <c r="BN519" i="3"/>
  <c r="BF516" i="3"/>
  <c r="BJ515" i="3" s="1"/>
  <c r="BK515" i="3" s="1"/>
  <c r="BQ516" i="3"/>
  <c r="AU518" i="3"/>
  <c r="AN519" i="3"/>
  <c r="Y519" i="3"/>
  <c r="Z519" i="3" s="1"/>
  <c r="AY517" i="3"/>
  <c r="AT518" i="3"/>
  <c r="AX518" i="3"/>
  <c r="AG519" i="3"/>
  <c r="BA517" i="3"/>
  <c r="AV517" i="3"/>
  <c r="B520" i="3"/>
  <c r="AQ520" i="3"/>
  <c r="AR520" i="3"/>
  <c r="A521" i="3"/>
  <c r="C520" i="3"/>
  <c r="AM520" i="3"/>
  <c r="S520" i="3"/>
  <c r="R520" i="3"/>
  <c r="D520" i="3"/>
  <c r="AK520" i="3"/>
  <c r="Q520" i="3"/>
  <c r="AD520" i="3"/>
  <c r="P520" i="3"/>
  <c r="O520" i="3"/>
  <c r="AF520" i="3"/>
  <c r="V520" i="3"/>
  <c r="AE520" i="3"/>
  <c r="M520" i="3"/>
  <c r="U520" i="3"/>
  <c r="F520" i="3"/>
  <c r="G520" i="3"/>
  <c r="H520" i="3" s="1"/>
  <c r="T520" i="3"/>
  <c r="AH519" i="3"/>
  <c r="AO519" i="3"/>
  <c r="X519" i="3"/>
  <c r="AW518" i="3"/>
  <c r="BN520" i="3" l="1"/>
  <c r="AV518" i="3"/>
  <c r="BG516" i="3"/>
  <c r="BH516" i="3" s="1"/>
  <c r="BI516" i="3" s="1"/>
  <c r="AO520" i="3"/>
  <c r="AY518" i="3"/>
  <c r="AG520" i="3"/>
  <c r="AX519" i="3"/>
  <c r="BC517" i="3"/>
  <c r="BD517" i="3" s="1"/>
  <c r="AQ521" i="3"/>
  <c r="B521" i="3"/>
  <c r="A522" i="3"/>
  <c r="AR521" i="3"/>
  <c r="C521" i="3"/>
  <c r="AM521" i="3"/>
  <c r="AK521" i="3"/>
  <c r="S521" i="3"/>
  <c r="D521" i="3"/>
  <c r="R521" i="3"/>
  <c r="Q521" i="3"/>
  <c r="AD521" i="3"/>
  <c r="P521" i="3"/>
  <c r="O521" i="3"/>
  <c r="M521" i="3"/>
  <c r="AF521" i="3"/>
  <c r="AE521" i="3"/>
  <c r="V521" i="3"/>
  <c r="U521" i="3"/>
  <c r="F521" i="3"/>
  <c r="G521" i="3"/>
  <c r="H521" i="3" s="1"/>
  <c r="T521" i="3"/>
  <c r="BA518" i="3"/>
  <c r="Y520" i="3"/>
  <c r="Z520" i="3" s="1"/>
  <c r="BM520" i="3"/>
  <c r="AH520" i="3"/>
  <c r="AN520" i="3"/>
  <c r="AT519" i="3"/>
  <c r="AW519" i="3"/>
  <c r="BB517" i="3"/>
  <c r="BF517" i="3"/>
  <c r="BJ516" i="3" s="1"/>
  <c r="BK516" i="3" s="1"/>
  <c r="BQ517" i="3"/>
  <c r="X520" i="3"/>
  <c r="AU519" i="3"/>
  <c r="BN521" i="3" l="1"/>
  <c r="AU520" i="3"/>
  <c r="BC518" i="3"/>
  <c r="BG518" i="3" s="1"/>
  <c r="BH518" i="3" s="1"/>
  <c r="BI518" i="3" s="1"/>
  <c r="AY519" i="3"/>
  <c r="BM521" i="3"/>
  <c r="AT520" i="3"/>
  <c r="BG517" i="3"/>
  <c r="BH517" i="3" s="1"/>
  <c r="BI517" i="3" s="1"/>
  <c r="AN521" i="3"/>
  <c r="AW520" i="3"/>
  <c r="Y521" i="3"/>
  <c r="Z521" i="3" s="1"/>
  <c r="AV519" i="3"/>
  <c r="BA519" i="3"/>
  <c r="BQ518" i="3"/>
  <c r="BF518" i="3"/>
  <c r="BJ517" i="3" s="1"/>
  <c r="BK517" i="3" s="1"/>
  <c r="BB518" i="3"/>
  <c r="B522" i="3"/>
  <c r="A523" i="3"/>
  <c r="AQ522" i="3"/>
  <c r="AR522" i="3"/>
  <c r="C522" i="3"/>
  <c r="AM522" i="3"/>
  <c r="R522" i="3"/>
  <c r="D522" i="3"/>
  <c r="AK522" i="3"/>
  <c r="S522" i="3"/>
  <c r="Q522" i="3"/>
  <c r="AD522" i="3"/>
  <c r="P522" i="3"/>
  <c r="O522" i="3"/>
  <c r="V522" i="3"/>
  <c r="M522" i="3"/>
  <c r="AF522" i="3"/>
  <c r="AE522" i="3"/>
  <c r="U522" i="3"/>
  <c r="F522" i="3"/>
  <c r="G522" i="3"/>
  <c r="H522" i="3" s="1"/>
  <c r="T522" i="3"/>
  <c r="AX520" i="3"/>
  <c r="AG521" i="3"/>
  <c r="AO521" i="3"/>
  <c r="X521" i="3"/>
  <c r="AH521" i="3"/>
  <c r="AV520" i="3" l="1"/>
  <c r="BD518" i="3"/>
  <c r="BC519" i="3"/>
  <c r="BD519" i="3" s="1"/>
  <c r="AY520" i="3"/>
  <c r="BM522" i="3"/>
  <c r="AG522" i="3"/>
  <c r="AX521" i="3"/>
  <c r="AN522" i="3"/>
  <c r="Y522" i="3"/>
  <c r="Z522" i="3" s="1"/>
  <c r="BB519" i="3"/>
  <c r="BQ519" i="3"/>
  <c r="BF519" i="3"/>
  <c r="BJ518" i="3" s="1"/>
  <c r="BK518" i="3" s="1"/>
  <c r="AH522" i="3"/>
  <c r="AT521" i="3"/>
  <c r="AU521" i="3"/>
  <c r="AW521" i="3"/>
  <c r="BN522" i="3"/>
  <c r="AO522" i="3"/>
  <c r="X522" i="3"/>
  <c r="BA520" i="3"/>
  <c r="AR523" i="3"/>
  <c r="B523" i="3"/>
  <c r="AQ523" i="3"/>
  <c r="A524" i="3"/>
  <c r="C523" i="3"/>
  <c r="D523" i="3"/>
  <c r="T523" i="3"/>
  <c r="S523" i="3"/>
  <c r="R523" i="3"/>
  <c r="AK523" i="3"/>
  <c r="AM523" i="3"/>
  <c r="Q523" i="3"/>
  <c r="AD523" i="3"/>
  <c r="O523" i="3"/>
  <c r="AE523" i="3"/>
  <c r="M523" i="3"/>
  <c r="V523" i="3"/>
  <c r="P523" i="3"/>
  <c r="AF523" i="3"/>
  <c r="U523" i="3"/>
  <c r="F523" i="3"/>
  <c r="BM523" i="3" s="1"/>
  <c r="G523" i="3"/>
  <c r="H523" i="3" s="1"/>
  <c r="BN523" i="3" s="1"/>
  <c r="BC520" i="3" l="1"/>
  <c r="BD520" i="3" s="1"/>
  <c r="BG519" i="3"/>
  <c r="BH519" i="3" s="1"/>
  <c r="BI519" i="3" s="1"/>
  <c r="AU522" i="3"/>
  <c r="AY521" i="3"/>
  <c r="AN523" i="3"/>
  <c r="AW522" i="3"/>
  <c r="Y523" i="3"/>
  <c r="Z523" i="3" s="1"/>
  <c r="B524" i="3"/>
  <c r="AQ524" i="3"/>
  <c r="AR524" i="3"/>
  <c r="A525" i="3"/>
  <c r="C524" i="3"/>
  <c r="AM524" i="3"/>
  <c r="AK524" i="3"/>
  <c r="D524" i="3"/>
  <c r="S524" i="3"/>
  <c r="R524" i="3"/>
  <c r="Q524" i="3"/>
  <c r="P524" i="3"/>
  <c r="AD524" i="3"/>
  <c r="O524" i="3"/>
  <c r="M524" i="3"/>
  <c r="AF524" i="3"/>
  <c r="AE524" i="3"/>
  <c r="V524" i="3"/>
  <c r="U524" i="3"/>
  <c r="G524" i="3"/>
  <c r="H524" i="3" s="1"/>
  <c r="F524" i="3"/>
  <c r="BM524" i="3" s="1"/>
  <c r="T524" i="3"/>
  <c r="BQ520" i="3"/>
  <c r="BF520" i="3"/>
  <c r="BJ519" i="3" s="1"/>
  <c r="BK519" i="3" s="1"/>
  <c r="BB520" i="3"/>
  <c r="AG523" i="3"/>
  <c r="AH523" i="3"/>
  <c r="X523" i="3"/>
  <c r="AX522" i="3"/>
  <c r="AT522" i="3"/>
  <c r="AO523" i="3"/>
  <c r="AV521" i="3"/>
  <c r="BA521" i="3"/>
  <c r="BN524" i="3" l="1"/>
  <c r="BG520" i="3"/>
  <c r="BH520" i="3" s="1"/>
  <c r="BI520" i="3" s="1"/>
  <c r="AY522" i="3"/>
  <c r="AO524" i="3"/>
  <c r="Y524" i="3"/>
  <c r="Z524" i="3" s="1"/>
  <c r="AU523" i="3"/>
  <c r="AG524" i="3"/>
  <c r="BC521" i="3"/>
  <c r="BG521" i="3" s="1"/>
  <c r="BH521" i="3" s="1"/>
  <c r="BI521" i="3" s="1"/>
  <c r="AT523" i="3"/>
  <c r="BA522" i="3"/>
  <c r="AV522" i="3"/>
  <c r="AX523" i="3"/>
  <c r="AH524" i="3"/>
  <c r="X524" i="3"/>
  <c r="BB521" i="3"/>
  <c r="BF521" i="3"/>
  <c r="BJ520" i="3" s="1"/>
  <c r="BK520" i="3" s="1"/>
  <c r="BQ521" i="3"/>
  <c r="AQ525" i="3"/>
  <c r="B525" i="3"/>
  <c r="A526" i="3"/>
  <c r="AR525" i="3"/>
  <c r="C525" i="3"/>
  <c r="D525" i="3"/>
  <c r="AM525" i="3"/>
  <c r="AK525" i="3"/>
  <c r="S525" i="3"/>
  <c r="Q525" i="3"/>
  <c r="R525" i="3"/>
  <c r="T525" i="3"/>
  <c r="AD525" i="3"/>
  <c r="P525" i="3"/>
  <c r="M525" i="3"/>
  <c r="AE525" i="3"/>
  <c r="O525" i="3"/>
  <c r="AF525" i="3"/>
  <c r="V525" i="3"/>
  <c r="U525" i="3"/>
  <c r="G525" i="3"/>
  <c r="H525" i="3" s="1"/>
  <c r="F525" i="3"/>
  <c r="AW523" i="3"/>
  <c r="AN524" i="3"/>
  <c r="BD521" i="3" l="1"/>
  <c r="BC522" i="3"/>
  <c r="BG522" i="3" s="1"/>
  <c r="BH522" i="3" s="1"/>
  <c r="BI522" i="3" s="1"/>
  <c r="AN525" i="3"/>
  <c r="AV523" i="3"/>
  <c r="BN525" i="3"/>
  <c r="BM525" i="3"/>
  <c r="AT524" i="3"/>
  <c r="AY523" i="3"/>
  <c r="AU524" i="3"/>
  <c r="AH525" i="3"/>
  <c r="B526" i="3"/>
  <c r="A527" i="3"/>
  <c r="AQ526" i="3"/>
  <c r="AR526" i="3"/>
  <c r="C526" i="3"/>
  <c r="AM526" i="3"/>
  <c r="Q526" i="3"/>
  <c r="D526" i="3"/>
  <c r="AK526" i="3"/>
  <c r="T526" i="3"/>
  <c r="S526" i="3"/>
  <c r="R526" i="3"/>
  <c r="AD526" i="3"/>
  <c r="P526" i="3"/>
  <c r="O526" i="3"/>
  <c r="M526" i="3"/>
  <c r="AE526" i="3"/>
  <c r="V526" i="3"/>
  <c r="AF526" i="3"/>
  <c r="U526" i="3"/>
  <c r="G526" i="3"/>
  <c r="H526" i="3" s="1"/>
  <c r="F526" i="3"/>
  <c r="BB522" i="3"/>
  <c r="BQ522" i="3"/>
  <c r="BF522" i="3"/>
  <c r="BJ521" i="3" s="1"/>
  <c r="BK521" i="3" s="1"/>
  <c r="X525" i="3"/>
  <c r="BA523" i="3"/>
  <c r="AX524" i="3"/>
  <c r="Y525" i="3"/>
  <c r="Z525" i="3" s="1"/>
  <c r="AG525" i="3"/>
  <c r="AO525" i="3"/>
  <c r="AW524" i="3"/>
  <c r="BD522" i="3" l="1"/>
  <c r="AV524" i="3"/>
  <c r="AT525" i="3"/>
  <c r="BC523" i="3"/>
  <c r="BD523" i="3" s="1"/>
  <c r="BM526" i="3"/>
  <c r="AH526" i="3"/>
  <c r="AN526" i="3"/>
  <c r="AU525" i="3"/>
  <c r="AW525" i="3"/>
  <c r="AY524" i="3"/>
  <c r="BA524" i="3"/>
  <c r="BN526" i="3"/>
  <c r="AG526" i="3"/>
  <c r="AO526" i="3"/>
  <c r="X526" i="3"/>
  <c r="BF523" i="3"/>
  <c r="BJ522" i="3" s="1"/>
  <c r="BK522" i="3" s="1"/>
  <c r="BQ523" i="3"/>
  <c r="BB523" i="3"/>
  <c r="Y526" i="3"/>
  <c r="Z526" i="3" s="1"/>
  <c r="AR527" i="3"/>
  <c r="B527" i="3"/>
  <c r="AQ527" i="3"/>
  <c r="A528" i="3"/>
  <c r="C527" i="3"/>
  <c r="AM527" i="3"/>
  <c r="T527" i="3"/>
  <c r="AK527" i="3"/>
  <c r="D527" i="3"/>
  <c r="R527" i="3"/>
  <c r="S527" i="3"/>
  <c r="Q527" i="3"/>
  <c r="AD527" i="3"/>
  <c r="O527" i="3"/>
  <c r="P527" i="3"/>
  <c r="U527" i="3"/>
  <c r="V527" i="3"/>
  <c r="AF527" i="3"/>
  <c r="AE527" i="3"/>
  <c r="M527" i="3"/>
  <c r="G527" i="3"/>
  <c r="H527" i="3" s="1"/>
  <c r="F527" i="3"/>
  <c r="AX525" i="3"/>
  <c r="BN527" i="3" l="1"/>
  <c r="BC524" i="3"/>
  <c r="BD524" i="3" s="1"/>
  <c r="AO527" i="3"/>
  <c r="AV525" i="3"/>
  <c r="AU526" i="3"/>
  <c r="BG523" i="3"/>
  <c r="BH523" i="3" s="1"/>
  <c r="BI523" i="3" s="1"/>
  <c r="AG527" i="3"/>
  <c r="AT526" i="3"/>
  <c r="AW526" i="3"/>
  <c r="BA525" i="3"/>
  <c r="BF525" i="3" s="1"/>
  <c r="B528" i="3"/>
  <c r="AQ528" i="3"/>
  <c r="AR528" i="3"/>
  <c r="A529" i="3"/>
  <c r="C528" i="3"/>
  <c r="D528" i="3"/>
  <c r="AK528" i="3"/>
  <c r="AM528" i="3"/>
  <c r="T528" i="3"/>
  <c r="S528" i="3"/>
  <c r="R528" i="3"/>
  <c r="AD528" i="3"/>
  <c r="Q528" i="3"/>
  <c r="O528" i="3"/>
  <c r="AF528" i="3"/>
  <c r="M528" i="3"/>
  <c r="P528" i="3"/>
  <c r="AE528" i="3"/>
  <c r="V528" i="3"/>
  <c r="U528" i="3"/>
  <c r="F528" i="3"/>
  <c r="BM528" i="3" s="1"/>
  <c r="G528" i="3"/>
  <c r="H528" i="3" s="1"/>
  <c r="BN528" i="3" s="1"/>
  <c r="X527" i="3"/>
  <c r="BM527" i="3"/>
  <c r="AN527" i="3"/>
  <c r="Y527" i="3"/>
  <c r="Z527" i="3" s="1"/>
  <c r="BQ524" i="3"/>
  <c r="BB524" i="3"/>
  <c r="BF524" i="3"/>
  <c r="BJ523" i="3" s="1"/>
  <c r="BK523" i="3" s="1"/>
  <c r="AH527" i="3"/>
  <c r="AX526" i="3"/>
  <c r="AY525" i="3"/>
  <c r="BG524" i="3" l="1"/>
  <c r="BH524" i="3" s="1"/>
  <c r="BI524" i="3" s="1"/>
  <c r="BC525" i="3"/>
  <c r="BG525" i="3" s="1"/>
  <c r="BH525" i="3" s="1"/>
  <c r="BI525" i="3" s="1"/>
  <c r="AV526" i="3"/>
  <c r="AX527" i="3"/>
  <c r="AO528" i="3"/>
  <c r="BA526" i="3"/>
  <c r="BB526" i="3" s="1"/>
  <c r="BQ525" i="3"/>
  <c r="AY526" i="3"/>
  <c r="BB525" i="3"/>
  <c r="Y528" i="3"/>
  <c r="Z528" i="3" s="1"/>
  <c r="AQ529" i="3"/>
  <c r="B529" i="3"/>
  <c r="A530" i="3"/>
  <c r="AR529" i="3"/>
  <c r="D529" i="3"/>
  <c r="C529" i="3"/>
  <c r="AM529" i="3"/>
  <c r="R529" i="3"/>
  <c r="AK529" i="3"/>
  <c r="Q529" i="3"/>
  <c r="AD529" i="3"/>
  <c r="P529" i="3"/>
  <c r="S529" i="3"/>
  <c r="AE529" i="3"/>
  <c r="M529" i="3"/>
  <c r="O529" i="3"/>
  <c r="AF529" i="3"/>
  <c r="V529" i="3"/>
  <c r="U529" i="3"/>
  <c r="G529" i="3"/>
  <c r="H529" i="3" s="1"/>
  <c r="F529" i="3"/>
  <c r="T529" i="3"/>
  <c r="AU527" i="3"/>
  <c r="AW527" i="3"/>
  <c r="AT527" i="3"/>
  <c r="AG528" i="3"/>
  <c r="AH528" i="3"/>
  <c r="AN528" i="3"/>
  <c r="BJ524" i="3"/>
  <c r="BK524" i="3" s="1"/>
  <c r="X528" i="3"/>
  <c r="BD525" i="3" l="1"/>
  <c r="AO529" i="3"/>
  <c r="BQ526" i="3"/>
  <c r="BC526" i="3"/>
  <c r="BG526" i="3" s="1"/>
  <c r="BH526" i="3" s="1"/>
  <c r="BI526" i="3" s="1"/>
  <c r="BM529" i="3"/>
  <c r="AY527" i="3"/>
  <c r="BF526" i="3"/>
  <c r="BJ525" i="3" s="1"/>
  <c r="BK525" i="3" s="1"/>
  <c r="AU528" i="3"/>
  <c r="AX528" i="3"/>
  <c r="AH529" i="3"/>
  <c r="AT528" i="3"/>
  <c r="AW528" i="3"/>
  <c r="Y529" i="3"/>
  <c r="Z529" i="3" s="1"/>
  <c r="BN529" i="3"/>
  <c r="AG529" i="3"/>
  <c r="X529" i="3"/>
  <c r="AV527" i="3"/>
  <c r="BA527" i="3"/>
  <c r="B530" i="3"/>
  <c r="A531" i="3"/>
  <c r="AQ530" i="3"/>
  <c r="AR530" i="3"/>
  <c r="D530" i="3"/>
  <c r="C530" i="3"/>
  <c r="AK530" i="3"/>
  <c r="AM530" i="3"/>
  <c r="T530" i="3"/>
  <c r="Q530" i="3"/>
  <c r="S530" i="3"/>
  <c r="AD530" i="3"/>
  <c r="P530" i="3"/>
  <c r="O530" i="3"/>
  <c r="M530" i="3"/>
  <c r="U530" i="3"/>
  <c r="V530" i="3"/>
  <c r="AE530" i="3"/>
  <c r="AF530" i="3"/>
  <c r="R530" i="3"/>
  <c r="G530" i="3"/>
  <c r="H530" i="3" s="1"/>
  <c r="F530" i="3"/>
  <c r="BM530" i="3" s="1"/>
  <c r="AN529" i="3"/>
  <c r="BN530" i="3" l="1"/>
  <c r="BD526" i="3"/>
  <c r="AN530" i="3"/>
  <c r="BC527" i="3"/>
  <c r="BG527" i="3" s="1"/>
  <c r="BH527" i="3" s="1"/>
  <c r="BI527" i="3" s="1"/>
  <c r="AG530" i="3"/>
  <c r="AY528" i="3"/>
  <c r="AT529" i="3"/>
  <c r="AU529" i="3"/>
  <c r="AX529" i="3"/>
  <c r="BA528" i="3"/>
  <c r="BQ528" i="3" s="1"/>
  <c r="Y530" i="3"/>
  <c r="Z530" i="3" s="1"/>
  <c r="AH530" i="3"/>
  <c r="AO530" i="3"/>
  <c r="AV528" i="3"/>
  <c r="AR531" i="3"/>
  <c r="B531" i="3"/>
  <c r="AQ531" i="3"/>
  <c r="A532" i="3"/>
  <c r="C531" i="3"/>
  <c r="AK531" i="3"/>
  <c r="S531" i="3"/>
  <c r="Q531" i="3"/>
  <c r="AM531" i="3"/>
  <c r="D531" i="3"/>
  <c r="R531" i="3"/>
  <c r="P531" i="3"/>
  <c r="AD531" i="3"/>
  <c r="AE531" i="3"/>
  <c r="M531" i="3"/>
  <c r="O531" i="3"/>
  <c r="AF531" i="3"/>
  <c r="U531" i="3"/>
  <c r="V531" i="3"/>
  <c r="G531" i="3"/>
  <c r="H531" i="3" s="1"/>
  <c r="F531" i="3"/>
  <c r="T531" i="3"/>
  <c r="BB527" i="3"/>
  <c r="BF527" i="3"/>
  <c r="BJ526" i="3" s="1"/>
  <c r="BK526" i="3" s="1"/>
  <c r="BQ527" i="3"/>
  <c r="X530" i="3"/>
  <c r="AW529" i="3"/>
  <c r="BD527" i="3" l="1"/>
  <c r="BM531" i="3"/>
  <c r="BN531" i="3"/>
  <c r="AO531" i="3"/>
  <c r="BC528" i="3"/>
  <c r="BD528" i="3" s="1"/>
  <c r="AV529" i="3"/>
  <c r="AY529" i="3"/>
  <c r="AG531" i="3"/>
  <c r="Y531" i="3"/>
  <c r="Z531" i="3" s="1"/>
  <c r="BF528" i="3"/>
  <c r="BJ527" i="3" s="1"/>
  <c r="BK527" i="3" s="1"/>
  <c r="BB528" i="3"/>
  <c r="AU530" i="3"/>
  <c r="AT530" i="3"/>
  <c r="BA529" i="3"/>
  <c r="AH531" i="3"/>
  <c r="AN531" i="3"/>
  <c r="X531" i="3"/>
  <c r="AX530" i="3"/>
  <c r="AW530" i="3"/>
  <c r="B532" i="3"/>
  <c r="AQ532" i="3"/>
  <c r="AR532" i="3"/>
  <c r="A533" i="3"/>
  <c r="D532" i="3"/>
  <c r="AK532" i="3"/>
  <c r="C532" i="3"/>
  <c r="AM532" i="3"/>
  <c r="S532" i="3"/>
  <c r="AD532" i="3"/>
  <c r="P532" i="3"/>
  <c r="R532" i="3"/>
  <c r="M532" i="3"/>
  <c r="U532" i="3"/>
  <c r="O532" i="3"/>
  <c r="AE532" i="3"/>
  <c r="AF532" i="3"/>
  <c r="V532" i="3"/>
  <c r="Q532" i="3"/>
  <c r="G532" i="3"/>
  <c r="H532" i="3" s="1"/>
  <c r="F532" i="3"/>
  <c r="T532" i="3"/>
  <c r="BM532" i="3" l="1"/>
  <c r="AN532" i="3"/>
  <c r="BG528" i="3"/>
  <c r="BH528" i="3" s="1"/>
  <c r="BI528" i="3" s="1"/>
  <c r="BN532" i="3"/>
  <c r="BC529" i="3"/>
  <c r="BD529" i="3" s="1"/>
  <c r="AV530" i="3"/>
  <c r="AG532" i="3"/>
  <c r="AX531" i="3"/>
  <c r="AW531" i="3"/>
  <c r="AT531" i="3"/>
  <c r="Y532" i="3"/>
  <c r="Z532" i="3" s="1"/>
  <c r="BA530" i="3"/>
  <c r="BF530" i="3" s="1"/>
  <c r="BB529" i="3"/>
  <c r="BF529" i="3"/>
  <c r="BJ528" i="3" s="1"/>
  <c r="BK528" i="3" s="1"/>
  <c r="BQ529" i="3"/>
  <c r="X532" i="3"/>
  <c r="AY530" i="3"/>
  <c r="AU531" i="3"/>
  <c r="AQ533" i="3"/>
  <c r="B533" i="3"/>
  <c r="A534" i="3"/>
  <c r="AR533" i="3"/>
  <c r="C533" i="3"/>
  <c r="D533" i="3"/>
  <c r="T533" i="3"/>
  <c r="S533" i="3"/>
  <c r="AK533" i="3"/>
  <c r="AM533" i="3"/>
  <c r="R533" i="3"/>
  <c r="Q533" i="3"/>
  <c r="AD533" i="3"/>
  <c r="M533" i="3"/>
  <c r="AE533" i="3"/>
  <c r="U533" i="3"/>
  <c r="V533" i="3"/>
  <c r="P533" i="3"/>
  <c r="O533" i="3"/>
  <c r="AF533" i="3"/>
  <c r="F533" i="3"/>
  <c r="BM533" i="3" s="1"/>
  <c r="G533" i="3"/>
  <c r="H533" i="3" s="1"/>
  <c r="BN533" i="3" s="1"/>
  <c r="AH532" i="3"/>
  <c r="AO532" i="3"/>
  <c r="BC530" i="3" l="1"/>
  <c r="BD530" i="3" s="1"/>
  <c r="BG529" i="3"/>
  <c r="BH529" i="3" s="1"/>
  <c r="BI529" i="3" s="1"/>
  <c r="AG533" i="3"/>
  <c r="AU532" i="3"/>
  <c r="AY531" i="3"/>
  <c r="BB530" i="3"/>
  <c r="AO533" i="3"/>
  <c r="AV531" i="3"/>
  <c r="AW532" i="3"/>
  <c r="BA531" i="3"/>
  <c r="BQ531" i="3" s="1"/>
  <c r="BQ530" i="3"/>
  <c r="B534" i="3"/>
  <c r="A535" i="3"/>
  <c r="AQ534" i="3"/>
  <c r="AR534" i="3"/>
  <c r="D534" i="3"/>
  <c r="C534" i="3"/>
  <c r="AK534" i="3"/>
  <c r="AM534" i="3"/>
  <c r="S534" i="3"/>
  <c r="R534" i="3"/>
  <c r="Q534" i="3"/>
  <c r="AD534" i="3"/>
  <c r="P534" i="3"/>
  <c r="O534" i="3"/>
  <c r="AE534" i="3"/>
  <c r="AF534" i="3"/>
  <c r="V534" i="3"/>
  <c r="M534" i="3"/>
  <c r="U534" i="3"/>
  <c r="F534" i="3"/>
  <c r="G534" i="3"/>
  <c r="H534" i="3" s="1"/>
  <c r="T534" i="3"/>
  <c r="AH533" i="3"/>
  <c r="X533" i="3"/>
  <c r="BJ529" i="3"/>
  <c r="BK529" i="3" s="1"/>
  <c r="Y533" i="3"/>
  <c r="Z533" i="3" s="1"/>
  <c r="AX532" i="3"/>
  <c r="AN533" i="3"/>
  <c r="AT532" i="3"/>
  <c r="BN534" i="3" l="1"/>
  <c r="BM534" i="3"/>
  <c r="BG530" i="3"/>
  <c r="BH530" i="3" s="1"/>
  <c r="BI530" i="3" s="1"/>
  <c r="AT533" i="3"/>
  <c r="BC531" i="3"/>
  <c r="BD531" i="3" s="1"/>
  <c r="AU533" i="3"/>
  <c r="AY532" i="3"/>
  <c r="BF531" i="3"/>
  <c r="BJ530" i="3" s="1"/>
  <c r="BK530" i="3" s="1"/>
  <c r="BB531" i="3"/>
  <c r="AO534" i="3"/>
  <c r="AW533" i="3"/>
  <c r="AG534" i="3"/>
  <c r="BA532" i="3"/>
  <c r="BF532" i="3" s="1"/>
  <c r="AR535" i="3"/>
  <c r="B535" i="3"/>
  <c r="AQ535" i="3"/>
  <c r="A536" i="3"/>
  <c r="D535" i="3"/>
  <c r="C535" i="3"/>
  <c r="AM535" i="3"/>
  <c r="AK535" i="3"/>
  <c r="S535" i="3"/>
  <c r="Q535" i="3"/>
  <c r="T535" i="3"/>
  <c r="R535" i="3"/>
  <c r="AD535" i="3"/>
  <c r="P535" i="3"/>
  <c r="M535" i="3"/>
  <c r="O535" i="3"/>
  <c r="AE535" i="3"/>
  <c r="AF535" i="3"/>
  <c r="V535" i="3"/>
  <c r="U535" i="3"/>
  <c r="F535" i="3"/>
  <c r="G535" i="3"/>
  <c r="H535" i="3" s="1"/>
  <c r="AV532" i="3"/>
  <c r="AX533" i="3"/>
  <c r="Y534" i="3"/>
  <c r="Z534" i="3" s="1"/>
  <c r="AH534" i="3"/>
  <c r="AN534" i="3"/>
  <c r="X534" i="3"/>
  <c r="BG531" i="3" l="1"/>
  <c r="BH531" i="3" s="1"/>
  <c r="BI531" i="3" s="1"/>
  <c r="BC532" i="3"/>
  <c r="BD532" i="3" s="1"/>
  <c r="BJ531" i="3"/>
  <c r="BK531" i="3" s="1"/>
  <c r="AV533" i="3"/>
  <c r="BN535" i="3"/>
  <c r="BM535" i="3"/>
  <c r="BQ532" i="3"/>
  <c r="BA533" i="3"/>
  <c r="BF533" i="3" s="1"/>
  <c r="BJ532" i="3" s="1"/>
  <c r="BK532" i="3" s="1"/>
  <c r="AO535" i="3"/>
  <c r="BB532" i="3"/>
  <c r="AX534" i="3"/>
  <c r="AH535" i="3"/>
  <c r="Y535" i="3"/>
  <c r="Z535" i="3" s="1"/>
  <c r="AU534" i="3"/>
  <c r="AW534" i="3"/>
  <c r="AT534" i="3"/>
  <c r="AG535" i="3"/>
  <c r="AN535" i="3"/>
  <c r="AY533" i="3"/>
  <c r="B536" i="3"/>
  <c r="AQ536" i="3"/>
  <c r="AR536" i="3"/>
  <c r="A537" i="3"/>
  <c r="D536" i="3"/>
  <c r="AM536" i="3"/>
  <c r="S536" i="3"/>
  <c r="Q536" i="3"/>
  <c r="C536" i="3"/>
  <c r="AK536" i="3"/>
  <c r="T536" i="3"/>
  <c r="AD536" i="3"/>
  <c r="P536" i="3"/>
  <c r="R536" i="3"/>
  <c r="M536" i="3"/>
  <c r="O536" i="3"/>
  <c r="AF536" i="3"/>
  <c r="U536" i="3"/>
  <c r="AE536" i="3"/>
  <c r="V536" i="3"/>
  <c r="F536" i="3"/>
  <c r="G536" i="3"/>
  <c r="H536" i="3" s="1"/>
  <c r="X535" i="3"/>
  <c r="BM536" i="3" l="1"/>
  <c r="BG532" i="3"/>
  <c r="BH532" i="3" s="1"/>
  <c r="BI532" i="3" s="1"/>
  <c r="BC533" i="3"/>
  <c r="BD533" i="3" s="1"/>
  <c r="AO536" i="3"/>
  <c r="BN536" i="3"/>
  <c r="BQ533" i="3"/>
  <c r="BB533" i="3"/>
  <c r="AW535" i="3"/>
  <c r="AY534" i="3"/>
  <c r="Y536" i="3"/>
  <c r="Z536" i="3" s="1"/>
  <c r="AU535" i="3"/>
  <c r="AG536" i="3"/>
  <c r="AH536" i="3"/>
  <c r="X536" i="3"/>
  <c r="AT535" i="3"/>
  <c r="BA534" i="3"/>
  <c r="AV534" i="3"/>
  <c r="AQ537" i="3"/>
  <c r="B537" i="3"/>
  <c r="A538" i="3"/>
  <c r="AR537" i="3"/>
  <c r="D537" i="3"/>
  <c r="T537" i="3"/>
  <c r="S537" i="3"/>
  <c r="C537" i="3"/>
  <c r="AK537" i="3"/>
  <c r="AM537" i="3"/>
  <c r="P537" i="3"/>
  <c r="Q537" i="3"/>
  <c r="AD537" i="3"/>
  <c r="M537" i="3"/>
  <c r="O537" i="3"/>
  <c r="AF537" i="3"/>
  <c r="V537" i="3"/>
  <c r="AE537" i="3"/>
  <c r="U537" i="3"/>
  <c r="R537" i="3"/>
  <c r="G537" i="3"/>
  <c r="H537" i="3" s="1"/>
  <c r="F537" i="3"/>
  <c r="AN536" i="3"/>
  <c r="AX535" i="3"/>
  <c r="BN537" i="3" l="1"/>
  <c r="BM537" i="3"/>
  <c r="BC534" i="3"/>
  <c r="BG534" i="3" s="1"/>
  <c r="BH534" i="3" s="1"/>
  <c r="BI534" i="3" s="1"/>
  <c r="BG533" i="3"/>
  <c r="BH533" i="3" s="1"/>
  <c r="BI533" i="3" s="1"/>
  <c r="AY535" i="3"/>
  <c r="AO537" i="3"/>
  <c r="AT536" i="3"/>
  <c r="AN537" i="3"/>
  <c r="AX536" i="3"/>
  <c r="AU536" i="3"/>
  <c r="AG537" i="3"/>
  <c r="BA535" i="3"/>
  <c r="AV535" i="3"/>
  <c r="AH537" i="3"/>
  <c r="X537" i="3"/>
  <c r="AW536" i="3"/>
  <c r="Y537" i="3"/>
  <c r="Z537" i="3" s="1"/>
  <c r="B538" i="3"/>
  <c r="A539" i="3"/>
  <c r="AQ538" i="3"/>
  <c r="AR538" i="3"/>
  <c r="C538" i="3"/>
  <c r="AM538" i="3"/>
  <c r="T538" i="3"/>
  <c r="Q538" i="3"/>
  <c r="AK538" i="3"/>
  <c r="D538" i="3"/>
  <c r="S538" i="3"/>
  <c r="R538" i="3"/>
  <c r="AD538" i="3"/>
  <c r="AE538" i="3"/>
  <c r="M538" i="3"/>
  <c r="P538" i="3"/>
  <c r="O538" i="3"/>
  <c r="AF538" i="3"/>
  <c r="V538" i="3"/>
  <c r="U538" i="3"/>
  <c r="G538" i="3"/>
  <c r="H538" i="3" s="1"/>
  <c r="F538" i="3"/>
  <c r="BB534" i="3"/>
  <c r="BF534" i="3"/>
  <c r="BJ533" i="3" s="1"/>
  <c r="BK533" i="3" s="1"/>
  <c r="BQ534" i="3"/>
  <c r="BC535" i="3" l="1"/>
  <c r="BG535" i="3" s="1"/>
  <c r="BH535" i="3" s="1"/>
  <c r="BI535" i="3" s="1"/>
  <c r="BD534" i="3"/>
  <c r="BM538" i="3"/>
  <c r="BN538" i="3"/>
  <c r="AO538" i="3"/>
  <c r="AY536" i="3"/>
  <c r="AX537" i="3"/>
  <c r="AV536" i="3"/>
  <c r="AT537" i="3"/>
  <c r="AN538" i="3"/>
  <c r="AU537" i="3"/>
  <c r="BA536" i="3"/>
  <c r="BQ536" i="3" s="1"/>
  <c r="AH538" i="3"/>
  <c r="X538" i="3"/>
  <c r="Y538" i="3"/>
  <c r="Z538" i="3" s="1"/>
  <c r="AR539" i="3"/>
  <c r="B539" i="3"/>
  <c r="AQ539" i="3"/>
  <c r="A540" i="3"/>
  <c r="C539" i="3"/>
  <c r="AM539" i="3"/>
  <c r="S539" i="3"/>
  <c r="Q539" i="3"/>
  <c r="D539" i="3"/>
  <c r="AK539" i="3"/>
  <c r="AD539" i="3"/>
  <c r="R539" i="3"/>
  <c r="P539" i="3"/>
  <c r="O539" i="3"/>
  <c r="M539" i="3"/>
  <c r="AE539" i="3"/>
  <c r="AF539" i="3"/>
  <c r="U539" i="3"/>
  <c r="V539" i="3"/>
  <c r="F539" i="3"/>
  <c r="G539" i="3"/>
  <c r="H539" i="3" s="1"/>
  <c r="T539" i="3"/>
  <c r="BF535" i="3"/>
  <c r="BJ534" i="3" s="1"/>
  <c r="BK534" i="3" s="1"/>
  <c r="BQ535" i="3"/>
  <c r="BB535" i="3"/>
  <c r="AG538" i="3"/>
  <c r="AW537" i="3"/>
  <c r="BD535" i="3" l="1"/>
  <c r="AO539" i="3"/>
  <c r="BC536" i="3"/>
  <c r="BG536" i="3" s="1"/>
  <c r="BH536" i="3" s="1"/>
  <c r="BI536" i="3" s="1"/>
  <c r="BN539" i="3"/>
  <c r="AV537" i="3"/>
  <c r="AY537" i="3"/>
  <c r="AW538" i="3"/>
  <c r="BM539" i="3"/>
  <c r="BB536" i="3"/>
  <c r="BF536" i="3"/>
  <c r="BJ535" i="3" s="1"/>
  <c r="BK535" i="3" s="1"/>
  <c r="AG539" i="3"/>
  <c r="Y539" i="3"/>
  <c r="Z539" i="3" s="1"/>
  <c r="AT538" i="3"/>
  <c r="AH539" i="3"/>
  <c r="X539" i="3"/>
  <c r="AU538" i="3"/>
  <c r="AX538" i="3"/>
  <c r="B540" i="3"/>
  <c r="AQ540" i="3"/>
  <c r="AR540" i="3"/>
  <c r="A541" i="3"/>
  <c r="C540" i="3"/>
  <c r="D540" i="3"/>
  <c r="S540" i="3"/>
  <c r="Q540" i="3"/>
  <c r="AM540" i="3"/>
  <c r="AK540" i="3"/>
  <c r="T540" i="3"/>
  <c r="AD540" i="3"/>
  <c r="P540" i="3"/>
  <c r="O540" i="3"/>
  <c r="AE540" i="3"/>
  <c r="AF540" i="3"/>
  <c r="M540" i="3"/>
  <c r="V540" i="3"/>
  <c r="U540" i="3"/>
  <c r="R540" i="3"/>
  <c r="F540" i="3"/>
  <c r="BM540" i="3" s="1"/>
  <c r="G540" i="3"/>
  <c r="H540" i="3" s="1"/>
  <c r="BN540" i="3" s="1"/>
  <c r="AN539" i="3"/>
  <c r="BA537" i="3"/>
  <c r="BD536" i="3" l="1"/>
  <c r="BC537" i="3"/>
  <c r="AY538" i="3"/>
  <c r="AT539" i="3"/>
  <c r="AO540" i="3"/>
  <c r="AU539" i="3"/>
  <c r="AW539" i="3"/>
  <c r="BB537" i="3"/>
  <c r="BF537" i="3"/>
  <c r="BQ537" i="3"/>
  <c r="AV538" i="3"/>
  <c r="BA538" i="3"/>
  <c r="AH540" i="3"/>
  <c r="AG540" i="3"/>
  <c r="AN540" i="3"/>
  <c r="X540" i="3"/>
  <c r="Y540" i="3"/>
  <c r="Z540" i="3" s="1"/>
  <c r="AQ541" i="3"/>
  <c r="B541" i="3"/>
  <c r="A542" i="3"/>
  <c r="AR541" i="3"/>
  <c r="C541" i="3"/>
  <c r="D541" i="3"/>
  <c r="AM541" i="3"/>
  <c r="S541" i="3"/>
  <c r="Q541" i="3"/>
  <c r="AK541" i="3"/>
  <c r="R541" i="3"/>
  <c r="P541" i="3"/>
  <c r="AD541" i="3"/>
  <c r="O541" i="3"/>
  <c r="AE541" i="3"/>
  <c r="U541" i="3"/>
  <c r="M541" i="3"/>
  <c r="AF541" i="3"/>
  <c r="V541" i="3"/>
  <c r="G541" i="3"/>
  <c r="H541" i="3" s="1"/>
  <c r="F541" i="3"/>
  <c r="T541" i="3"/>
  <c r="AX539" i="3"/>
  <c r="BM541" i="3" l="1"/>
  <c r="BN541" i="3"/>
  <c r="BC538" i="3"/>
  <c r="BD538" i="3" s="1"/>
  <c r="BG537" i="3"/>
  <c r="BH537" i="3" s="1"/>
  <c r="BI537" i="3" s="1"/>
  <c r="BD537" i="3"/>
  <c r="AV539" i="3"/>
  <c r="AO541" i="3"/>
  <c r="AU540" i="3"/>
  <c r="AY539" i="3"/>
  <c r="B542" i="3"/>
  <c r="A543" i="3"/>
  <c r="AQ542" i="3"/>
  <c r="AR542" i="3"/>
  <c r="C542" i="3"/>
  <c r="D542" i="3"/>
  <c r="AM542" i="3"/>
  <c r="AK542" i="3"/>
  <c r="Q542" i="3"/>
  <c r="R542" i="3"/>
  <c r="S542" i="3"/>
  <c r="AD542" i="3"/>
  <c r="P542" i="3"/>
  <c r="O542" i="3"/>
  <c r="AE542" i="3"/>
  <c r="AF542" i="3"/>
  <c r="M542" i="3"/>
  <c r="V542" i="3"/>
  <c r="U542" i="3"/>
  <c r="G542" i="3"/>
  <c r="H542" i="3" s="1"/>
  <c r="F542" i="3"/>
  <c r="BM542" i="3" s="1"/>
  <c r="T542" i="3"/>
  <c r="BJ536" i="3"/>
  <c r="BK536" i="3" s="1"/>
  <c r="Y541" i="3"/>
  <c r="Z541" i="3" s="1"/>
  <c r="BA539" i="3"/>
  <c r="AG541" i="3"/>
  <c r="AH541" i="3"/>
  <c r="AN541" i="3"/>
  <c r="X541" i="3"/>
  <c r="AT540" i="3"/>
  <c r="AW540" i="3"/>
  <c r="BQ538" i="3"/>
  <c r="BF538" i="3"/>
  <c r="BJ537" i="3" s="1"/>
  <c r="BK537" i="3" s="1"/>
  <c r="BB538" i="3"/>
  <c r="AX540" i="3"/>
  <c r="BN542" i="3" l="1"/>
  <c r="BG538" i="3"/>
  <c r="BH538" i="3" s="1"/>
  <c r="BI538" i="3" s="1"/>
  <c r="AO542" i="3"/>
  <c r="BC539" i="3"/>
  <c r="BD539" i="3" s="1"/>
  <c r="AV540" i="3"/>
  <c r="AU541" i="3"/>
  <c r="Y542" i="3"/>
  <c r="Z542" i="3" s="1"/>
  <c r="BA540" i="3"/>
  <c r="AY540" i="3"/>
  <c r="BQ539" i="3"/>
  <c r="BB539" i="3"/>
  <c r="BF539" i="3"/>
  <c r="BJ538" i="3" s="1"/>
  <c r="BK538" i="3" s="1"/>
  <c r="AX541" i="3"/>
  <c r="AG542" i="3"/>
  <c r="AN542" i="3"/>
  <c r="X542" i="3"/>
  <c r="AR543" i="3"/>
  <c r="B543" i="3"/>
  <c r="AQ543" i="3"/>
  <c r="A544" i="3"/>
  <c r="C543" i="3"/>
  <c r="AM543" i="3"/>
  <c r="AK543" i="3"/>
  <c r="D543" i="3"/>
  <c r="S543" i="3"/>
  <c r="AD543" i="3"/>
  <c r="Q543" i="3"/>
  <c r="P543" i="3"/>
  <c r="AF543" i="3"/>
  <c r="U543" i="3"/>
  <c r="O543" i="3"/>
  <c r="M543" i="3"/>
  <c r="AE543" i="3"/>
  <c r="V543" i="3"/>
  <c r="R543" i="3"/>
  <c r="F543" i="3"/>
  <c r="G543" i="3"/>
  <c r="H543" i="3" s="1"/>
  <c r="T543" i="3"/>
  <c r="AW541" i="3"/>
  <c r="AT541" i="3"/>
  <c r="AH542" i="3"/>
  <c r="AY541" i="3" l="1"/>
  <c r="BG539" i="3"/>
  <c r="BH539" i="3" s="1"/>
  <c r="BI539" i="3" s="1"/>
  <c r="BN543" i="3"/>
  <c r="BC540" i="3"/>
  <c r="BD540" i="3" s="1"/>
  <c r="AO543" i="3"/>
  <c r="AX542" i="3"/>
  <c r="AT542" i="3"/>
  <c r="AV541" i="3"/>
  <c r="BA541" i="3"/>
  <c r="B544" i="3"/>
  <c r="AQ544" i="3"/>
  <c r="AR544" i="3"/>
  <c r="A545" i="3"/>
  <c r="C544" i="3"/>
  <c r="D544" i="3"/>
  <c r="AK544" i="3"/>
  <c r="S544" i="3"/>
  <c r="AM544" i="3"/>
  <c r="R544" i="3"/>
  <c r="Q544" i="3"/>
  <c r="AD544" i="3"/>
  <c r="P544" i="3"/>
  <c r="M544" i="3"/>
  <c r="AE544" i="3"/>
  <c r="AF544" i="3"/>
  <c r="V544" i="3"/>
  <c r="O544" i="3"/>
  <c r="U544" i="3"/>
  <c r="F544" i="3"/>
  <c r="G544" i="3"/>
  <c r="H544" i="3" s="1"/>
  <c r="T544" i="3"/>
  <c r="BF540" i="3"/>
  <c r="BJ539" i="3" s="1"/>
  <c r="BK539" i="3" s="1"/>
  <c r="BB540" i="3"/>
  <c r="BQ540" i="3"/>
  <c r="AG543" i="3"/>
  <c r="Y543" i="3"/>
  <c r="Z543" i="3" s="1"/>
  <c r="BM543" i="3"/>
  <c r="AH543" i="3"/>
  <c r="AN543" i="3"/>
  <c r="AU542" i="3"/>
  <c r="X543" i="3"/>
  <c r="AW542" i="3"/>
  <c r="BC541" i="3" l="1"/>
  <c r="BG541" i="3" s="1"/>
  <c r="BH541" i="3" s="1"/>
  <c r="BI541" i="3" s="1"/>
  <c r="AN544" i="3"/>
  <c r="BM544" i="3"/>
  <c r="AY542" i="3"/>
  <c r="BG540" i="3"/>
  <c r="BH540" i="3" s="1"/>
  <c r="BI540" i="3" s="1"/>
  <c r="AT543" i="3"/>
  <c r="BA542" i="3"/>
  <c r="BF542" i="3" s="1"/>
  <c r="Y544" i="3"/>
  <c r="Z544" i="3" s="1"/>
  <c r="AX543" i="3"/>
  <c r="AU543" i="3"/>
  <c r="AW543" i="3"/>
  <c r="BN544" i="3"/>
  <c r="AG544" i="3"/>
  <c r="AO544" i="3"/>
  <c r="X544" i="3"/>
  <c r="AV542" i="3"/>
  <c r="AQ545" i="3"/>
  <c r="B545" i="3"/>
  <c r="A546" i="3"/>
  <c r="AR545" i="3"/>
  <c r="D545" i="3"/>
  <c r="AM545" i="3"/>
  <c r="C545" i="3"/>
  <c r="AK545" i="3"/>
  <c r="T545" i="3"/>
  <c r="S545" i="3"/>
  <c r="R545" i="3"/>
  <c r="AD545" i="3"/>
  <c r="Q545" i="3"/>
  <c r="P545" i="3"/>
  <c r="U545" i="3"/>
  <c r="O545" i="3"/>
  <c r="AF545" i="3"/>
  <c r="M545" i="3"/>
  <c r="AE545" i="3"/>
  <c r="V545" i="3"/>
  <c r="F545" i="3"/>
  <c r="G545" i="3"/>
  <c r="H545" i="3" s="1"/>
  <c r="BQ541" i="3"/>
  <c r="BB541" i="3"/>
  <c r="BF541" i="3"/>
  <c r="BJ540" i="3" s="1"/>
  <c r="BK540" i="3" s="1"/>
  <c r="AH544" i="3"/>
  <c r="BD541" i="3" l="1"/>
  <c r="BM545" i="3"/>
  <c r="AV543" i="3"/>
  <c r="BC542" i="3"/>
  <c r="BG542" i="3" s="1"/>
  <c r="BH542" i="3" s="1"/>
  <c r="BI542" i="3" s="1"/>
  <c r="AO545" i="3"/>
  <c r="BQ542" i="3"/>
  <c r="AX544" i="3"/>
  <c r="BB542" i="3"/>
  <c r="AU544" i="3"/>
  <c r="AG545" i="3"/>
  <c r="BA543" i="3"/>
  <c r="BF543" i="3" s="1"/>
  <c r="BN545" i="3"/>
  <c r="AH545" i="3"/>
  <c r="AN545" i="3"/>
  <c r="AW544" i="3"/>
  <c r="AY543" i="3"/>
  <c r="Y545" i="3"/>
  <c r="Z545" i="3" s="1"/>
  <c r="B546" i="3"/>
  <c r="A547" i="3"/>
  <c r="AQ546" i="3"/>
  <c r="AR546" i="3"/>
  <c r="C546" i="3"/>
  <c r="AM546" i="3"/>
  <c r="AK546" i="3"/>
  <c r="R546" i="3"/>
  <c r="D546" i="3"/>
  <c r="S546" i="3"/>
  <c r="Q546" i="3"/>
  <c r="P546" i="3"/>
  <c r="AD546" i="3"/>
  <c r="AE546" i="3"/>
  <c r="AF546" i="3"/>
  <c r="O546" i="3"/>
  <c r="M546" i="3"/>
  <c r="U546" i="3"/>
  <c r="V546" i="3"/>
  <c r="F546" i="3"/>
  <c r="G546" i="3"/>
  <c r="H546" i="3" s="1"/>
  <c r="T546" i="3"/>
  <c r="X545" i="3"/>
  <c r="AT544" i="3"/>
  <c r="BJ541" i="3"/>
  <c r="BK541" i="3" s="1"/>
  <c r="BN546" i="3" l="1"/>
  <c r="BD542" i="3"/>
  <c r="BC543" i="3"/>
  <c r="BD543" i="3" s="1"/>
  <c r="AO546" i="3"/>
  <c r="AT545" i="3"/>
  <c r="AY544" i="3"/>
  <c r="BB543" i="3"/>
  <c r="BQ543" i="3"/>
  <c r="AX545" i="3"/>
  <c r="BA544" i="3"/>
  <c r="BF544" i="3" s="1"/>
  <c r="BJ543" i="3" s="1"/>
  <c r="BK543" i="3" s="1"/>
  <c r="AU545" i="3"/>
  <c r="AR547" i="3"/>
  <c r="B547" i="3"/>
  <c r="AQ547" i="3"/>
  <c r="A548" i="3"/>
  <c r="D547" i="3"/>
  <c r="AM547" i="3"/>
  <c r="T547" i="3"/>
  <c r="C547" i="3"/>
  <c r="AK547" i="3"/>
  <c r="S547" i="3"/>
  <c r="R547" i="3"/>
  <c r="AD547" i="3"/>
  <c r="Q547" i="3"/>
  <c r="P547" i="3"/>
  <c r="M547" i="3"/>
  <c r="AE547" i="3"/>
  <c r="V547" i="3"/>
  <c r="U547" i="3"/>
  <c r="O547" i="3"/>
  <c r="AF547" i="3"/>
  <c r="G547" i="3"/>
  <c r="H547" i="3" s="1"/>
  <c r="BN547" i="3" s="1"/>
  <c r="F547" i="3"/>
  <c r="BJ542" i="3"/>
  <c r="BK542" i="3" s="1"/>
  <c r="AH546" i="3"/>
  <c r="X546" i="3"/>
  <c r="Y546" i="3"/>
  <c r="Z546" i="3" s="1"/>
  <c r="BM546" i="3"/>
  <c r="AG546" i="3"/>
  <c r="AN546" i="3"/>
  <c r="AW545" i="3"/>
  <c r="AV544" i="3"/>
  <c r="BM547" i="3" l="1"/>
  <c r="BG543" i="3"/>
  <c r="BH543" i="3" s="1"/>
  <c r="BI543" i="3" s="1"/>
  <c r="BB544" i="3"/>
  <c r="AV545" i="3"/>
  <c r="AO547" i="3"/>
  <c r="BC544" i="3"/>
  <c r="BD544" i="3" s="1"/>
  <c r="AY545" i="3"/>
  <c r="BQ544" i="3"/>
  <c r="BA545" i="3"/>
  <c r="BQ545" i="3" s="1"/>
  <c r="AH547" i="3"/>
  <c r="AT546" i="3"/>
  <c r="B548" i="3"/>
  <c r="AQ548" i="3"/>
  <c r="AR548" i="3"/>
  <c r="A549" i="3"/>
  <c r="C548" i="3"/>
  <c r="D548" i="3"/>
  <c r="AK548" i="3"/>
  <c r="AM548" i="3"/>
  <c r="T548" i="3"/>
  <c r="R548" i="3"/>
  <c r="S548" i="3"/>
  <c r="AD548" i="3"/>
  <c r="P548" i="3"/>
  <c r="M548" i="3"/>
  <c r="AF548" i="3"/>
  <c r="V548" i="3"/>
  <c r="O548" i="3"/>
  <c r="AE548" i="3"/>
  <c r="U548" i="3"/>
  <c r="G548" i="3"/>
  <c r="H548" i="3" s="1"/>
  <c r="Q548" i="3"/>
  <c r="F548" i="3"/>
  <c r="AU546" i="3"/>
  <c r="AW546" i="3"/>
  <c r="AG547" i="3"/>
  <c r="X547" i="3"/>
  <c r="AN547" i="3"/>
  <c r="Y547" i="3"/>
  <c r="Z547" i="3" s="1"/>
  <c r="AX546" i="3"/>
  <c r="BN548" i="3" l="1"/>
  <c r="BC545" i="3"/>
  <c r="BD545" i="3" s="1"/>
  <c r="AV546" i="3"/>
  <c r="BB545" i="3"/>
  <c r="BG544" i="3"/>
  <c r="BH544" i="3" s="1"/>
  <c r="BI544" i="3" s="1"/>
  <c r="AO548" i="3"/>
  <c r="BF545" i="3"/>
  <c r="BJ544" i="3" s="1"/>
  <c r="BK544" i="3" s="1"/>
  <c r="AX547" i="3"/>
  <c r="AU547" i="3"/>
  <c r="AT547" i="3"/>
  <c r="Y548" i="3"/>
  <c r="Z548" i="3" s="1"/>
  <c r="AQ549" i="3"/>
  <c r="B549" i="3"/>
  <c r="A550" i="3"/>
  <c r="AR549" i="3"/>
  <c r="D549" i="3"/>
  <c r="C549" i="3"/>
  <c r="AM549" i="3"/>
  <c r="Q549" i="3"/>
  <c r="R549" i="3"/>
  <c r="AK549" i="3"/>
  <c r="S549" i="3"/>
  <c r="AD549" i="3"/>
  <c r="P549" i="3"/>
  <c r="O549" i="3"/>
  <c r="M549" i="3"/>
  <c r="AE549" i="3"/>
  <c r="AF549" i="3"/>
  <c r="U549" i="3"/>
  <c r="V549" i="3"/>
  <c r="F549" i="3"/>
  <c r="G549" i="3"/>
  <c r="H549" i="3" s="1"/>
  <c r="T549" i="3"/>
  <c r="AW547" i="3"/>
  <c r="AY546" i="3"/>
  <c r="BM548" i="3"/>
  <c r="AG548" i="3"/>
  <c r="AH548" i="3"/>
  <c r="AN548" i="3"/>
  <c r="BA546" i="3"/>
  <c r="X548" i="3"/>
  <c r="BN549" i="3" l="1"/>
  <c r="BM549" i="3"/>
  <c r="AY547" i="3"/>
  <c r="BG545" i="3"/>
  <c r="BH545" i="3" s="1"/>
  <c r="BI545" i="3" s="1"/>
  <c r="BC546" i="3"/>
  <c r="BG546" i="3" s="1"/>
  <c r="BH546" i="3" s="1"/>
  <c r="BI546" i="3" s="1"/>
  <c r="AV547" i="3"/>
  <c r="AN549" i="3"/>
  <c r="AW548" i="3"/>
  <c r="AX548" i="3"/>
  <c r="BF546" i="3"/>
  <c r="BJ545" i="3" s="1"/>
  <c r="BK545" i="3" s="1"/>
  <c r="BQ546" i="3"/>
  <c r="BB546" i="3"/>
  <c r="BA547" i="3"/>
  <c r="AT548" i="3"/>
  <c r="Y549" i="3"/>
  <c r="Z549" i="3" s="1"/>
  <c r="AG549" i="3"/>
  <c r="AH549" i="3"/>
  <c r="AO549" i="3"/>
  <c r="X549" i="3"/>
  <c r="B550" i="3"/>
  <c r="A551" i="3"/>
  <c r="AQ550" i="3"/>
  <c r="AR550" i="3"/>
  <c r="D550" i="3"/>
  <c r="C550" i="3"/>
  <c r="AK550" i="3"/>
  <c r="AM550" i="3"/>
  <c r="S550" i="3"/>
  <c r="Q550" i="3"/>
  <c r="T550" i="3"/>
  <c r="R550" i="3"/>
  <c r="AD550" i="3"/>
  <c r="P550" i="3"/>
  <c r="O550" i="3"/>
  <c r="AF550" i="3"/>
  <c r="AE550" i="3"/>
  <c r="M550" i="3"/>
  <c r="U550" i="3"/>
  <c r="V550" i="3"/>
  <c r="G550" i="3"/>
  <c r="H550" i="3" s="1"/>
  <c r="BN550" i="3" s="1"/>
  <c r="F550" i="3"/>
  <c r="BM550" i="3" s="1"/>
  <c r="AU548" i="3"/>
  <c r="BC547" i="3" l="1"/>
  <c r="BG547" i="3" s="1"/>
  <c r="BH547" i="3" s="1"/>
  <c r="BI547" i="3" s="1"/>
  <c r="BD546" i="3"/>
  <c r="AU549" i="3"/>
  <c r="AN550" i="3"/>
  <c r="AY548" i="3"/>
  <c r="AV548" i="3"/>
  <c r="AT549" i="3"/>
  <c r="Y550" i="3"/>
  <c r="Z550" i="3" s="1"/>
  <c r="BB547" i="3"/>
  <c r="BF547" i="3"/>
  <c r="BJ546" i="3" s="1"/>
  <c r="BK546" i="3" s="1"/>
  <c r="BQ547" i="3"/>
  <c r="AG550" i="3"/>
  <c r="AH550" i="3"/>
  <c r="AO550" i="3"/>
  <c r="AX549" i="3"/>
  <c r="AR551" i="3"/>
  <c r="B551" i="3"/>
  <c r="AQ551" i="3"/>
  <c r="A552" i="3"/>
  <c r="D551" i="3"/>
  <c r="AM551" i="3"/>
  <c r="S551" i="3"/>
  <c r="AK551" i="3"/>
  <c r="C551" i="3"/>
  <c r="R551" i="3"/>
  <c r="Q551" i="3"/>
  <c r="AD551" i="3"/>
  <c r="P551" i="3"/>
  <c r="AE551" i="3"/>
  <c r="M551" i="3"/>
  <c r="AF551" i="3"/>
  <c r="V551" i="3"/>
  <c r="U551" i="3"/>
  <c r="O551" i="3"/>
  <c r="F551" i="3"/>
  <c r="G551" i="3"/>
  <c r="H551" i="3" s="1"/>
  <c r="T551" i="3"/>
  <c r="X550" i="3"/>
  <c r="AW549" i="3"/>
  <c r="BA548" i="3"/>
  <c r="BN551" i="3" l="1"/>
  <c r="BD547" i="3"/>
  <c r="AO551" i="3"/>
  <c r="BM551" i="3"/>
  <c r="BA549" i="3"/>
  <c r="BQ549" i="3" s="1"/>
  <c r="AV549" i="3"/>
  <c r="AT550" i="3"/>
  <c r="BC548" i="3"/>
  <c r="BD548" i="3" s="1"/>
  <c r="AN551" i="3"/>
  <c r="AU550" i="3"/>
  <c r="Y551" i="3"/>
  <c r="Z551" i="3" s="1"/>
  <c r="B552" i="3"/>
  <c r="AQ552" i="3"/>
  <c r="AR552" i="3"/>
  <c r="A553" i="3"/>
  <c r="D552" i="3"/>
  <c r="C552" i="3"/>
  <c r="AM552" i="3"/>
  <c r="AK552" i="3"/>
  <c r="S552" i="3"/>
  <c r="R552" i="3"/>
  <c r="AD552" i="3"/>
  <c r="Q552" i="3"/>
  <c r="P552" i="3"/>
  <c r="O552" i="3"/>
  <c r="AE552" i="3"/>
  <c r="M552" i="3"/>
  <c r="V552" i="3"/>
  <c r="AF552" i="3"/>
  <c r="U552" i="3"/>
  <c r="G552" i="3"/>
  <c r="H552" i="3" s="1"/>
  <c r="F552" i="3"/>
  <c r="T552" i="3"/>
  <c r="AH551" i="3"/>
  <c r="AY549" i="3"/>
  <c r="X551" i="3"/>
  <c r="AX550" i="3"/>
  <c r="BF548" i="3"/>
  <c r="BJ547" i="3" s="1"/>
  <c r="BK547" i="3" s="1"/>
  <c r="BQ548" i="3"/>
  <c r="BB548" i="3"/>
  <c r="AG551" i="3"/>
  <c r="AW550" i="3"/>
  <c r="BG548" i="3" l="1"/>
  <c r="BH548" i="3" s="1"/>
  <c r="BI548" i="3" s="1"/>
  <c r="AV550" i="3"/>
  <c r="BA550" i="3"/>
  <c r="BQ550" i="3" s="1"/>
  <c r="AG552" i="3"/>
  <c r="BB549" i="3"/>
  <c r="BF549" i="3"/>
  <c r="BJ548" i="3" s="1"/>
  <c r="BK548" i="3" s="1"/>
  <c r="BM552" i="3"/>
  <c r="BC549" i="3"/>
  <c r="BD549" i="3" s="1"/>
  <c r="AW551" i="3"/>
  <c r="AN552" i="3"/>
  <c r="AY550" i="3"/>
  <c r="AQ553" i="3"/>
  <c r="B553" i="3"/>
  <c r="A554" i="3"/>
  <c r="AR553" i="3"/>
  <c r="D553" i="3"/>
  <c r="AK553" i="3"/>
  <c r="R553" i="3"/>
  <c r="C553" i="3"/>
  <c r="AM553" i="3"/>
  <c r="S553" i="3"/>
  <c r="Q553" i="3"/>
  <c r="AD553" i="3"/>
  <c r="P553" i="3"/>
  <c r="O553" i="3"/>
  <c r="M553" i="3"/>
  <c r="AE553" i="3"/>
  <c r="AF553" i="3"/>
  <c r="U553" i="3"/>
  <c r="V553" i="3"/>
  <c r="G553" i="3"/>
  <c r="H553" i="3" s="1"/>
  <c r="F553" i="3"/>
  <c r="T553" i="3"/>
  <c r="AU551" i="3"/>
  <c r="AX551" i="3"/>
  <c r="AT551" i="3"/>
  <c r="Y552" i="3"/>
  <c r="Z552" i="3" s="1"/>
  <c r="BN552" i="3"/>
  <c r="AH552" i="3"/>
  <c r="AO552" i="3"/>
  <c r="X552" i="3"/>
  <c r="BC550" i="3" l="1"/>
  <c r="BG550" i="3" s="1"/>
  <c r="BH550" i="3" s="1"/>
  <c r="BI550" i="3" s="1"/>
  <c r="BB550" i="3"/>
  <c r="BF550" i="3"/>
  <c r="BJ549" i="3" s="1"/>
  <c r="BK549" i="3" s="1"/>
  <c r="AU552" i="3"/>
  <c r="BG549" i="3"/>
  <c r="BH549" i="3" s="1"/>
  <c r="BI549" i="3" s="1"/>
  <c r="BM553" i="3"/>
  <c r="BN553" i="3"/>
  <c r="AG553" i="3"/>
  <c r="AT552" i="3"/>
  <c r="AW552" i="3"/>
  <c r="AY551" i="3"/>
  <c r="Y553" i="3"/>
  <c r="Z553" i="3" s="1"/>
  <c r="AO553" i="3"/>
  <c r="AN553" i="3"/>
  <c r="BA551" i="3"/>
  <c r="AV551" i="3"/>
  <c r="AH553" i="3"/>
  <c r="X553" i="3"/>
  <c r="B554" i="3"/>
  <c r="A555" i="3"/>
  <c r="AR554" i="3"/>
  <c r="AQ554" i="3"/>
  <c r="D554" i="3"/>
  <c r="AK554" i="3"/>
  <c r="AM554" i="3"/>
  <c r="R554" i="3"/>
  <c r="C554" i="3"/>
  <c r="Q554" i="3"/>
  <c r="AD554" i="3"/>
  <c r="S554" i="3"/>
  <c r="P554" i="3"/>
  <c r="O554" i="3"/>
  <c r="AF554" i="3"/>
  <c r="U554" i="3"/>
  <c r="V554" i="3"/>
  <c r="M554" i="3"/>
  <c r="AE554" i="3"/>
  <c r="F554" i="3"/>
  <c r="G554" i="3"/>
  <c r="H554" i="3" s="1"/>
  <c r="BN554" i="3" s="1"/>
  <c r="T554" i="3"/>
  <c r="AX552" i="3"/>
  <c r="BD550" i="3" l="1"/>
  <c r="AV552" i="3"/>
  <c r="BM554" i="3"/>
  <c r="AU553" i="3"/>
  <c r="AT553" i="3"/>
  <c r="AG554" i="3"/>
  <c r="BC551" i="3"/>
  <c r="BD551" i="3" s="1"/>
  <c r="AY552" i="3"/>
  <c r="AX553" i="3"/>
  <c r="AO554" i="3"/>
  <c r="Y554" i="3"/>
  <c r="Z554" i="3" s="1"/>
  <c r="BB551" i="3"/>
  <c r="BQ551" i="3"/>
  <c r="BF551" i="3"/>
  <c r="BJ550" i="3" s="1"/>
  <c r="BK550" i="3" s="1"/>
  <c r="AH554" i="3"/>
  <c r="X554" i="3"/>
  <c r="AN554" i="3"/>
  <c r="AW553" i="3"/>
  <c r="AR555" i="3"/>
  <c r="B555" i="3"/>
  <c r="AQ555" i="3"/>
  <c r="A556" i="3"/>
  <c r="D555" i="3"/>
  <c r="C555" i="3"/>
  <c r="AK555" i="3"/>
  <c r="AM555" i="3"/>
  <c r="R555" i="3"/>
  <c r="T555" i="3"/>
  <c r="Q555" i="3"/>
  <c r="S555" i="3"/>
  <c r="AD555" i="3"/>
  <c r="P555" i="3"/>
  <c r="O555" i="3"/>
  <c r="M555" i="3"/>
  <c r="AF555" i="3"/>
  <c r="V555" i="3"/>
  <c r="AE555" i="3"/>
  <c r="U555" i="3"/>
  <c r="F555" i="3"/>
  <c r="G555" i="3"/>
  <c r="H555" i="3" s="1"/>
  <c r="BA552" i="3"/>
  <c r="BC552" i="3" l="1"/>
  <c r="BD552" i="3" s="1"/>
  <c r="AY553" i="3"/>
  <c r="AV553" i="3"/>
  <c r="BM555" i="3"/>
  <c r="BA553" i="3"/>
  <c r="BF553" i="3" s="1"/>
  <c r="BN555" i="3"/>
  <c r="BG551" i="3"/>
  <c r="BH551" i="3" s="1"/>
  <c r="BI551" i="3" s="1"/>
  <c r="AT554" i="3"/>
  <c r="AU554" i="3"/>
  <c r="AG555" i="3"/>
  <c r="AN555" i="3"/>
  <c r="AO555" i="3"/>
  <c r="BQ552" i="3"/>
  <c r="BF552" i="3"/>
  <c r="BJ551" i="3" s="1"/>
  <c r="BK551" i="3" s="1"/>
  <c r="BB552" i="3"/>
  <c r="B556" i="3"/>
  <c r="AQ556" i="3"/>
  <c r="AR556" i="3"/>
  <c r="A557" i="3"/>
  <c r="D556" i="3"/>
  <c r="AK556" i="3"/>
  <c r="S556" i="3"/>
  <c r="R556" i="3"/>
  <c r="C556" i="3"/>
  <c r="AM556" i="3"/>
  <c r="Q556" i="3"/>
  <c r="P556" i="3"/>
  <c r="AD556" i="3"/>
  <c r="O556" i="3"/>
  <c r="M556" i="3"/>
  <c r="AE556" i="3"/>
  <c r="AF556" i="3"/>
  <c r="V556" i="3"/>
  <c r="U556" i="3"/>
  <c r="G556" i="3"/>
  <c r="H556" i="3" s="1"/>
  <c r="F556" i="3"/>
  <c r="T556" i="3"/>
  <c r="X555" i="3"/>
  <c r="AX554" i="3"/>
  <c r="Y555" i="3"/>
  <c r="Z555" i="3" s="1"/>
  <c r="AH555" i="3"/>
  <c r="AW554" i="3"/>
  <c r="BM556" i="3" l="1"/>
  <c r="BG552" i="3"/>
  <c r="BH552" i="3" s="1"/>
  <c r="BI552" i="3" s="1"/>
  <c r="BC553" i="3"/>
  <c r="BG553" i="3" s="1"/>
  <c r="BH553" i="3" s="1"/>
  <c r="BI553" i="3" s="1"/>
  <c r="BQ553" i="3"/>
  <c r="BN556" i="3"/>
  <c r="BB553" i="3"/>
  <c r="AV554" i="3"/>
  <c r="Y556" i="3"/>
  <c r="Z556" i="3" s="1"/>
  <c r="AT555" i="3"/>
  <c r="AX555" i="3"/>
  <c r="AG556" i="3"/>
  <c r="BA554" i="3"/>
  <c r="BB554" i="3" s="1"/>
  <c r="AO556" i="3"/>
  <c r="AN556" i="3"/>
  <c r="AY554" i="3"/>
  <c r="AU555" i="3"/>
  <c r="AW555" i="3"/>
  <c r="AH556" i="3"/>
  <c r="X556" i="3"/>
  <c r="BJ552" i="3"/>
  <c r="BK552" i="3" s="1"/>
  <c r="AQ557" i="3"/>
  <c r="B557" i="3"/>
  <c r="A558" i="3"/>
  <c r="AR557" i="3"/>
  <c r="D557" i="3"/>
  <c r="C557" i="3"/>
  <c r="T557" i="3"/>
  <c r="S557" i="3"/>
  <c r="AK557" i="3"/>
  <c r="AM557" i="3"/>
  <c r="R557" i="3"/>
  <c r="AD557" i="3"/>
  <c r="P557" i="3"/>
  <c r="O557" i="3"/>
  <c r="M557" i="3"/>
  <c r="AF557" i="3"/>
  <c r="V557" i="3"/>
  <c r="U557" i="3"/>
  <c r="AE557" i="3"/>
  <c r="Q557" i="3"/>
  <c r="G557" i="3"/>
  <c r="H557" i="3" s="1"/>
  <c r="F557" i="3"/>
  <c r="BN557" i="3" l="1"/>
  <c r="BM557" i="3"/>
  <c r="BD553" i="3"/>
  <c r="BC554" i="3"/>
  <c r="BG554" i="3" s="1"/>
  <c r="BH554" i="3" s="1"/>
  <c r="BI554" i="3" s="1"/>
  <c r="AV555" i="3"/>
  <c r="AT556" i="3"/>
  <c r="AU556" i="3"/>
  <c r="AO557" i="3"/>
  <c r="AG557" i="3"/>
  <c r="BF554" i="3"/>
  <c r="BJ553" i="3" s="1"/>
  <c r="BK553" i="3" s="1"/>
  <c r="BQ554" i="3"/>
  <c r="Y557" i="3"/>
  <c r="Z557" i="3" s="1"/>
  <c r="B558" i="3"/>
  <c r="A559" i="3"/>
  <c r="AQ558" i="3"/>
  <c r="AR558" i="3"/>
  <c r="D558" i="3"/>
  <c r="AM558" i="3"/>
  <c r="T558" i="3"/>
  <c r="S558" i="3"/>
  <c r="Q558" i="3"/>
  <c r="C558" i="3"/>
  <c r="AK558" i="3"/>
  <c r="AD558" i="3"/>
  <c r="R558" i="3"/>
  <c r="P558" i="3"/>
  <c r="O558" i="3"/>
  <c r="M558" i="3"/>
  <c r="AE558" i="3"/>
  <c r="V558" i="3"/>
  <c r="U558" i="3"/>
  <c r="AF558" i="3"/>
  <c r="G558" i="3"/>
  <c r="H558" i="3" s="1"/>
  <c r="BN558" i="3" s="1"/>
  <c r="F558" i="3"/>
  <c r="BA555" i="3"/>
  <c r="AY555" i="3"/>
  <c r="AH557" i="3"/>
  <c r="AN557" i="3"/>
  <c r="X557" i="3"/>
  <c r="AX556" i="3"/>
  <c r="AW556" i="3"/>
  <c r="BM558" i="3" l="1"/>
  <c r="BD554" i="3"/>
  <c r="AU557" i="3"/>
  <c r="AN558" i="3"/>
  <c r="BC555" i="3"/>
  <c r="BG555" i="3" s="1"/>
  <c r="BH555" i="3" s="1"/>
  <c r="BI555" i="3" s="1"/>
  <c r="AV556" i="3"/>
  <c r="AX557" i="3"/>
  <c r="AH558" i="3"/>
  <c r="BA556" i="3"/>
  <c r="BF556" i="3" s="1"/>
  <c r="BQ555" i="3"/>
  <c r="BB555" i="3"/>
  <c r="BF555" i="3"/>
  <c r="BJ554" i="3" s="1"/>
  <c r="BK554" i="3" s="1"/>
  <c r="Y558" i="3"/>
  <c r="Z558" i="3" s="1"/>
  <c r="AY556" i="3"/>
  <c r="AT557" i="3"/>
  <c r="AW557" i="3"/>
  <c r="AG558" i="3"/>
  <c r="AO558" i="3"/>
  <c r="AR559" i="3"/>
  <c r="B559" i="3"/>
  <c r="AQ559" i="3"/>
  <c r="A560" i="3"/>
  <c r="C559" i="3"/>
  <c r="D559" i="3"/>
  <c r="AK559" i="3"/>
  <c r="AM559" i="3"/>
  <c r="S559" i="3"/>
  <c r="R559" i="3"/>
  <c r="T559" i="3"/>
  <c r="AD559" i="3"/>
  <c r="Q559" i="3"/>
  <c r="O559" i="3"/>
  <c r="AE559" i="3"/>
  <c r="AF559" i="3"/>
  <c r="M559" i="3"/>
  <c r="V559" i="3"/>
  <c r="U559" i="3"/>
  <c r="P559" i="3"/>
  <c r="G559" i="3"/>
  <c r="H559" i="3" s="1"/>
  <c r="F559" i="3"/>
  <c r="X558" i="3"/>
  <c r="BC556" i="3" l="1"/>
  <c r="BD556" i="3" s="1"/>
  <c r="BD555" i="3"/>
  <c r="BN559" i="3"/>
  <c r="BM559" i="3"/>
  <c r="AY557" i="3"/>
  <c r="AO559" i="3"/>
  <c r="AU558" i="3"/>
  <c r="AG559" i="3"/>
  <c r="AT558" i="3"/>
  <c r="BB556" i="3"/>
  <c r="BQ556" i="3"/>
  <c r="Y559" i="3"/>
  <c r="Z559" i="3" s="1"/>
  <c r="B560" i="3"/>
  <c r="AQ560" i="3"/>
  <c r="AR560" i="3"/>
  <c r="A561" i="3"/>
  <c r="C560" i="3"/>
  <c r="AM560" i="3"/>
  <c r="AK560" i="3"/>
  <c r="D560" i="3"/>
  <c r="T560" i="3"/>
  <c r="S560" i="3"/>
  <c r="Q560" i="3"/>
  <c r="R560" i="3"/>
  <c r="AD560" i="3"/>
  <c r="O560" i="3"/>
  <c r="P560" i="3"/>
  <c r="AE560" i="3"/>
  <c r="U560" i="3"/>
  <c r="AF560" i="3"/>
  <c r="M560" i="3"/>
  <c r="V560" i="3"/>
  <c r="G560" i="3"/>
  <c r="H560" i="3" s="1"/>
  <c r="F560" i="3"/>
  <c r="AV557" i="3"/>
  <c r="BA557" i="3"/>
  <c r="AH559" i="3"/>
  <c r="AN559" i="3"/>
  <c r="AW558" i="3"/>
  <c r="AX558" i="3"/>
  <c r="BJ555" i="3"/>
  <c r="BK555" i="3" s="1"/>
  <c r="X559" i="3"/>
  <c r="BG556" i="3" l="1"/>
  <c r="BH556" i="3" s="1"/>
  <c r="BI556" i="3" s="1"/>
  <c r="AV558" i="3"/>
  <c r="BC557" i="3"/>
  <c r="BG557" i="3" s="1"/>
  <c r="BH557" i="3" s="1"/>
  <c r="BI557" i="3" s="1"/>
  <c r="BM560" i="3"/>
  <c r="AT559" i="3"/>
  <c r="AN560" i="3"/>
  <c r="AG560" i="3"/>
  <c r="AW559" i="3"/>
  <c r="AX559" i="3"/>
  <c r="BF557" i="3"/>
  <c r="BJ556" i="3" s="1"/>
  <c r="BK556" i="3" s="1"/>
  <c r="BQ557" i="3"/>
  <c r="BB557" i="3"/>
  <c r="AU559" i="3"/>
  <c r="AY558" i="3"/>
  <c r="BA558" i="3"/>
  <c r="BN560" i="3"/>
  <c r="AH560" i="3"/>
  <c r="AO560" i="3"/>
  <c r="X560" i="3"/>
  <c r="Y560" i="3"/>
  <c r="Z560" i="3" s="1"/>
  <c r="AQ561" i="3"/>
  <c r="B561" i="3"/>
  <c r="A562" i="3"/>
  <c r="AR561" i="3"/>
  <c r="D561" i="3"/>
  <c r="C561" i="3"/>
  <c r="S561" i="3"/>
  <c r="R561" i="3"/>
  <c r="AM561" i="3"/>
  <c r="AK561" i="3"/>
  <c r="Q561" i="3"/>
  <c r="P561" i="3"/>
  <c r="AD561" i="3"/>
  <c r="O561" i="3"/>
  <c r="M561" i="3"/>
  <c r="AE561" i="3"/>
  <c r="V561" i="3"/>
  <c r="U561" i="3"/>
  <c r="AF561" i="3"/>
  <c r="G561" i="3"/>
  <c r="H561" i="3" s="1"/>
  <c r="F561" i="3"/>
  <c r="T561" i="3"/>
  <c r="BC558" i="3" l="1"/>
  <c r="BD558" i="3" s="1"/>
  <c r="BD557" i="3"/>
  <c r="AV559" i="3"/>
  <c r="AU560" i="3"/>
  <c r="AO561" i="3"/>
  <c r="BN561" i="3"/>
  <c r="BM561" i="3"/>
  <c r="Y561" i="3"/>
  <c r="Z561" i="3" s="1"/>
  <c r="AG561" i="3"/>
  <c r="AT560" i="3"/>
  <c r="BA559" i="3"/>
  <c r="BQ559" i="3" s="1"/>
  <c r="B562" i="3"/>
  <c r="A563" i="3"/>
  <c r="AQ562" i="3"/>
  <c r="AR562" i="3"/>
  <c r="C562" i="3"/>
  <c r="AM562" i="3"/>
  <c r="T562" i="3"/>
  <c r="S562" i="3"/>
  <c r="D562" i="3"/>
  <c r="AK562" i="3"/>
  <c r="Q562" i="3"/>
  <c r="AD562" i="3"/>
  <c r="P562" i="3"/>
  <c r="O562" i="3"/>
  <c r="M562" i="3"/>
  <c r="AF562" i="3"/>
  <c r="V562" i="3"/>
  <c r="U562" i="3"/>
  <c r="AE562" i="3"/>
  <c r="R562" i="3"/>
  <c r="F562" i="3"/>
  <c r="BM562" i="3" s="1"/>
  <c r="G562" i="3"/>
  <c r="H562" i="3" s="1"/>
  <c r="BB558" i="3"/>
  <c r="BF558" i="3"/>
  <c r="BJ557" i="3" s="1"/>
  <c r="BK557" i="3" s="1"/>
  <c r="BQ558" i="3"/>
  <c r="AH561" i="3"/>
  <c r="AN561" i="3"/>
  <c r="AX560" i="3"/>
  <c r="AW560" i="3"/>
  <c r="AY559" i="3"/>
  <c r="X561" i="3"/>
  <c r="BC559" i="3" l="1"/>
  <c r="BG559" i="3" s="1"/>
  <c r="BH559" i="3" s="1"/>
  <c r="BI559" i="3" s="1"/>
  <c r="BG558" i="3"/>
  <c r="BH558" i="3" s="1"/>
  <c r="BI558" i="3" s="1"/>
  <c r="AV560" i="3"/>
  <c r="AO562" i="3"/>
  <c r="AT561" i="3"/>
  <c r="BN562" i="3"/>
  <c r="BA560" i="3"/>
  <c r="BQ560" i="3" s="1"/>
  <c r="AX561" i="3"/>
  <c r="BF559" i="3"/>
  <c r="BJ558" i="3" s="1"/>
  <c r="BK558" i="3" s="1"/>
  <c r="BB559" i="3"/>
  <c r="AY560" i="3"/>
  <c r="Y562" i="3"/>
  <c r="Z562" i="3" s="1"/>
  <c r="AW561" i="3"/>
  <c r="AU561" i="3"/>
  <c r="AG562" i="3"/>
  <c r="X562" i="3"/>
  <c r="AR563" i="3"/>
  <c r="B563" i="3"/>
  <c r="AQ563" i="3"/>
  <c r="A564" i="3"/>
  <c r="C563" i="3"/>
  <c r="S563" i="3"/>
  <c r="D563" i="3"/>
  <c r="AM563" i="3"/>
  <c r="AK563" i="3"/>
  <c r="AD563" i="3"/>
  <c r="P563" i="3"/>
  <c r="R563" i="3"/>
  <c r="O563" i="3"/>
  <c r="AE563" i="3"/>
  <c r="M563" i="3"/>
  <c r="AF563" i="3"/>
  <c r="V563" i="3"/>
  <c r="U563" i="3"/>
  <c r="F563" i="3"/>
  <c r="G563" i="3"/>
  <c r="H563" i="3" s="1"/>
  <c r="Q563" i="3"/>
  <c r="T563" i="3"/>
  <c r="AH562" i="3"/>
  <c r="AN562" i="3"/>
  <c r="BD559" i="3" l="1"/>
  <c r="BF560" i="3"/>
  <c r="BJ559" i="3" s="1"/>
  <c r="BK559" i="3" s="1"/>
  <c r="BC560" i="3"/>
  <c r="BG560" i="3" s="1"/>
  <c r="BH560" i="3" s="1"/>
  <c r="BI560" i="3" s="1"/>
  <c r="BM563" i="3"/>
  <c r="BN563" i="3"/>
  <c r="AY561" i="3"/>
  <c r="BB560" i="3"/>
  <c r="AX562" i="3"/>
  <c r="AO563" i="3"/>
  <c r="AH563" i="3"/>
  <c r="Y563" i="3"/>
  <c r="Z563" i="3" s="1"/>
  <c r="BA561" i="3"/>
  <c r="BQ561" i="3" s="1"/>
  <c r="AT562" i="3"/>
  <c r="X563" i="3"/>
  <c r="AU562" i="3"/>
  <c r="AW562" i="3"/>
  <c r="AV561" i="3"/>
  <c r="B564" i="3"/>
  <c r="AQ564" i="3"/>
  <c r="AR564" i="3"/>
  <c r="A565" i="3"/>
  <c r="C564" i="3"/>
  <c r="D564" i="3"/>
  <c r="AK564" i="3"/>
  <c r="AM564" i="3"/>
  <c r="S564" i="3"/>
  <c r="Q564" i="3"/>
  <c r="R564" i="3"/>
  <c r="P564" i="3"/>
  <c r="AD564" i="3"/>
  <c r="AE564" i="3"/>
  <c r="AF564" i="3"/>
  <c r="U564" i="3"/>
  <c r="O564" i="3"/>
  <c r="M564" i="3"/>
  <c r="V564" i="3"/>
  <c r="G564" i="3"/>
  <c r="H564" i="3" s="1"/>
  <c r="F564" i="3"/>
  <c r="T564" i="3"/>
  <c r="AG563" i="3"/>
  <c r="AN563" i="3"/>
  <c r="BM564" i="3" l="1"/>
  <c r="BC561" i="3"/>
  <c r="BG561" i="3" s="1"/>
  <c r="BH561" i="3" s="1"/>
  <c r="BI561" i="3" s="1"/>
  <c r="BD560" i="3"/>
  <c r="AY562" i="3"/>
  <c r="BN564" i="3"/>
  <c r="AV562" i="3"/>
  <c r="AN564" i="3"/>
  <c r="AW563" i="3"/>
  <c r="AX563" i="3"/>
  <c r="Y564" i="3"/>
  <c r="Z564" i="3" s="1"/>
  <c r="AG564" i="3"/>
  <c r="BF561" i="3"/>
  <c r="BJ560" i="3" s="1"/>
  <c r="BK560" i="3" s="1"/>
  <c r="BB561" i="3"/>
  <c r="AH564" i="3"/>
  <c r="AO564" i="3"/>
  <c r="X564" i="3"/>
  <c r="AU563" i="3"/>
  <c r="AQ565" i="3"/>
  <c r="B565" i="3"/>
  <c r="A566" i="3"/>
  <c r="AR565" i="3"/>
  <c r="D565" i="3"/>
  <c r="C565" i="3"/>
  <c r="AK565" i="3"/>
  <c r="AM565" i="3"/>
  <c r="S565" i="3"/>
  <c r="Q565" i="3"/>
  <c r="AD565" i="3"/>
  <c r="T565" i="3"/>
  <c r="R565" i="3"/>
  <c r="O565" i="3"/>
  <c r="P565" i="3"/>
  <c r="M565" i="3"/>
  <c r="V565" i="3"/>
  <c r="AE565" i="3"/>
  <c r="AF565" i="3"/>
  <c r="U565" i="3"/>
  <c r="F565" i="3"/>
  <c r="G565" i="3"/>
  <c r="H565" i="3" s="1"/>
  <c r="AT563" i="3"/>
  <c r="BA562" i="3"/>
  <c r="BD561" i="3" l="1"/>
  <c r="BC562" i="3"/>
  <c r="BD562" i="3" s="1"/>
  <c r="BN565" i="3"/>
  <c r="AU564" i="3"/>
  <c r="AN565" i="3"/>
  <c r="BM565" i="3"/>
  <c r="AY563" i="3"/>
  <c r="AO565" i="3"/>
  <c r="AX564" i="3"/>
  <c r="AG565" i="3"/>
  <c r="AW564" i="3"/>
  <c r="AT564" i="3"/>
  <c r="BB562" i="3"/>
  <c r="BF562" i="3"/>
  <c r="BJ561" i="3" s="1"/>
  <c r="BK561" i="3" s="1"/>
  <c r="BQ562" i="3"/>
  <c r="BA563" i="3"/>
  <c r="AV563" i="3"/>
  <c r="Y565" i="3"/>
  <c r="Z565" i="3" s="1"/>
  <c r="B566" i="3"/>
  <c r="A567" i="3"/>
  <c r="AQ566" i="3"/>
  <c r="AR566" i="3"/>
  <c r="D566" i="3"/>
  <c r="C566" i="3"/>
  <c r="AM566" i="3"/>
  <c r="AK566" i="3"/>
  <c r="R566" i="3"/>
  <c r="Q566" i="3"/>
  <c r="S566" i="3"/>
  <c r="P566" i="3"/>
  <c r="AD566" i="3"/>
  <c r="M566" i="3"/>
  <c r="AF566" i="3"/>
  <c r="V566" i="3"/>
  <c r="U566" i="3"/>
  <c r="O566" i="3"/>
  <c r="AE566" i="3"/>
  <c r="G566" i="3"/>
  <c r="H566" i="3" s="1"/>
  <c r="F566" i="3"/>
  <c r="T566" i="3"/>
  <c r="AH565" i="3"/>
  <c r="X565" i="3"/>
  <c r="BG562" i="3" l="1"/>
  <c r="BH562" i="3" s="1"/>
  <c r="BI562" i="3" s="1"/>
  <c r="AV564" i="3"/>
  <c r="AY564" i="3"/>
  <c r="AG566" i="3"/>
  <c r="BN566" i="3"/>
  <c r="AX565" i="3"/>
  <c r="BM566" i="3"/>
  <c r="BC563" i="3"/>
  <c r="BD563" i="3" s="1"/>
  <c r="BA564" i="3"/>
  <c r="BB564" i="3" s="1"/>
  <c r="AN566" i="3"/>
  <c r="Y566" i="3"/>
  <c r="Z566" i="3" s="1"/>
  <c r="AR567" i="3"/>
  <c r="B567" i="3"/>
  <c r="AQ567" i="3"/>
  <c r="A568" i="3"/>
  <c r="C567" i="3"/>
  <c r="D567" i="3"/>
  <c r="AK567" i="3"/>
  <c r="T567" i="3"/>
  <c r="AM567" i="3"/>
  <c r="S567" i="3"/>
  <c r="Q567" i="3"/>
  <c r="R567" i="3"/>
  <c r="AD567" i="3"/>
  <c r="P567" i="3"/>
  <c r="M567" i="3"/>
  <c r="AF567" i="3"/>
  <c r="U567" i="3"/>
  <c r="O567" i="3"/>
  <c r="AE567" i="3"/>
  <c r="V567" i="3"/>
  <c r="F567" i="3"/>
  <c r="BM567" i="3" s="1"/>
  <c r="G567" i="3"/>
  <c r="H567" i="3" s="1"/>
  <c r="BN567" i="3" s="1"/>
  <c r="AW565" i="3"/>
  <c r="AU565" i="3"/>
  <c r="AO566" i="3"/>
  <c r="X566" i="3"/>
  <c r="BQ563" i="3"/>
  <c r="BF563" i="3"/>
  <c r="BJ562" i="3" s="1"/>
  <c r="BK562" i="3" s="1"/>
  <c r="BB563" i="3"/>
  <c r="AT565" i="3"/>
  <c r="AH566" i="3"/>
  <c r="BC564" i="3" l="1"/>
  <c r="BG564" i="3" s="1"/>
  <c r="BH564" i="3" s="1"/>
  <c r="BI564" i="3" s="1"/>
  <c r="AV565" i="3"/>
  <c r="AN567" i="3"/>
  <c r="AX566" i="3"/>
  <c r="AY565" i="3"/>
  <c r="BG563" i="3"/>
  <c r="BH563" i="3" s="1"/>
  <c r="BI563" i="3" s="1"/>
  <c r="BQ564" i="3"/>
  <c r="AG567" i="3"/>
  <c r="BF564" i="3"/>
  <c r="BJ563" i="3" s="1"/>
  <c r="BK563" i="3" s="1"/>
  <c r="Y567" i="3"/>
  <c r="Z567" i="3" s="1"/>
  <c r="B568" i="3"/>
  <c r="AQ568" i="3"/>
  <c r="AR568" i="3"/>
  <c r="A569" i="3"/>
  <c r="C568" i="3"/>
  <c r="AM568" i="3"/>
  <c r="AK568" i="3"/>
  <c r="T568" i="3"/>
  <c r="D568" i="3"/>
  <c r="S568" i="3"/>
  <c r="R568" i="3"/>
  <c r="Q568" i="3"/>
  <c r="AD568" i="3"/>
  <c r="P568" i="3"/>
  <c r="AE568" i="3"/>
  <c r="O568" i="3"/>
  <c r="M568" i="3"/>
  <c r="U568" i="3"/>
  <c r="AF568" i="3"/>
  <c r="V568" i="3"/>
  <c r="G568" i="3"/>
  <c r="H568" i="3" s="1"/>
  <c r="BN568" i="3" s="1"/>
  <c r="F568" i="3"/>
  <c r="AT566" i="3"/>
  <c r="AW566" i="3"/>
  <c r="BA565" i="3"/>
  <c r="AU566" i="3"/>
  <c r="AH567" i="3"/>
  <c r="AO567" i="3"/>
  <c r="X567" i="3"/>
  <c r="BD564" i="3" l="1"/>
  <c r="BC565" i="3"/>
  <c r="BD565" i="3" s="1"/>
  <c r="AY566" i="3"/>
  <c r="BM568" i="3"/>
  <c r="AU567" i="3"/>
  <c r="AH568" i="3"/>
  <c r="AN568" i="3"/>
  <c r="AT567" i="3"/>
  <c r="AW567" i="3"/>
  <c r="AQ569" i="3"/>
  <c r="B569" i="3"/>
  <c r="A570" i="3"/>
  <c r="AR569" i="3"/>
  <c r="C569" i="3"/>
  <c r="S569" i="3"/>
  <c r="AK569" i="3"/>
  <c r="D569" i="3"/>
  <c r="AM569" i="3"/>
  <c r="Q569" i="3"/>
  <c r="T569" i="3"/>
  <c r="P569" i="3"/>
  <c r="AD569" i="3"/>
  <c r="O569" i="3"/>
  <c r="M569" i="3"/>
  <c r="V569" i="3"/>
  <c r="AF569" i="3"/>
  <c r="AE569" i="3"/>
  <c r="G569" i="3"/>
  <c r="H569" i="3" s="1"/>
  <c r="U569" i="3"/>
  <c r="R569" i="3"/>
  <c r="F569" i="3"/>
  <c r="BF565" i="3"/>
  <c r="BQ565" i="3"/>
  <c r="BB565" i="3"/>
  <c r="AV566" i="3"/>
  <c r="BA566" i="3"/>
  <c r="Y568" i="3"/>
  <c r="Z568" i="3" s="1"/>
  <c r="AX567" i="3"/>
  <c r="AG568" i="3"/>
  <c r="AO568" i="3"/>
  <c r="X568" i="3"/>
  <c r="BG565" i="3" l="1"/>
  <c r="BH565" i="3" s="1"/>
  <c r="BI565" i="3" s="1"/>
  <c r="AY567" i="3"/>
  <c r="AU568" i="3"/>
  <c r="AN569" i="3"/>
  <c r="BC566" i="3"/>
  <c r="BD566" i="3" s="1"/>
  <c r="AV567" i="3"/>
  <c r="BN569" i="3"/>
  <c r="AT568" i="3"/>
  <c r="AX568" i="3"/>
  <c r="AH569" i="3"/>
  <c r="BJ564" i="3"/>
  <c r="BK564" i="3" s="1"/>
  <c r="B570" i="3"/>
  <c r="A571" i="3"/>
  <c r="AQ570" i="3"/>
  <c r="AR570" i="3"/>
  <c r="C570" i="3"/>
  <c r="AK570" i="3"/>
  <c r="AM570" i="3"/>
  <c r="D570" i="3"/>
  <c r="T570" i="3"/>
  <c r="Q570" i="3"/>
  <c r="S570" i="3"/>
  <c r="R570" i="3"/>
  <c r="AD570" i="3"/>
  <c r="M570" i="3"/>
  <c r="P570" i="3"/>
  <c r="O570" i="3"/>
  <c r="AF570" i="3"/>
  <c r="AE570" i="3"/>
  <c r="V570" i="3"/>
  <c r="U570" i="3"/>
  <c r="G570" i="3"/>
  <c r="H570" i="3" s="1"/>
  <c r="F570" i="3"/>
  <c r="Y569" i="3"/>
  <c r="Z569" i="3" s="1"/>
  <c r="AO569" i="3"/>
  <c r="X569" i="3"/>
  <c r="AW568" i="3"/>
  <c r="BA567" i="3"/>
  <c r="BM569" i="3"/>
  <c r="AG569" i="3"/>
  <c r="BF566" i="3"/>
  <c r="BQ566" i="3"/>
  <c r="BB566" i="3"/>
  <c r="BC567" i="3" l="1"/>
  <c r="BG567" i="3" s="1"/>
  <c r="BH567" i="3" s="1"/>
  <c r="BI567" i="3" s="1"/>
  <c r="AV568" i="3"/>
  <c r="BG566" i="3"/>
  <c r="BH566" i="3" s="1"/>
  <c r="BI566" i="3" s="1"/>
  <c r="BM570" i="3"/>
  <c r="BN570" i="3"/>
  <c r="AW569" i="3"/>
  <c r="AN570" i="3"/>
  <c r="AY568" i="3"/>
  <c r="BF567" i="3"/>
  <c r="BJ566" i="3" s="1"/>
  <c r="BK566" i="3" s="1"/>
  <c r="BQ567" i="3"/>
  <c r="BB567" i="3"/>
  <c r="Y570" i="3"/>
  <c r="Z570" i="3" s="1"/>
  <c r="AR571" i="3"/>
  <c r="B571" i="3"/>
  <c r="AQ571" i="3"/>
  <c r="A572" i="3"/>
  <c r="D571" i="3"/>
  <c r="AK571" i="3"/>
  <c r="S571" i="3"/>
  <c r="AM571" i="3"/>
  <c r="C571" i="3"/>
  <c r="R571" i="3"/>
  <c r="Q571" i="3"/>
  <c r="AD571" i="3"/>
  <c r="P571" i="3"/>
  <c r="AE571" i="3"/>
  <c r="M571" i="3"/>
  <c r="O571" i="3"/>
  <c r="AF571" i="3"/>
  <c r="U571" i="3"/>
  <c r="V571" i="3"/>
  <c r="G571" i="3"/>
  <c r="H571" i="3" s="1"/>
  <c r="F571" i="3"/>
  <c r="T571" i="3"/>
  <c r="AX569" i="3"/>
  <c r="AT569" i="3"/>
  <c r="AG570" i="3"/>
  <c r="AO570" i="3"/>
  <c r="BA568" i="3"/>
  <c r="AU569" i="3"/>
  <c r="AH570" i="3"/>
  <c r="X570" i="3"/>
  <c r="BJ565" i="3"/>
  <c r="BK565" i="3" s="1"/>
  <c r="BM571" i="3" l="1"/>
  <c r="BD567" i="3"/>
  <c r="BC568" i="3"/>
  <c r="BD568" i="3" s="1"/>
  <c r="AY569" i="3"/>
  <c r="AX570" i="3"/>
  <c r="AV569" i="3"/>
  <c r="BB568" i="3"/>
  <c r="BF568" i="3"/>
  <c r="BJ567" i="3" s="1"/>
  <c r="BK567" i="3" s="1"/>
  <c r="BQ568" i="3"/>
  <c r="AO571" i="3"/>
  <c r="AN571" i="3"/>
  <c r="B572" i="3"/>
  <c r="AQ572" i="3"/>
  <c r="AR572" i="3"/>
  <c r="A573" i="3"/>
  <c r="C572" i="3"/>
  <c r="D572" i="3"/>
  <c r="AK572" i="3"/>
  <c r="AM572" i="3"/>
  <c r="T572" i="3"/>
  <c r="S572" i="3"/>
  <c r="Q572" i="3"/>
  <c r="AD572" i="3"/>
  <c r="P572" i="3"/>
  <c r="O572" i="3"/>
  <c r="M572" i="3"/>
  <c r="AE572" i="3"/>
  <c r="V572" i="3"/>
  <c r="AF572" i="3"/>
  <c r="U572" i="3"/>
  <c r="F572" i="3"/>
  <c r="R572" i="3"/>
  <c r="G572" i="3"/>
  <c r="H572" i="3" s="1"/>
  <c r="BN572" i="3" s="1"/>
  <c r="AU570" i="3"/>
  <c r="X571" i="3"/>
  <c r="BA569" i="3"/>
  <c r="AT570" i="3"/>
  <c r="AW570" i="3"/>
  <c r="Y571" i="3"/>
  <c r="Z571" i="3" s="1"/>
  <c r="BN571" i="3"/>
  <c r="AG571" i="3"/>
  <c r="AH571" i="3"/>
  <c r="BG568" i="3" l="1"/>
  <c r="BH568" i="3" s="1"/>
  <c r="BI568" i="3" s="1"/>
  <c r="BC569" i="3"/>
  <c r="BD569" i="3" s="1"/>
  <c r="AO572" i="3"/>
  <c r="AU571" i="3"/>
  <c r="AY570" i="3"/>
  <c r="AW571" i="3"/>
  <c r="BA570" i="3"/>
  <c r="AV570" i="3"/>
  <c r="BQ569" i="3"/>
  <c r="BF569" i="3"/>
  <c r="BJ568" i="3" s="1"/>
  <c r="BK568" i="3" s="1"/>
  <c r="BB569" i="3"/>
  <c r="Y572" i="3"/>
  <c r="Z572" i="3" s="1"/>
  <c r="AQ573" i="3"/>
  <c r="B573" i="3"/>
  <c r="A574" i="3"/>
  <c r="AR573" i="3"/>
  <c r="D573" i="3"/>
  <c r="C573" i="3"/>
  <c r="S573" i="3"/>
  <c r="Q573" i="3"/>
  <c r="AK573" i="3"/>
  <c r="AM573" i="3"/>
  <c r="R573" i="3"/>
  <c r="P573" i="3"/>
  <c r="AD573" i="3"/>
  <c r="M573" i="3"/>
  <c r="AE573" i="3"/>
  <c r="O573" i="3"/>
  <c r="AF573" i="3"/>
  <c r="V573" i="3"/>
  <c r="U573" i="3"/>
  <c r="G573" i="3"/>
  <c r="H573" i="3" s="1"/>
  <c r="F573" i="3"/>
  <c r="T573" i="3"/>
  <c r="AT571" i="3"/>
  <c r="AX571" i="3"/>
  <c r="BM572" i="3"/>
  <c r="AG572" i="3"/>
  <c r="AH572" i="3"/>
  <c r="AN572" i="3"/>
  <c r="X572" i="3"/>
  <c r="BG569" i="3" l="1"/>
  <c r="BH569" i="3" s="1"/>
  <c r="BI569" i="3" s="1"/>
  <c r="AY571" i="3"/>
  <c r="BM573" i="3"/>
  <c r="BC570" i="3"/>
  <c r="BD570" i="3" s="1"/>
  <c r="AG573" i="3"/>
  <c r="AO573" i="3"/>
  <c r="AU572" i="3"/>
  <c r="AX572" i="3"/>
  <c r="BA571" i="3"/>
  <c r="AV571" i="3"/>
  <c r="BQ570" i="3"/>
  <c r="BF570" i="3"/>
  <c r="BJ569" i="3" s="1"/>
  <c r="BK569" i="3" s="1"/>
  <c r="BB570" i="3"/>
  <c r="AH573" i="3"/>
  <c r="AT572" i="3"/>
  <c r="AW572" i="3"/>
  <c r="Y573" i="3"/>
  <c r="Z573" i="3" s="1"/>
  <c r="BN573" i="3"/>
  <c r="AN573" i="3"/>
  <c r="X573" i="3"/>
  <c r="B574" i="3"/>
  <c r="A575" i="3"/>
  <c r="AQ574" i="3"/>
  <c r="AR574" i="3"/>
  <c r="C574" i="3"/>
  <c r="D574" i="3"/>
  <c r="AK574" i="3"/>
  <c r="S574" i="3"/>
  <c r="R574" i="3"/>
  <c r="AM574" i="3"/>
  <c r="AD574" i="3"/>
  <c r="P574" i="3"/>
  <c r="Q574" i="3"/>
  <c r="AF574" i="3"/>
  <c r="M574" i="3"/>
  <c r="U574" i="3"/>
  <c r="O574" i="3"/>
  <c r="AE574" i="3"/>
  <c r="V574" i="3"/>
  <c r="F574" i="3"/>
  <c r="G574" i="3"/>
  <c r="H574" i="3" s="1"/>
  <c r="T574" i="3"/>
  <c r="BC571" i="3" l="1"/>
  <c r="BG571" i="3" s="1"/>
  <c r="BH571" i="3" s="1"/>
  <c r="BI571" i="3" s="1"/>
  <c r="AY572" i="3"/>
  <c r="AU573" i="3"/>
  <c r="BG570" i="3"/>
  <c r="BH570" i="3" s="1"/>
  <c r="BI570" i="3" s="1"/>
  <c r="BN574" i="3"/>
  <c r="AN574" i="3"/>
  <c r="BM574" i="3"/>
  <c r="AG574" i="3"/>
  <c r="AO574" i="3"/>
  <c r="AW573" i="3"/>
  <c r="Y574" i="3"/>
  <c r="Z574" i="3" s="1"/>
  <c r="AR575" i="3"/>
  <c r="AQ575" i="3"/>
  <c r="A576" i="3"/>
  <c r="B575" i="3"/>
  <c r="D575" i="3"/>
  <c r="C575" i="3"/>
  <c r="AK575" i="3"/>
  <c r="AM575" i="3"/>
  <c r="Q575" i="3"/>
  <c r="S575" i="3"/>
  <c r="AD575" i="3"/>
  <c r="P575" i="3"/>
  <c r="O575" i="3"/>
  <c r="AE575" i="3"/>
  <c r="AF575" i="3"/>
  <c r="M575" i="3"/>
  <c r="V575" i="3"/>
  <c r="U575" i="3"/>
  <c r="G575" i="3"/>
  <c r="H575" i="3" s="1"/>
  <c r="F575" i="3"/>
  <c r="R575" i="3"/>
  <c r="T575" i="3"/>
  <c r="AT573" i="3"/>
  <c r="AX573" i="3"/>
  <c r="BQ571" i="3"/>
  <c r="BF571" i="3"/>
  <c r="BJ570" i="3" s="1"/>
  <c r="BK570" i="3" s="1"/>
  <c r="BB571" i="3"/>
  <c r="AV572" i="3"/>
  <c r="BA572" i="3"/>
  <c r="AH574" i="3"/>
  <c r="X574" i="3"/>
  <c r="BD571" i="3" l="1"/>
  <c r="BC572" i="3"/>
  <c r="BD572" i="3" s="1"/>
  <c r="BN575" i="3"/>
  <c r="BM575" i="3"/>
  <c r="AU574" i="3"/>
  <c r="AX574" i="3"/>
  <c r="AO575" i="3"/>
  <c r="AY573" i="3"/>
  <c r="BA573" i="3"/>
  <c r="AV573" i="3"/>
  <c r="AH575" i="3"/>
  <c r="AT574" i="3"/>
  <c r="AW574" i="3"/>
  <c r="Y575" i="3"/>
  <c r="Z575" i="3" s="1"/>
  <c r="AG575" i="3"/>
  <c r="AN575" i="3"/>
  <c r="X575" i="3"/>
  <c r="BQ572" i="3"/>
  <c r="BF572" i="3"/>
  <c r="BJ571" i="3" s="1"/>
  <c r="BK571" i="3" s="1"/>
  <c r="BB572" i="3"/>
  <c r="A577" i="3"/>
  <c r="AR576" i="3"/>
  <c r="B576" i="3"/>
  <c r="AQ576" i="3"/>
  <c r="D576" i="3"/>
  <c r="AM576" i="3"/>
  <c r="S576" i="3"/>
  <c r="Q576" i="3"/>
  <c r="AK576" i="3"/>
  <c r="C576" i="3"/>
  <c r="R576" i="3"/>
  <c r="AD576" i="3"/>
  <c r="P576" i="3"/>
  <c r="O576" i="3"/>
  <c r="AE576" i="3"/>
  <c r="AF576" i="3"/>
  <c r="V576" i="3"/>
  <c r="M576" i="3"/>
  <c r="U576" i="3"/>
  <c r="G576" i="3"/>
  <c r="H576" i="3" s="1"/>
  <c r="F576" i="3"/>
  <c r="T576" i="3"/>
  <c r="BG572" i="3" l="1"/>
  <c r="BH572" i="3" s="1"/>
  <c r="BI572" i="3" s="1"/>
  <c r="AU575" i="3"/>
  <c r="BC573" i="3"/>
  <c r="BD573" i="3" s="1"/>
  <c r="AO576" i="3"/>
  <c r="AY574" i="3"/>
  <c r="BM576" i="3"/>
  <c r="AG576" i="3"/>
  <c r="AT575" i="3"/>
  <c r="AW575" i="3"/>
  <c r="BF573" i="3"/>
  <c r="BJ572" i="3" s="1"/>
  <c r="BK572" i="3" s="1"/>
  <c r="BQ573" i="3"/>
  <c r="BB573" i="3"/>
  <c r="Y576" i="3"/>
  <c r="Z576" i="3" s="1"/>
  <c r="BN576" i="3"/>
  <c r="AH576" i="3"/>
  <c r="X576" i="3"/>
  <c r="AN576" i="3"/>
  <c r="AX575" i="3"/>
  <c r="AR577" i="3"/>
  <c r="A578" i="3"/>
  <c r="AQ577" i="3"/>
  <c r="B577" i="3"/>
  <c r="C577" i="3"/>
  <c r="AK577" i="3"/>
  <c r="T577" i="3"/>
  <c r="S577" i="3"/>
  <c r="D577" i="3"/>
  <c r="AM577" i="3"/>
  <c r="R577" i="3"/>
  <c r="Q577" i="3"/>
  <c r="AD577" i="3"/>
  <c r="P577" i="3"/>
  <c r="O577" i="3"/>
  <c r="M577" i="3"/>
  <c r="U577" i="3"/>
  <c r="AE577" i="3"/>
  <c r="AF577" i="3"/>
  <c r="V577" i="3"/>
  <c r="F577" i="3"/>
  <c r="G577" i="3"/>
  <c r="H577" i="3" s="1"/>
  <c r="BA574" i="3"/>
  <c r="AV574" i="3"/>
  <c r="BG573" i="3" l="1"/>
  <c r="BH573" i="3" s="1"/>
  <c r="BI573" i="3" s="1"/>
  <c r="BM577" i="3"/>
  <c r="AU576" i="3"/>
  <c r="AN577" i="3"/>
  <c r="BC574" i="3"/>
  <c r="BD574" i="3" s="1"/>
  <c r="BN577" i="3"/>
  <c r="AW576" i="3"/>
  <c r="AT576" i="3"/>
  <c r="BQ574" i="3"/>
  <c r="BB574" i="3"/>
  <c r="BF574" i="3"/>
  <c r="BJ573" i="3" s="1"/>
  <c r="BK573" i="3" s="1"/>
  <c r="AR578" i="3"/>
  <c r="AQ578" i="3"/>
  <c r="B578" i="3"/>
  <c r="A579" i="3"/>
  <c r="C578" i="3"/>
  <c r="D578" i="3"/>
  <c r="AM578" i="3"/>
  <c r="AK578" i="3"/>
  <c r="S578" i="3"/>
  <c r="AD578" i="3"/>
  <c r="P578" i="3"/>
  <c r="R578" i="3"/>
  <c r="Q578" i="3"/>
  <c r="O578" i="3"/>
  <c r="M578" i="3"/>
  <c r="AE578" i="3"/>
  <c r="AF578" i="3"/>
  <c r="U578" i="3"/>
  <c r="V578" i="3"/>
  <c r="G578" i="3"/>
  <c r="H578" i="3" s="1"/>
  <c r="F578" i="3"/>
  <c r="BM578" i="3" s="1"/>
  <c r="T578" i="3"/>
  <c r="BA575" i="3"/>
  <c r="AV575" i="3"/>
  <c r="AG577" i="3"/>
  <c r="AO577" i="3"/>
  <c r="Y577" i="3"/>
  <c r="Z577" i="3" s="1"/>
  <c r="AH577" i="3"/>
  <c r="X577" i="3"/>
  <c r="AX576" i="3"/>
  <c r="AY575" i="3"/>
  <c r="BN578" i="3" l="1"/>
  <c r="AV576" i="3"/>
  <c r="BG574" i="3"/>
  <c r="BH574" i="3" s="1"/>
  <c r="BI574" i="3" s="1"/>
  <c r="AU577" i="3"/>
  <c r="BA576" i="3"/>
  <c r="BB576" i="3" s="1"/>
  <c r="AT577" i="3"/>
  <c r="AN578" i="3"/>
  <c r="AH578" i="3"/>
  <c r="A580" i="3"/>
  <c r="AQ579" i="3"/>
  <c r="AR579" i="3"/>
  <c r="B579" i="3"/>
  <c r="C579" i="3"/>
  <c r="AK579" i="3"/>
  <c r="AM579" i="3"/>
  <c r="S579" i="3"/>
  <c r="D579" i="3"/>
  <c r="R579" i="3"/>
  <c r="Q579" i="3"/>
  <c r="AD579" i="3"/>
  <c r="T579" i="3"/>
  <c r="P579" i="3"/>
  <c r="M579" i="3"/>
  <c r="AE579" i="3"/>
  <c r="AF579" i="3"/>
  <c r="V579" i="3"/>
  <c r="O579" i="3"/>
  <c r="U579" i="3"/>
  <c r="F579" i="3"/>
  <c r="BM579" i="3" s="1"/>
  <c r="G579" i="3"/>
  <c r="H579" i="3" s="1"/>
  <c r="AY576" i="3"/>
  <c r="AX577" i="3"/>
  <c r="AW577" i="3"/>
  <c r="BC575" i="3"/>
  <c r="Y578" i="3"/>
  <c r="Z578" i="3" s="1"/>
  <c r="AG578" i="3"/>
  <c r="AO578" i="3"/>
  <c r="BF575" i="3"/>
  <c r="BJ574" i="3" s="1"/>
  <c r="BK574" i="3" s="1"/>
  <c r="BB575" i="3"/>
  <c r="BQ575" i="3"/>
  <c r="X578" i="3"/>
  <c r="BC576" i="3" l="1"/>
  <c r="BG576" i="3" s="1"/>
  <c r="BH576" i="3" s="1"/>
  <c r="BI576" i="3" s="1"/>
  <c r="BQ576" i="3"/>
  <c r="AV577" i="3"/>
  <c r="BF576" i="3"/>
  <c r="BJ575" i="3" s="1"/>
  <c r="BK575" i="3" s="1"/>
  <c r="AU578" i="3"/>
  <c r="AN579" i="3"/>
  <c r="AT578" i="3"/>
  <c r="AX578" i="3"/>
  <c r="AY577" i="3"/>
  <c r="BA577" i="3"/>
  <c r="BQ577" i="3" s="1"/>
  <c r="Y579" i="3"/>
  <c r="Z579" i="3" s="1"/>
  <c r="BD575" i="3"/>
  <c r="BG575" i="3"/>
  <c r="BH575" i="3" s="1"/>
  <c r="BI575" i="3" s="1"/>
  <c r="AW578" i="3"/>
  <c r="BN579" i="3"/>
  <c r="AG579" i="3"/>
  <c r="AH579" i="3"/>
  <c r="AO579" i="3"/>
  <c r="A581" i="3"/>
  <c r="AR580" i="3"/>
  <c r="B580" i="3"/>
  <c r="AQ580" i="3"/>
  <c r="C580" i="3"/>
  <c r="AK580" i="3"/>
  <c r="S580" i="3"/>
  <c r="AM580" i="3"/>
  <c r="D580" i="3"/>
  <c r="Q580" i="3"/>
  <c r="R580" i="3"/>
  <c r="AD580" i="3"/>
  <c r="T580" i="3"/>
  <c r="P580" i="3"/>
  <c r="M580" i="3"/>
  <c r="AF580" i="3"/>
  <c r="U580" i="3"/>
  <c r="V580" i="3"/>
  <c r="O580" i="3"/>
  <c r="AE580" i="3"/>
  <c r="F580" i="3"/>
  <c r="BM580" i="3" s="1"/>
  <c r="G580" i="3"/>
  <c r="H580" i="3" s="1"/>
  <c r="X579" i="3"/>
  <c r="AG580" i="3" l="1"/>
  <c r="BD576" i="3"/>
  <c r="AY578" i="3"/>
  <c r="BC577" i="3"/>
  <c r="BD577" i="3" s="1"/>
  <c r="AV578" i="3"/>
  <c r="AN580" i="3"/>
  <c r="BN580" i="3"/>
  <c r="BA578" i="3"/>
  <c r="BQ578" i="3" s="1"/>
  <c r="AU579" i="3"/>
  <c r="AX579" i="3"/>
  <c r="BB577" i="3"/>
  <c r="BF577" i="3"/>
  <c r="BJ576" i="3" s="1"/>
  <c r="BK576" i="3" s="1"/>
  <c r="AR581" i="3"/>
  <c r="A582" i="3"/>
  <c r="AQ581" i="3"/>
  <c r="B581" i="3"/>
  <c r="C581" i="3"/>
  <c r="D581" i="3"/>
  <c r="R581" i="3"/>
  <c r="Q581" i="3"/>
  <c r="AM581" i="3"/>
  <c r="AK581" i="3"/>
  <c r="S581" i="3"/>
  <c r="AD581" i="3"/>
  <c r="P581" i="3"/>
  <c r="M581" i="3"/>
  <c r="AE581" i="3"/>
  <c r="O581" i="3"/>
  <c r="AF581" i="3"/>
  <c r="U581" i="3"/>
  <c r="V581" i="3"/>
  <c r="G581" i="3"/>
  <c r="H581" i="3" s="1"/>
  <c r="F581" i="3"/>
  <c r="BM581" i="3" s="1"/>
  <c r="T581" i="3"/>
  <c r="Y580" i="3"/>
  <c r="Z580" i="3" s="1"/>
  <c r="X580" i="3"/>
  <c r="AT579" i="3"/>
  <c r="AW579" i="3"/>
  <c r="AH580" i="3"/>
  <c r="AO580" i="3"/>
  <c r="BC578" i="3" l="1"/>
  <c r="BD578" i="3" s="1"/>
  <c r="BN581" i="3"/>
  <c r="BG577" i="3"/>
  <c r="BH577" i="3" s="1"/>
  <c r="BI577" i="3" s="1"/>
  <c r="BF578" i="3"/>
  <c r="BJ577" i="3" s="1"/>
  <c r="BK577" i="3" s="1"/>
  <c r="BB578" i="3"/>
  <c r="AY579" i="3"/>
  <c r="AX580" i="3"/>
  <c r="AN581" i="3"/>
  <c r="AV579" i="3"/>
  <c r="BA579" i="3"/>
  <c r="AR582" i="3"/>
  <c r="AQ582" i="3"/>
  <c r="B582" i="3"/>
  <c r="A583" i="3"/>
  <c r="C582" i="3"/>
  <c r="D582" i="3"/>
  <c r="AM582" i="3"/>
  <c r="T582" i="3"/>
  <c r="AK582" i="3"/>
  <c r="S582" i="3"/>
  <c r="R582" i="3"/>
  <c r="Q582" i="3"/>
  <c r="AD582" i="3"/>
  <c r="P582" i="3"/>
  <c r="AE582" i="3"/>
  <c r="M582" i="3"/>
  <c r="O582" i="3"/>
  <c r="AF582" i="3"/>
  <c r="U582" i="3"/>
  <c r="V582" i="3"/>
  <c r="G582" i="3"/>
  <c r="H582" i="3" s="1"/>
  <c r="F582" i="3"/>
  <c r="AW580" i="3"/>
  <c r="Y581" i="3"/>
  <c r="Z581" i="3" s="1"/>
  <c r="AH581" i="3"/>
  <c r="AO581" i="3"/>
  <c r="AT580" i="3"/>
  <c r="AU580" i="3"/>
  <c r="AG581" i="3"/>
  <c r="X581" i="3"/>
  <c r="AY580" i="3" l="1"/>
  <c r="BG578" i="3"/>
  <c r="BH578" i="3" s="1"/>
  <c r="BI578" i="3" s="1"/>
  <c r="AO582" i="3"/>
  <c r="BN582" i="3"/>
  <c r="BM582" i="3"/>
  <c r="BC579" i="3"/>
  <c r="BG579" i="3" s="1"/>
  <c r="BH579" i="3" s="1"/>
  <c r="BI579" i="3" s="1"/>
  <c r="AW581" i="3"/>
  <c r="AX581" i="3"/>
  <c r="AG582" i="3"/>
  <c r="AH582" i="3"/>
  <c r="AN582" i="3"/>
  <c r="X582" i="3"/>
  <c r="AV580" i="3"/>
  <c r="BA580" i="3"/>
  <c r="Y582" i="3"/>
  <c r="Z582" i="3" s="1"/>
  <c r="A584" i="3"/>
  <c r="AQ583" i="3"/>
  <c r="AR583" i="3"/>
  <c r="B583" i="3"/>
  <c r="C583" i="3"/>
  <c r="D583" i="3"/>
  <c r="AK583" i="3"/>
  <c r="AM583" i="3"/>
  <c r="S583" i="3"/>
  <c r="R583" i="3"/>
  <c r="P583" i="3"/>
  <c r="Q583" i="3"/>
  <c r="AD583" i="3"/>
  <c r="O583" i="3"/>
  <c r="V583" i="3"/>
  <c r="AF583" i="3"/>
  <c r="AE583" i="3"/>
  <c r="M583" i="3"/>
  <c r="U583" i="3"/>
  <c r="G583" i="3"/>
  <c r="H583" i="3" s="1"/>
  <c r="F583" i="3"/>
  <c r="T583" i="3"/>
  <c r="BQ579" i="3"/>
  <c r="BF579" i="3"/>
  <c r="BJ578" i="3" s="1"/>
  <c r="BK578" i="3" s="1"/>
  <c r="BB579" i="3"/>
  <c r="AU581" i="3"/>
  <c r="AT581" i="3"/>
  <c r="BC580" i="3" l="1"/>
  <c r="BD580" i="3" s="1"/>
  <c r="BM583" i="3"/>
  <c r="BN583" i="3"/>
  <c r="BD579" i="3"/>
  <c r="AO583" i="3"/>
  <c r="AG583" i="3"/>
  <c r="AT582" i="3"/>
  <c r="AY581" i="3"/>
  <c r="AU582" i="3"/>
  <c r="Y583" i="3"/>
  <c r="Z583" i="3" s="1"/>
  <c r="AX582" i="3"/>
  <c r="BQ580" i="3"/>
  <c r="BB580" i="3"/>
  <c r="BF580" i="3"/>
  <c r="BJ579" i="3" s="1"/>
  <c r="BK579" i="3" s="1"/>
  <c r="AN583" i="3"/>
  <c r="AW582" i="3"/>
  <c r="AV581" i="3"/>
  <c r="BA581" i="3"/>
  <c r="A585" i="3"/>
  <c r="AR584" i="3"/>
  <c r="B584" i="3"/>
  <c r="AQ584" i="3"/>
  <c r="D584" i="3"/>
  <c r="AM584" i="3"/>
  <c r="AK584" i="3"/>
  <c r="R584" i="3"/>
  <c r="C584" i="3"/>
  <c r="S584" i="3"/>
  <c r="Q584" i="3"/>
  <c r="AD584" i="3"/>
  <c r="P584" i="3"/>
  <c r="O584" i="3"/>
  <c r="AE584" i="3"/>
  <c r="AF584" i="3"/>
  <c r="U584" i="3"/>
  <c r="V584" i="3"/>
  <c r="M584" i="3"/>
  <c r="F584" i="3"/>
  <c r="G584" i="3"/>
  <c r="H584" i="3" s="1"/>
  <c r="BN584" i="3" s="1"/>
  <c r="T584" i="3"/>
  <c r="AH583" i="3"/>
  <c r="X583" i="3"/>
  <c r="BG580" i="3" l="1"/>
  <c r="BH580" i="3" s="1"/>
  <c r="BI580" i="3" s="1"/>
  <c r="BC581" i="3"/>
  <c r="BG581" i="3" s="1"/>
  <c r="BH581" i="3" s="1"/>
  <c r="BI581" i="3" s="1"/>
  <c r="AV582" i="3"/>
  <c r="AY582" i="3"/>
  <c r="BM584" i="3"/>
  <c r="AX583" i="3"/>
  <c r="AN584" i="3"/>
  <c r="Y584" i="3"/>
  <c r="Z584" i="3" s="1"/>
  <c r="BB581" i="3"/>
  <c r="BF581" i="3"/>
  <c r="BJ580" i="3" s="1"/>
  <c r="BK580" i="3" s="1"/>
  <c r="BQ581" i="3"/>
  <c r="AT583" i="3"/>
  <c r="AH584" i="3"/>
  <c r="BA582" i="3"/>
  <c r="AR585" i="3"/>
  <c r="A586" i="3"/>
  <c r="AQ585" i="3"/>
  <c r="B585" i="3"/>
  <c r="D585" i="3"/>
  <c r="S585" i="3"/>
  <c r="C585" i="3"/>
  <c r="AM585" i="3"/>
  <c r="AK585" i="3"/>
  <c r="R585" i="3"/>
  <c r="Q585" i="3"/>
  <c r="AD585" i="3"/>
  <c r="P585" i="3"/>
  <c r="O585" i="3"/>
  <c r="AE585" i="3"/>
  <c r="M585" i="3"/>
  <c r="AF585" i="3"/>
  <c r="U585" i="3"/>
  <c r="V585" i="3"/>
  <c r="F585" i="3"/>
  <c r="G585" i="3"/>
  <c r="H585" i="3" s="1"/>
  <c r="BN585" i="3" s="1"/>
  <c r="T585" i="3"/>
  <c r="AW583" i="3"/>
  <c r="AG584" i="3"/>
  <c r="X584" i="3"/>
  <c r="AO584" i="3"/>
  <c r="AU583" i="3"/>
  <c r="BD581" i="3" l="1"/>
  <c r="BC582" i="3"/>
  <c r="BG582" i="3" s="1"/>
  <c r="BH582" i="3" s="1"/>
  <c r="BI582" i="3" s="1"/>
  <c r="AY583" i="3"/>
  <c r="BM585" i="3"/>
  <c r="AO585" i="3"/>
  <c r="AH585" i="3"/>
  <c r="AT584" i="3"/>
  <c r="AG585" i="3"/>
  <c r="X585" i="3"/>
  <c r="AX584" i="3"/>
  <c r="AR586" i="3"/>
  <c r="AQ586" i="3"/>
  <c r="B586" i="3"/>
  <c r="A587" i="3"/>
  <c r="D586" i="3"/>
  <c r="AK586" i="3"/>
  <c r="AM586" i="3"/>
  <c r="R586" i="3"/>
  <c r="C586" i="3"/>
  <c r="Q586" i="3"/>
  <c r="S586" i="3"/>
  <c r="AD586" i="3"/>
  <c r="P586" i="3"/>
  <c r="AE586" i="3"/>
  <c r="O586" i="3"/>
  <c r="M586" i="3"/>
  <c r="V586" i="3"/>
  <c r="AF586" i="3"/>
  <c r="U586" i="3"/>
  <c r="G586" i="3"/>
  <c r="H586" i="3" s="1"/>
  <c r="F586" i="3"/>
  <c r="BM586" i="3" s="1"/>
  <c r="T586" i="3"/>
  <c r="BB582" i="3"/>
  <c r="BQ582" i="3"/>
  <c r="BF582" i="3"/>
  <c r="BJ581" i="3" s="1"/>
  <c r="BK581" i="3" s="1"/>
  <c r="AV583" i="3"/>
  <c r="BA583" i="3"/>
  <c r="AW584" i="3"/>
  <c r="Y585" i="3"/>
  <c r="Z585" i="3" s="1"/>
  <c r="AN585" i="3"/>
  <c r="AU584" i="3"/>
  <c r="BD582" i="3" l="1"/>
  <c r="AT585" i="3"/>
  <c r="BC583" i="3"/>
  <c r="BD583" i="3" s="1"/>
  <c r="AU585" i="3"/>
  <c r="AH586" i="3"/>
  <c r="AV584" i="3"/>
  <c r="AN586" i="3"/>
  <c r="AX585" i="3"/>
  <c r="BA584" i="3"/>
  <c r="BQ584" i="3" s="1"/>
  <c r="BQ583" i="3"/>
  <c r="BF583" i="3"/>
  <c r="BJ582" i="3" s="1"/>
  <c r="BK582" i="3" s="1"/>
  <c r="BB583" i="3"/>
  <c r="A588" i="3"/>
  <c r="AQ587" i="3"/>
  <c r="AR587" i="3"/>
  <c r="B587" i="3"/>
  <c r="C587" i="3"/>
  <c r="D587" i="3"/>
  <c r="AK587" i="3"/>
  <c r="AM587" i="3"/>
  <c r="T587" i="3"/>
  <c r="R587" i="3"/>
  <c r="S587" i="3"/>
  <c r="Q587" i="3"/>
  <c r="AD587" i="3"/>
  <c r="O587" i="3"/>
  <c r="AF587" i="3"/>
  <c r="M587" i="3"/>
  <c r="U587" i="3"/>
  <c r="V587" i="3"/>
  <c r="P587" i="3"/>
  <c r="AE587" i="3"/>
  <c r="G587" i="3"/>
  <c r="H587" i="3" s="1"/>
  <c r="F587" i="3"/>
  <c r="X586" i="3"/>
  <c r="Y586" i="3"/>
  <c r="Z586" i="3" s="1"/>
  <c r="BN586" i="3"/>
  <c r="AG586" i="3"/>
  <c r="AO586" i="3"/>
  <c r="AY584" i="3"/>
  <c r="AW585" i="3"/>
  <c r="AV585" i="3" l="1"/>
  <c r="AY585" i="3"/>
  <c r="BG583" i="3"/>
  <c r="BH583" i="3" s="1"/>
  <c r="BI583" i="3" s="1"/>
  <c r="AW586" i="3"/>
  <c r="AN587" i="3"/>
  <c r="BC584" i="3"/>
  <c r="BD584" i="3" s="1"/>
  <c r="BM587" i="3"/>
  <c r="AU586" i="3"/>
  <c r="AG587" i="3"/>
  <c r="BF584" i="3"/>
  <c r="BJ583" i="3" s="1"/>
  <c r="BK583" i="3" s="1"/>
  <c r="BB584" i="3"/>
  <c r="Y587" i="3"/>
  <c r="Z587" i="3" s="1"/>
  <c r="A589" i="3"/>
  <c r="AR588" i="3"/>
  <c r="B588" i="3"/>
  <c r="AQ588" i="3"/>
  <c r="C588" i="3"/>
  <c r="D588" i="3"/>
  <c r="S588" i="3"/>
  <c r="AM588" i="3"/>
  <c r="AK588" i="3"/>
  <c r="Q588" i="3"/>
  <c r="P588" i="3"/>
  <c r="R588" i="3"/>
  <c r="AD588" i="3"/>
  <c r="O588" i="3"/>
  <c r="AE588" i="3"/>
  <c r="M588" i="3"/>
  <c r="U588" i="3"/>
  <c r="AF588" i="3"/>
  <c r="V588" i="3"/>
  <c r="G588" i="3"/>
  <c r="H588" i="3" s="1"/>
  <c r="F588" i="3"/>
  <c r="T588" i="3"/>
  <c r="BA585" i="3"/>
  <c r="AX586" i="3"/>
  <c r="AT586" i="3"/>
  <c r="BN587" i="3"/>
  <c r="AH587" i="3"/>
  <c r="AO587" i="3"/>
  <c r="X587" i="3"/>
  <c r="BM588" i="3" l="1"/>
  <c r="BN588" i="3"/>
  <c r="BC585" i="3"/>
  <c r="BD585" i="3" s="1"/>
  <c r="BG584" i="3"/>
  <c r="BH584" i="3" s="1"/>
  <c r="BI584" i="3" s="1"/>
  <c r="AY586" i="3"/>
  <c r="AN588" i="3"/>
  <c r="AX587" i="3"/>
  <c r="BB585" i="3"/>
  <c r="BF585" i="3"/>
  <c r="BJ584" i="3" s="1"/>
  <c r="BK584" i="3" s="1"/>
  <c r="BQ585" i="3"/>
  <c r="AR589" i="3"/>
  <c r="A590" i="3"/>
  <c r="AQ589" i="3"/>
  <c r="B589" i="3"/>
  <c r="C589" i="3"/>
  <c r="AM589" i="3"/>
  <c r="AK589" i="3"/>
  <c r="S589" i="3"/>
  <c r="Q589" i="3"/>
  <c r="D589" i="3"/>
  <c r="T589" i="3"/>
  <c r="R589" i="3"/>
  <c r="AD589" i="3"/>
  <c r="P589" i="3"/>
  <c r="O589" i="3"/>
  <c r="AE589" i="3"/>
  <c r="AF589" i="3"/>
  <c r="V589" i="3"/>
  <c r="M589" i="3"/>
  <c r="U589" i="3"/>
  <c r="G589" i="3"/>
  <c r="H589" i="3" s="1"/>
  <c r="F589" i="3"/>
  <c r="AW587" i="3"/>
  <c r="Y588" i="3"/>
  <c r="Z588" i="3" s="1"/>
  <c r="AT587" i="3"/>
  <c r="AU587" i="3"/>
  <c r="AG588" i="3"/>
  <c r="AH588" i="3"/>
  <c r="AO588" i="3"/>
  <c r="X588" i="3"/>
  <c r="AV586" i="3"/>
  <c r="BA586" i="3"/>
  <c r="AY587" i="3" l="1"/>
  <c r="BG585" i="3"/>
  <c r="BH585" i="3" s="1"/>
  <c r="BI585" i="3" s="1"/>
  <c r="BM589" i="3"/>
  <c r="BC586" i="3"/>
  <c r="BD586" i="3" s="1"/>
  <c r="AN589" i="3"/>
  <c r="AU588" i="3"/>
  <c r="AX588" i="3"/>
  <c r="AG589" i="3"/>
  <c r="AV587" i="3"/>
  <c r="BA587" i="3"/>
  <c r="AT588" i="3"/>
  <c r="AW588" i="3"/>
  <c r="BN589" i="3"/>
  <c r="AH589" i="3"/>
  <c r="AO589" i="3"/>
  <c r="X589" i="3"/>
  <c r="BQ586" i="3"/>
  <c r="BF586" i="3"/>
  <c r="BJ585" i="3" s="1"/>
  <c r="BK585" i="3" s="1"/>
  <c r="BB586" i="3"/>
  <c r="Y589" i="3"/>
  <c r="Z589" i="3" s="1"/>
  <c r="AR590" i="3"/>
  <c r="AQ590" i="3"/>
  <c r="B590" i="3"/>
  <c r="A591" i="3"/>
  <c r="D590" i="3"/>
  <c r="C590" i="3"/>
  <c r="AK590" i="3"/>
  <c r="AM590" i="3"/>
  <c r="S590" i="3"/>
  <c r="R590" i="3"/>
  <c r="Q590" i="3"/>
  <c r="T590" i="3"/>
  <c r="AD590" i="3"/>
  <c r="P590" i="3"/>
  <c r="O590" i="3"/>
  <c r="M590" i="3"/>
  <c r="V590" i="3"/>
  <c r="AE590" i="3"/>
  <c r="AF590" i="3"/>
  <c r="U590" i="3"/>
  <c r="F590" i="3"/>
  <c r="G590" i="3"/>
  <c r="H590" i="3" s="1"/>
  <c r="BC587" i="3" l="1"/>
  <c r="BG587" i="3" s="1"/>
  <c r="BH587" i="3" s="1"/>
  <c r="BI587" i="3" s="1"/>
  <c r="BG586" i="3"/>
  <c r="BH586" i="3" s="1"/>
  <c r="BI586" i="3" s="1"/>
  <c r="AN590" i="3"/>
  <c r="BN590" i="3"/>
  <c r="AU589" i="3"/>
  <c r="AW589" i="3"/>
  <c r="AY588" i="3"/>
  <c r="AT589" i="3"/>
  <c r="AG590" i="3"/>
  <c r="A592" i="3"/>
  <c r="AQ591" i="3"/>
  <c r="AR591" i="3"/>
  <c r="B591" i="3"/>
  <c r="C591" i="3"/>
  <c r="T591" i="3"/>
  <c r="D591" i="3"/>
  <c r="AM591" i="3"/>
  <c r="AK591" i="3"/>
  <c r="S591" i="3"/>
  <c r="R591" i="3"/>
  <c r="Q591" i="3"/>
  <c r="AD591" i="3"/>
  <c r="AE591" i="3"/>
  <c r="P591" i="3"/>
  <c r="O591" i="3"/>
  <c r="AF591" i="3"/>
  <c r="V591" i="3"/>
  <c r="U591" i="3"/>
  <c r="M591" i="3"/>
  <c r="F591" i="3"/>
  <c r="BM591" i="3" s="1"/>
  <c r="G591" i="3"/>
  <c r="H591" i="3" s="1"/>
  <c r="Y590" i="3"/>
  <c r="Z590" i="3" s="1"/>
  <c r="AV588" i="3"/>
  <c r="BA588" i="3"/>
  <c r="X590" i="3"/>
  <c r="BM590" i="3"/>
  <c r="AH590" i="3"/>
  <c r="AO590" i="3"/>
  <c r="AX589" i="3"/>
  <c r="BB587" i="3"/>
  <c r="BQ587" i="3"/>
  <c r="BF587" i="3"/>
  <c r="BJ586" i="3" s="1"/>
  <c r="BK586" i="3" s="1"/>
  <c r="BD587" i="3" l="1"/>
  <c r="BC588" i="3"/>
  <c r="BD588" i="3" s="1"/>
  <c r="AU590" i="3"/>
  <c r="AV589" i="3"/>
  <c r="BN591" i="3"/>
  <c r="AY589" i="3"/>
  <c r="AW590" i="3"/>
  <c r="AT590" i="3"/>
  <c r="AH591" i="3"/>
  <c r="AO591" i="3"/>
  <c r="BF588" i="3"/>
  <c r="BJ587" i="3" s="1"/>
  <c r="BK587" i="3" s="1"/>
  <c r="BB588" i="3"/>
  <c r="BQ588" i="3"/>
  <c r="AX590" i="3"/>
  <c r="BA589" i="3"/>
  <c r="AG591" i="3"/>
  <c r="AN591" i="3"/>
  <c r="Y591" i="3"/>
  <c r="Z591" i="3" s="1"/>
  <c r="A593" i="3"/>
  <c r="AR592" i="3"/>
  <c r="B592" i="3"/>
  <c r="AQ592" i="3"/>
  <c r="D592" i="3"/>
  <c r="C592" i="3"/>
  <c r="AK592" i="3"/>
  <c r="T592" i="3"/>
  <c r="S592" i="3"/>
  <c r="AM592" i="3"/>
  <c r="Q592" i="3"/>
  <c r="R592" i="3"/>
  <c r="AD592" i="3"/>
  <c r="O592" i="3"/>
  <c r="M592" i="3"/>
  <c r="AE592" i="3"/>
  <c r="AF592" i="3"/>
  <c r="U592" i="3"/>
  <c r="P592" i="3"/>
  <c r="V592" i="3"/>
  <c r="G592" i="3"/>
  <c r="H592" i="3" s="1"/>
  <c r="BN592" i="3" s="1"/>
  <c r="F592" i="3"/>
  <c r="X591" i="3"/>
  <c r="BM592" i="3" l="1"/>
  <c r="BG588" i="3"/>
  <c r="BH588" i="3" s="1"/>
  <c r="BI588" i="3" s="1"/>
  <c r="AV590" i="3"/>
  <c r="BC589" i="3"/>
  <c r="BD589" i="3" s="1"/>
  <c r="AU591" i="3"/>
  <c r="BA590" i="3"/>
  <c r="BF590" i="3" s="1"/>
  <c r="AX591" i="3"/>
  <c r="AT591" i="3"/>
  <c r="AO592" i="3"/>
  <c r="AY590" i="3"/>
  <c r="AG592" i="3"/>
  <c r="AN592" i="3"/>
  <c r="X592" i="3"/>
  <c r="AW591" i="3"/>
  <c r="Y592" i="3"/>
  <c r="Z592" i="3" s="1"/>
  <c r="AR593" i="3"/>
  <c r="A594" i="3"/>
  <c r="AQ593" i="3"/>
  <c r="B593" i="3"/>
  <c r="D593" i="3"/>
  <c r="AK593" i="3"/>
  <c r="R593" i="3"/>
  <c r="AM593" i="3"/>
  <c r="C593" i="3"/>
  <c r="Q593" i="3"/>
  <c r="P593" i="3"/>
  <c r="S593" i="3"/>
  <c r="AD593" i="3"/>
  <c r="O593" i="3"/>
  <c r="AF593" i="3"/>
  <c r="V593" i="3"/>
  <c r="AE593" i="3"/>
  <c r="M593" i="3"/>
  <c r="U593" i="3"/>
  <c r="F593" i="3"/>
  <c r="G593" i="3"/>
  <c r="H593" i="3" s="1"/>
  <c r="T593" i="3"/>
  <c r="BQ589" i="3"/>
  <c r="BF589" i="3"/>
  <c r="BJ588" i="3" s="1"/>
  <c r="BK588" i="3" s="1"/>
  <c r="BB589" i="3"/>
  <c r="AH592" i="3"/>
  <c r="BC590" i="3" l="1"/>
  <c r="BD590" i="3" s="1"/>
  <c r="AN593" i="3"/>
  <c r="BN593" i="3"/>
  <c r="BG589" i="3"/>
  <c r="BH589" i="3" s="1"/>
  <c r="BI589" i="3" s="1"/>
  <c r="AG593" i="3"/>
  <c r="BB590" i="3"/>
  <c r="AV591" i="3"/>
  <c r="BJ589" i="3"/>
  <c r="BK589" i="3" s="1"/>
  <c r="BQ590" i="3"/>
  <c r="AY591" i="3"/>
  <c r="AX592" i="3"/>
  <c r="AR594" i="3"/>
  <c r="AQ594" i="3"/>
  <c r="B594" i="3"/>
  <c r="A595" i="3"/>
  <c r="C594" i="3"/>
  <c r="D594" i="3"/>
  <c r="AK594" i="3"/>
  <c r="AM594" i="3"/>
  <c r="S594" i="3"/>
  <c r="AD594" i="3"/>
  <c r="T594" i="3"/>
  <c r="P594" i="3"/>
  <c r="AE594" i="3"/>
  <c r="M594" i="3"/>
  <c r="V594" i="3"/>
  <c r="O594" i="3"/>
  <c r="AF594" i="3"/>
  <c r="U594" i="3"/>
  <c r="R594" i="3"/>
  <c r="Q594" i="3"/>
  <c r="G594" i="3"/>
  <c r="H594" i="3" s="1"/>
  <c r="F594" i="3"/>
  <c r="AH593" i="3"/>
  <c r="Y593" i="3"/>
  <c r="Z593" i="3" s="1"/>
  <c r="BM593" i="3"/>
  <c r="AO593" i="3"/>
  <c r="AT592" i="3"/>
  <c r="AW592" i="3"/>
  <c r="X593" i="3"/>
  <c r="AU592" i="3"/>
  <c r="BA591" i="3"/>
  <c r="BG590" i="3" l="1"/>
  <c r="BH590" i="3" s="1"/>
  <c r="BI590" i="3" s="1"/>
  <c r="AU593" i="3"/>
  <c r="BM594" i="3"/>
  <c r="AV592" i="3"/>
  <c r="BC591" i="3"/>
  <c r="BG591" i="3" s="1"/>
  <c r="BH591" i="3" s="1"/>
  <c r="BI591" i="3" s="1"/>
  <c r="AW593" i="3"/>
  <c r="AN594" i="3"/>
  <c r="BA592" i="3"/>
  <c r="AY592" i="3"/>
  <c r="BB591" i="3"/>
  <c r="BF591" i="3"/>
  <c r="BJ590" i="3" s="1"/>
  <c r="BK590" i="3" s="1"/>
  <c r="BQ591" i="3"/>
  <c r="AT593" i="3"/>
  <c r="AX593" i="3"/>
  <c r="BN594" i="3"/>
  <c r="AH594" i="3"/>
  <c r="AG594" i="3"/>
  <c r="AO594" i="3"/>
  <c r="X594" i="3"/>
  <c r="Y594" i="3"/>
  <c r="Z594" i="3" s="1"/>
  <c r="A596" i="3"/>
  <c r="AQ595" i="3"/>
  <c r="AR595" i="3"/>
  <c r="B595" i="3"/>
  <c r="D595" i="3"/>
  <c r="AM595" i="3"/>
  <c r="C595" i="3"/>
  <c r="AK595" i="3"/>
  <c r="S595" i="3"/>
  <c r="Q595" i="3"/>
  <c r="R595" i="3"/>
  <c r="P595" i="3"/>
  <c r="AD595" i="3"/>
  <c r="M595" i="3"/>
  <c r="AE595" i="3"/>
  <c r="U595" i="3"/>
  <c r="O595" i="3"/>
  <c r="AF595" i="3"/>
  <c r="V595" i="3"/>
  <c r="G595" i="3"/>
  <c r="H595" i="3" s="1"/>
  <c r="F595" i="3"/>
  <c r="T595" i="3"/>
  <c r="BD591" i="3" l="1"/>
  <c r="BM595" i="3"/>
  <c r="BC592" i="3"/>
  <c r="BG592" i="3" s="1"/>
  <c r="BH592" i="3" s="1"/>
  <c r="BI592" i="3" s="1"/>
  <c r="BN595" i="3"/>
  <c r="AY593" i="3"/>
  <c r="AO595" i="3"/>
  <c r="AT594" i="3"/>
  <c r="AU594" i="3"/>
  <c r="A597" i="3"/>
  <c r="AR596" i="3"/>
  <c r="B596" i="3"/>
  <c r="AQ596" i="3"/>
  <c r="D596" i="3"/>
  <c r="C596" i="3"/>
  <c r="S596" i="3"/>
  <c r="AK596" i="3"/>
  <c r="AM596" i="3"/>
  <c r="Q596" i="3"/>
  <c r="AD596" i="3"/>
  <c r="P596" i="3"/>
  <c r="R596" i="3"/>
  <c r="O596" i="3"/>
  <c r="M596" i="3"/>
  <c r="U596" i="3"/>
  <c r="AE596" i="3"/>
  <c r="AF596" i="3"/>
  <c r="V596" i="3"/>
  <c r="G596" i="3"/>
  <c r="H596" i="3" s="1"/>
  <c r="F596" i="3"/>
  <c r="T596" i="3"/>
  <c r="AV593" i="3"/>
  <c r="BA593" i="3"/>
  <c r="AN595" i="3"/>
  <c r="AG595" i="3"/>
  <c r="AH595" i="3"/>
  <c r="X595" i="3"/>
  <c r="AW594" i="3"/>
  <c r="BQ592" i="3"/>
  <c r="BB592" i="3"/>
  <c r="BF592" i="3"/>
  <c r="BJ591" i="3" s="1"/>
  <c r="BK591" i="3" s="1"/>
  <c r="Y595" i="3"/>
  <c r="Z595" i="3" s="1"/>
  <c r="AX594" i="3"/>
  <c r="BD592" i="3" l="1"/>
  <c r="BC593" i="3"/>
  <c r="BG593" i="3" s="1"/>
  <c r="BH593" i="3" s="1"/>
  <c r="BI593" i="3" s="1"/>
  <c r="BM596" i="3"/>
  <c r="AG596" i="3"/>
  <c r="AV594" i="3"/>
  <c r="AU595" i="3"/>
  <c r="AX595" i="3"/>
  <c r="AN596" i="3"/>
  <c r="AY594" i="3"/>
  <c r="BB593" i="3"/>
  <c r="BF593" i="3"/>
  <c r="BJ592" i="3" s="1"/>
  <c r="BK592" i="3" s="1"/>
  <c r="BQ593" i="3"/>
  <c r="AW595" i="3"/>
  <c r="BA594" i="3"/>
  <c r="AT595" i="3"/>
  <c r="Y596" i="3"/>
  <c r="Z596" i="3" s="1"/>
  <c r="BN596" i="3"/>
  <c r="AH596" i="3"/>
  <c r="AO596" i="3"/>
  <c r="X596" i="3"/>
  <c r="AR597" i="3"/>
  <c r="A598" i="3"/>
  <c r="AQ597" i="3"/>
  <c r="B597" i="3"/>
  <c r="C597" i="3"/>
  <c r="AK597" i="3"/>
  <c r="AM597" i="3"/>
  <c r="T597" i="3"/>
  <c r="D597" i="3"/>
  <c r="R597" i="3"/>
  <c r="S597" i="3"/>
  <c r="AD597" i="3"/>
  <c r="O597" i="3"/>
  <c r="AE597" i="3"/>
  <c r="M597" i="3"/>
  <c r="AF597" i="3"/>
  <c r="V597" i="3"/>
  <c r="U597" i="3"/>
  <c r="P597" i="3"/>
  <c r="Q597" i="3"/>
  <c r="G597" i="3"/>
  <c r="H597" i="3" s="1"/>
  <c r="F597" i="3"/>
  <c r="BN597" i="3" l="1"/>
  <c r="BD593" i="3"/>
  <c r="BC594" i="3"/>
  <c r="BD594" i="3" s="1"/>
  <c r="AY595" i="3"/>
  <c r="BM597" i="3"/>
  <c r="AV595" i="3"/>
  <c r="AO597" i="3"/>
  <c r="AX596" i="3"/>
  <c r="AT596" i="3"/>
  <c r="BA595" i="3"/>
  <c r="BF595" i="3" s="1"/>
  <c r="Y597" i="3"/>
  <c r="Z597" i="3" s="1"/>
  <c r="AN597" i="3"/>
  <c r="X597" i="3"/>
  <c r="AU596" i="3"/>
  <c r="AR598" i="3"/>
  <c r="AQ598" i="3"/>
  <c r="B598" i="3"/>
  <c r="A599" i="3"/>
  <c r="C598" i="3"/>
  <c r="S598" i="3"/>
  <c r="Q598" i="3"/>
  <c r="D598" i="3"/>
  <c r="AM598" i="3"/>
  <c r="AK598" i="3"/>
  <c r="R598" i="3"/>
  <c r="AD598" i="3"/>
  <c r="P598" i="3"/>
  <c r="O598" i="3"/>
  <c r="M598" i="3"/>
  <c r="AE598" i="3"/>
  <c r="AF598" i="3"/>
  <c r="U598" i="3"/>
  <c r="V598" i="3"/>
  <c r="F598" i="3"/>
  <c r="G598" i="3"/>
  <c r="H598" i="3" s="1"/>
  <c r="T598" i="3"/>
  <c r="BQ594" i="3"/>
  <c r="BF594" i="3"/>
  <c r="BJ593" i="3" s="1"/>
  <c r="BK593" i="3" s="1"/>
  <c r="BB594" i="3"/>
  <c r="AG597" i="3"/>
  <c r="AH597" i="3"/>
  <c r="AW596" i="3"/>
  <c r="BG594" i="3" l="1"/>
  <c r="BH594" i="3" s="1"/>
  <c r="BI594" i="3" s="1"/>
  <c r="BC595" i="3"/>
  <c r="BD595" i="3" s="1"/>
  <c r="BN598" i="3"/>
  <c r="AV596" i="3"/>
  <c r="AN598" i="3"/>
  <c r="AX597" i="3"/>
  <c r="BB595" i="3"/>
  <c r="BQ595" i="3"/>
  <c r="A600" i="3"/>
  <c r="AQ599" i="3"/>
  <c r="AR599" i="3"/>
  <c r="B599" i="3"/>
  <c r="C599" i="3"/>
  <c r="D599" i="3"/>
  <c r="AM599" i="3"/>
  <c r="AK599" i="3"/>
  <c r="T599" i="3"/>
  <c r="S599" i="3"/>
  <c r="Q599" i="3"/>
  <c r="AD599" i="3"/>
  <c r="R599" i="3"/>
  <c r="P599" i="3"/>
  <c r="M599" i="3"/>
  <c r="AF599" i="3"/>
  <c r="AE599" i="3"/>
  <c r="U599" i="3"/>
  <c r="O599" i="3"/>
  <c r="V599" i="3"/>
  <c r="G599" i="3"/>
  <c r="H599" i="3" s="1"/>
  <c r="F599" i="3"/>
  <c r="AW597" i="3"/>
  <c r="Y598" i="3"/>
  <c r="Z598" i="3" s="1"/>
  <c r="BM598" i="3"/>
  <c r="AG598" i="3"/>
  <c r="AH598" i="3"/>
  <c r="AO598" i="3"/>
  <c r="AT597" i="3"/>
  <c r="BJ594" i="3"/>
  <c r="BK594" i="3" s="1"/>
  <c r="BA596" i="3"/>
  <c r="AY596" i="3"/>
  <c r="X598" i="3"/>
  <c r="AU597" i="3"/>
  <c r="BG595" i="3" l="1"/>
  <c r="BH595" i="3" s="1"/>
  <c r="BI595" i="3" s="1"/>
  <c r="BC596" i="3"/>
  <c r="BG596" i="3" s="1"/>
  <c r="BH596" i="3" s="1"/>
  <c r="BI596" i="3" s="1"/>
  <c r="BM599" i="3"/>
  <c r="AV597" i="3"/>
  <c r="AT598" i="3"/>
  <c r="AU598" i="3"/>
  <c r="AO599" i="3"/>
  <c r="BF596" i="3"/>
  <c r="BJ595" i="3" s="1"/>
  <c r="BK595" i="3" s="1"/>
  <c r="BQ596" i="3"/>
  <c r="BB596" i="3"/>
  <c r="BA597" i="3"/>
  <c r="AY597" i="3"/>
  <c r="A601" i="3"/>
  <c r="AR600" i="3"/>
  <c r="B600" i="3"/>
  <c r="AQ600" i="3"/>
  <c r="D600" i="3"/>
  <c r="C600" i="3"/>
  <c r="S600" i="3"/>
  <c r="AK600" i="3"/>
  <c r="AM600" i="3"/>
  <c r="T600" i="3"/>
  <c r="R600" i="3"/>
  <c r="P600" i="3"/>
  <c r="AD600" i="3"/>
  <c r="O600" i="3"/>
  <c r="M600" i="3"/>
  <c r="U600" i="3"/>
  <c r="AE600" i="3"/>
  <c r="AF600" i="3"/>
  <c r="V600" i="3"/>
  <c r="Q600" i="3"/>
  <c r="G600" i="3"/>
  <c r="H600" i="3" s="1"/>
  <c r="F600" i="3"/>
  <c r="BM600" i="3" s="1"/>
  <c r="AX598" i="3"/>
  <c r="BN599" i="3"/>
  <c r="AG599" i="3"/>
  <c r="AN599" i="3"/>
  <c r="X599" i="3"/>
  <c r="Y599" i="3"/>
  <c r="Z599" i="3" s="1"/>
  <c r="AW598" i="3"/>
  <c r="AH599" i="3"/>
  <c r="BN600" i="3" l="1"/>
  <c r="BC597" i="3"/>
  <c r="BD597" i="3" s="1"/>
  <c r="BD596" i="3"/>
  <c r="AY598" i="3"/>
  <c r="AG600" i="3"/>
  <c r="AV598" i="3"/>
  <c r="AN600" i="3"/>
  <c r="AU599" i="3"/>
  <c r="AX599" i="3"/>
  <c r="AT599" i="3"/>
  <c r="AW599" i="3"/>
  <c r="AH600" i="3"/>
  <c r="AO600" i="3"/>
  <c r="X600" i="3"/>
  <c r="Y600" i="3"/>
  <c r="Z600" i="3" s="1"/>
  <c r="AR601" i="3"/>
  <c r="A602" i="3"/>
  <c r="AQ601" i="3"/>
  <c r="B601" i="3"/>
  <c r="D601" i="3"/>
  <c r="AM601" i="3"/>
  <c r="T601" i="3"/>
  <c r="C601" i="3"/>
  <c r="AK601" i="3"/>
  <c r="P601" i="3"/>
  <c r="S601" i="3"/>
  <c r="Q601" i="3"/>
  <c r="AD601" i="3"/>
  <c r="O601" i="3"/>
  <c r="M601" i="3"/>
  <c r="V601" i="3"/>
  <c r="AF601" i="3"/>
  <c r="AE601" i="3"/>
  <c r="U601" i="3"/>
  <c r="R601" i="3"/>
  <c r="F601" i="3"/>
  <c r="G601" i="3"/>
  <c r="H601" i="3" s="1"/>
  <c r="BF597" i="3"/>
  <c r="BJ596" i="3" s="1"/>
  <c r="BK596" i="3" s="1"/>
  <c r="BQ597" i="3"/>
  <c r="BB597" i="3"/>
  <c r="BA598" i="3"/>
  <c r="BG597" i="3" l="1"/>
  <c r="BH597" i="3" s="1"/>
  <c r="BI597" i="3" s="1"/>
  <c r="BC598" i="3"/>
  <c r="BD598" i="3" s="1"/>
  <c r="AY599" i="3"/>
  <c r="BM601" i="3"/>
  <c r="BN601" i="3"/>
  <c r="AU600" i="3"/>
  <c r="AO601" i="3"/>
  <c r="AT600" i="3"/>
  <c r="BQ598" i="3"/>
  <c r="BF598" i="3"/>
  <c r="BB598" i="3"/>
  <c r="AR602" i="3"/>
  <c r="AQ602" i="3"/>
  <c r="B602" i="3"/>
  <c r="A603" i="3"/>
  <c r="C602" i="3"/>
  <c r="AK602" i="3"/>
  <c r="AM602" i="3"/>
  <c r="T602" i="3"/>
  <c r="S602" i="3"/>
  <c r="Q602" i="3"/>
  <c r="D602" i="3"/>
  <c r="R602" i="3"/>
  <c r="AD602" i="3"/>
  <c r="O602" i="3"/>
  <c r="M602" i="3"/>
  <c r="AF602" i="3"/>
  <c r="P602" i="3"/>
  <c r="AE602" i="3"/>
  <c r="V602" i="3"/>
  <c r="U602" i="3"/>
  <c r="G602" i="3"/>
  <c r="H602" i="3" s="1"/>
  <c r="F602" i="3"/>
  <c r="AV599" i="3"/>
  <c r="BA599" i="3"/>
  <c r="AG601" i="3"/>
  <c r="X601" i="3"/>
  <c r="AN601" i="3"/>
  <c r="AX600" i="3"/>
  <c r="AW600" i="3"/>
  <c r="Y601" i="3"/>
  <c r="Z601" i="3" s="1"/>
  <c r="AH601" i="3"/>
  <c r="BN602" i="3" l="1"/>
  <c r="AV600" i="3"/>
  <c r="BG598" i="3"/>
  <c r="BH598" i="3" s="1"/>
  <c r="BI598" i="3" s="1"/>
  <c r="BC599" i="3"/>
  <c r="BD599" i="3" s="1"/>
  <c r="AN602" i="3"/>
  <c r="AH602" i="3"/>
  <c r="AX601" i="3"/>
  <c r="BA600" i="3"/>
  <c r="BQ600" i="3" s="1"/>
  <c r="BB599" i="3"/>
  <c r="BF599" i="3"/>
  <c r="BJ598" i="3" s="1"/>
  <c r="BK598" i="3" s="1"/>
  <c r="BQ599" i="3"/>
  <c r="A604" i="3"/>
  <c r="AQ603" i="3"/>
  <c r="AR603" i="3"/>
  <c r="B603" i="3"/>
  <c r="D603" i="3"/>
  <c r="C603" i="3"/>
  <c r="S603" i="3"/>
  <c r="AM603" i="3"/>
  <c r="AK603" i="3"/>
  <c r="Q603" i="3"/>
  <c r="R603" i="3"/>
  <c r="AD603" i="3"/>
  <c r="P603" i="3"/>
  <c r="O603" i="3"/>
  <c r="M603" i="3"/>
  <c r="AF603" i="3"/>
  <c r="AE603" i="3"/>
  <c r="U603" i="3"/>
  <c r="V603" i="3"/>
  <c r="G603" i="3"/>
  <c r="H603" i="3" s="1"/>
  <c r="F603" i="3"/>
  <c r="T603" i="3"/>
  <c r="AT601" i="3"/>
  <c r="AY600" i="3"/>
  <c r="BM602" i="3"/>
  <c r="AG602" i="3"/>
  <c r="AO602" i="3"/>
  <c r="AU601" i="3"/>
  <c r="AW601" i="3"/>
  <c r="Y602" i="3"/>
  <c r="Z602" i="3" s="1"/>
  <c r="BJ597" i="3"/>
  <c r="BK597" i="3" s="1"/>
  <c r="X602" i="3"/>
  <c r="BC600" i="3" l="1"/>
  <c r="BG600" i="3" s="1"/>
  <c r="BH600" i="3" s="1"/>
  <c r="BI600" i="3" s="1"/>
  <c r="BG599" i="3"/>
  <c r="BH599" i="3" s="1"/>
  <c r="BI599" i="3" s="1"/>
  <c r="BN603" i="3"/>
  <c r="BM603" i="3"/>
  <c r="AW602" i="3"/>
  <c r="AN603" i="3"/>
  <c r="AO603" i="3"/>
  <c r="AT602" i="3"/>
  <c r="AY601" i="3"/>
  <c r="AU602" i="3"/>
  <c r="AG603" i="3"/>
  <c r="BB600" i="3"/>
  <c r="Y603" i="3"/>
  <c r="Z603" i="3" s="1"/>
  <c r="BF600" i="3"/>
  <c r="BJ599" i="3" s="1"/>
  <c r="BK599" i="3" s="1"/>
  <c r="A605" i="3"/>
  <c r="AR604" i="3"/>
  <c r="B604" i="3"/>
  <c r="AQ604" i="3"/>
  <c r="D604" i="3"/>
  <c r="AM604" i="3"/>
  <c r="AK604" i="3"/>
  <c r="C604" i="3"/>
  <c r="T604" i="3"/>
  <c r="S604" i="3"/>
  <c r="Q604" i="3"/>
  <c r="AD604" i="3"/>
  <c r="P604" i="3"/>
  <c r="AE604" i="3"/>
  <c r="M604" i="3"/>
  <c r="AF604" i="3"/>
  <c r="U604" i="3"/>
  <c r="V604" i="3"/>
  <c r="O604" i="3"/>
  <c r="R604" i="3"/>
  <c r="F604" i="3"/>
  <c r="G604" i="3"/>
  <c r="H604" i="3" s="1"/>
  <c r="AX602" i="3"/>
  <c r="BA601" i="3"/>
  <c r="AV601" i="3"/>
  <c r="AH603" i="3"/>
  <c r="X603" i="3"/>
  <c r="BD600" i="3" l="1"/>
  <c r="BN604" i="3"/>
  <c r="AX603" i="3"/>
  <c r="AV602" i="3"/>
  <c r="BC601" i="3"/>
  <c r="BG601" i="3" s="1"/>
  <c r="BH601" i="3" s="1"/>
  <c r="BI601" i="3" s="1"/>
  <c r="BA602" i="3"/>
  <c r="BQ602" i="3" s="1"/>
  <c r="AN604" i="3"/>
  <c r="AU603" i="3"/>
  <c r="BF601" i="3"/>
  <c r="BJ600" i="3" s="1"/>
  <c r="BK600" i="3" s="1"/>
  <c r="BB601" i="3"/>
  <c r="BQ601" i="3"/>
  <c r="Y604" i="3"/>
  <c r="Z604" i="3" s="1"/>
  <c r="AR605" i="3"/>
  <c r="A606" i="3"/>
  <c r="AQ605" i="3"/>
  <c r="B605" i="3"/>
  <c r="C605" i="3"/>
  <c r="D605" i="3"/>
  <c r="AM605" i="3"/>
  <c r="AK605" i="3"/>
  <c r="S605" i="3"/>
  <c r="R605" i="3"/>
  <c r="AD605" i="3"/>
  <c r="P605" i="3"/>
  <c r="Q605" i="3"/>
  <c r="O605" i="3"/>
  <c r="AE605" i="3"/>
  <c r="M605" i="3"/>
  <c r="AF605" i="3"/>
  <c r="V605" i="3"/>
  <c r="U605" i="3"/>
  <c r="G605" i="3"/>
  <c r="H605" i="3" s="1"/>
  <c r="F605" i="3"/>
  <c r="BM605" i="3" s="1"/>
  <c r="T605" i="3"/>
  <c r="AT603" i="3"/>
  <c r="AW603" i="3"/>
  <c r="AY602" i="3"/>
  <c r="BM604" i="3"/>
  <c r="AO604" i="3"/>
  <c r="AG604" i="3"/>
  <c r="AH604" i="3"/>
  <c r="X604" i="3"/>
  <c r="BN605" i="3" l="1"/>
  <c r="BC602" i="3"/>
  <c r="BG602" i="3" s="1"/>
  <c r="BH602" i="3" s="1"/>
  <c r="BI602" i="3" s="1"/>
  <c r="AY603" i="3"/>
  <c r="BD601" i="3"/>
  <c r="BB602" i="3"/>
  <c r="BF602" i="3"/>
  <c r="BJ601" i="3" s="1"/>
  <c r="BK601" i="3" s="1"/>
  <c r="AO605" i="3"/>
  <c r="AU604" i="3"/>
  <c r="AX604" i="3"/>
  <c r="BA603" i="3"/>
  <c r="AV603" i="3"/>
  <c r="AT604" i="3"/>
  <c r="AW604" i="3"/>
  <c r="AG605" i="3"/>
  <c r="AH605" i="3"/>
  <c r="AN605" i="3"/>
  <c r="X605" i="3"/>
  <c r="AR606" i="3"/>
  <c r="AQ606" i="3"/>
  <c r="B606" i="3"/>
  <c r="A607" i="3"/>
  <c r="D606" i="3"/>
  <c r="C606" i="3"/>
  <c r="AK606" i="3"/>
  <c r="AM606" i="3"/>
  <c r="S606" i="3"/>
  <c r="R606" i="3"/>
  <c r="Q606" i="3"/>
  <c r="AD606" i="3"/>
  <c r="P606" i="3"/>
  <c r="O606" i="3"/>
  <c r="AE606" i="3"/>
  <c r="M606" i="3"/>
  <c r="AF606" i="3"/>
  <c r="V606" i="3"/>
  <c r="U606" i="3"/>
  <c r="G606" i="3"/>
  <c r="H606" i="3" s="1"/>
  <c r="F606" i="3"/>
  <c r="T606" i="3"/>
  <c r="Y605" i="3"/>
  <c r="Z605" i="3" s="1"/>
  <c r="BD602" i="3" l="1"/>
  <c r="AY604" i="3"/>
  <c r="BC603" i="3"/>
  <c r="BG603" i="3" s="1"/>
  <c r="BH603" i="3" s="1"/>
  <c r="BI603" i="3" s="1"/>
  <c r="BN606" i="3"/>
  <c r="AN606" i="3"/>
  <c r="AU605" i="3"/>
  <c r="Y606" i="3"/>
  <c r="Z606" i="3" s="1"/>
  <c r="BA604" i="3"/>
  <c r="BQ604" i="3" s="1"/>
  <c r="A608" i="3"/>
  <c r="AQ607" i="3"/>
  <c r="AR607" i="3"/>
  <c r="B607" i="3"/>
  <c r="C607" i="3"/>
  <c r="AK607" i="3"/>
  <c r="D607" i="3"/>
  <c r="AM607" i="3"/>
  <c r="S607" i="3"/>
  <c r="Q607" i="3"/>
  <c r="AD607" i="3"/>
  <c r="P607" i="3"/>
  <c r="AE607" i="3"/>
  <c r="O607" i="3"/>
  <c r="AF607" i="3"/>
  <c r="M607" i="3"/>
  <c r="V607" i="3"/>
  <c r="U607" i="3"/>
  <c r="R607" i="3"/>
  <c r="F607" i="3"/>
  <c r="G607" i="3"/>
  <c r="H607" i="3" s="1"/>
  <c r="T607" i="3"/>
  <c r="BQ603" i="3"/>
  <c r="BB603" i="3"/>
  <c r="BF603" i="3"/>
  <c r="BJ602" i="3" s="1"/>
  <c r="BK602" i="3" s="1"/>
  <c r="X606" i="3"/>
  <c r="AW605" i="3"/>
  <c r="BM606" i="3"/>
  <c r="AH606" i="3"/>
  <c r="AG606" i="3"/>
  <c r="AO606" i="3"/>
  <c r="AT605" i="3"/>
  <c r="AX605" i="3"/>
  <c r="AV604" i="3"/>
  <c r="BN607" i="3" l="1"/>
  <c r="AN607" i="3"/>
  <c r="BD603" i="3"/>
  <c r="BC604" i="3"/>
  <c r="BD604" i="3" s="1"/>
  <c r="BM607" i="3"/>
  <c r="BF604" i="3"/>
  <c r="BJ603" i="3" s="1"/>
  <c r="BK603" i="3" s="1"/>
  <c r="AW606" i="3"/>
  <c r="BB604" i="3"/>
  <c r="Y607" i="3"/>
  <c r="Z607" i="3" s="1"/>
  <c r="A609" i="3"/>
  <c r="AR608" i="3"/>
  <c r="B608" i="3"/>
  <c r="AQ608" i="3"/>
  <c r="D608" i="3"/>
  <c r="AK608" i="3"/>
  <c r="S608" i="3"/>
  <c r="C608" i="3"/>
  <c r="AM608" i="3"/>
  <c r="Q608" i="3"/>
  <c r="R608" i="3"/>
  <c r="AD608" i="3"/>
  <c r="P608" i="3"/>
  <c r="O608" i="3"/>
  <c r="AF608" i="3"/>
  <c r="V608" i="3"/>
  <c r="AE608" i="3"/>
  <c r="M608" i="3"/>
  <c r="U608" i="3"/>
  <c r="F608" i="3"/>
  <c r="G608" i="3"/>
  <c r="H608" i="3" s="1"/>
  <c r="T608" i="3"/>
  <c r="AU606" i="3"/>
  <c r="AT606" i="3"/>
  <c r="AX606" i="3"/>
  <c r="AY605" i="3"/>
  <c r="AG607" i="3"/>
  <c r="AH607" i="3"/>
  <c r="X607" i="3"/>
  <c r="AV605" i="3"/>
  <c r="BA605" i="3"/>
  <c r="AO607" i="3"/>
  <c r="BN608" i="3" l="1"/>
  <c r="BM608" i="3"/>
  <c r="BG604" i="3"/>
  <c r="BH604" i="3" s="1"/>
  <c r="BI604" i="3" s="1"/>
  <c r="AV606" i="3"/>
  <c r="AO608" i="3"/>
  <c r="AY606" i="3"/>
  <c r="Y608" i="3"/>
  <c r="Z608" i="3" s="1"/>
  <c r="BQ605" i="3"/>
  <c r="BF605" i="3"/>
  <c r="BJ604" i="3" s="1"/>
  <c r="BK604" i="3" s="1"/>
  <c r="BB605" i="3"/>
  <c r="AR609" i="3"/>
  <c r="A610" i="3"/>
  <c r="AQ609" i="3"/>
  <c r="B609" i="3"/>
  <c r="C609" i="3"/>
  <c r="D609" i="3"/>
  <c r="AK609" i="3"/>
  <c r="Q609" i="3"/>
  <c r="AM609" i="3"/>
  <c r="S609" i="3"/>
  <c r="R609" i="3"/>
  <c r="T609" i="3"/>
  <c r="AD609" i="3"/>
  <c r="P609" i="3"/>
  <c r="AE609" i="3"/>
  <c r="M609" i="3"/>
  <c r="O609" i="3"/>
  <c r="AF609" i="3"/>
  <c r="V609" i="3"/>
  <c r="U609" i="3"/>
  <c r="G609" i="3"/>
  <c r="H609" i="3" s="1"/>
  <c r="F609" i="3"/>
  <c r="AX607" i="3"/>
  <c r="X608" i="3"/>
  <c r="AU607" i="3"/>
  <c r="AT607" i="3"/>
  <c r="AW607" i="3"/>
  <c r="AG608" i="3"/>
  <c r="AH608" i="3"/>
  <c r="AN608" i="3"/>
  <c r="BC605" i="3"/>
  <c r="BA606" i="3"/>
  <c r="AN609" i="3" l="1"/>
  <c r="BC606" i="3"/>
  <c r="BG606" i="3" s="1"/>
  <c r="BH606" i="3" s="1"/>
  <c r="BI606" i="3" s="1"/>
  <c r="BN609" i="3"/>
  <c r="AG609" i="3"/>
  <c r="AU608" i="3"/>
  <c r="AO609" i="3"/>
  <c r="BD605" i="3"/>
  <c r="BG605" i="3"/>
  <c r="BH605" i="3" s="1"/>
  <c r="BI605" i="3" s="1"/>
  <c r="AV607" i="3"/>
  <c r="BA607" i="3"/>
  <c r="BB606" i="3"/>
  <c r="BF606" i="3"/>
  <c r="BJ605" i="3" s="1"/>
  <c r="BK605" i="3" s="1"/>
  <c r="BQ606" i="3"/>
  <c r="BD606" i="3"/>
  <c r="Y609" i="3"/>
  <c r="Z609" i="3" s="1"/>
  <c r="AR610" i="3"/>
  <c r="AQ610" i="3"/>
  <c r="B610" i="3"/>
  <c r="A611" i="3"/>
  <c r="D610" i="3"/>
  <c r="AK610" i="3"/>
  <c r="AM610" i="3"/>
  <c r="R610" i="3"/>
  <c r="Q610" i="3"/>
  <c r="C610" i="3"/>
  <c r="S610" i="3"/>
  <c r="P610" i="3"/>
  <c r="AD610" i="3"/>
  <c r="O610" i="3"/>
  <c r="M610" i="3"/>
  <c r="AE610" i="3"/>
  <c r="AF610" i="3"/>
  <c r="V610" i="3"/>
  <c r="U610" i="3"/>
  <c r="F610" i="3"/>
  <c r="G610" i="3"/>
  <c r="H610" i="3" s="1"/>
  <c r="BN610" i="3" s="1"/>
  <c r="T610" i="3"/>
  <c r="AW608" i="3"/>
  <c r="AT608" i="3"/>
  <c r="AX608" i="3"/>
  <c r="AY607" i="3"/>
  <c r="BM609" i="3"/>
  <c r="AH609" i="3"/>
  <c r="X609" i="3"/>
  <c r="BM610" i="3" l="1"/>
  <c r="AX609" i="3"/>
  <c r="BC607" i="3"/>
  <c r="BD607" i="3" s="1"/>
  <c r="AN610" i="3"/>
  <c r="AY608" i="3"/>
  <c r="A612" i="3"/>
  <c r="AQ611" i="3"/>
  <c r="AR611" i="3"/>
  <c r="B611" i="3"/>
  <c r="C611" i="3"/>
  <c r="AK611" i="3"/>
  <c r="T611" i="3"/>
  <c r="S611" i="3"/>
  <c r="AM611" i="3"/>
  <c r="D611" i="3"/>
  <c r="Q611" i="3"/>
  <c r="R611" i="3"/>
  <c r="AD611" i="3"/>
  <c r="P611" i="3"/>
  <c r="AE611" i="3"/>
  <c r="AF611" i="3"/>
  <c r="V611" i="3"/>
  <c r="O611" i="3"/>
  <c r="M611" i="3"/>
  <c r="U611" i="3"/>
  <c r="G611" i="3"/>
  <c r="H611" i="3" s="1"/>
  <c r="F611" i="3"/>
  <c r="AU609" i="3"/>
  <c r="Y610" i="3"/>
  <c r="Z610" i="3" s="1"/>
  <c r="AG610" i="3"/>
  <c r="X610" i="3"/>
  <c r="AO610" i="3"/>
  <c r="AT609" i="3"/>
  <c r="AV608" i="3"/>
  <c r="BA608" i="3"/>
  <c r="BF607" i="3"/>
  <c r="BJ606" i="3" s="1"/>
  <c r="BK606" i="3" s="1"/>
  <c r="BQ607" i="3"/>
  <c r="BB607" i="3"/>
  <c r="AH610" i="3"/>
  <c r="AW609" i="3"/>
  <c r="AY609" i="3" l="1"/>
  <c r="AN611" i="3"/>
  <c r="BN611" i="3"/>
  <c r="BM611" i="3"/>
  <c r="BG607" i="3"/>
  <c r="BH607" i="3" s="1"/>
  <c r="BI607" i="3" s="1"/>
  <c r="AT610" i="3"/>
  <c r="AO611" i="3"/>
  <c r="AX610" i="3"/>
  <c r="BC608" i="3"/>
  <c r="BG608" i="3" s="1"/>
  <c r="BH608" i="3" s="1"/>
  <c r="BI608" i="3" s="1"/>
  <c r="BB608" i="3"/>
  <c r="BF608" i="3"/>
  <c r="BJ607" i="3" s="1"/>
  <c r="BK607" i="3" s="1"/>
  <c r="BQ608" i="3"/>
  <c r="AV609" i="3"/>
  <c r="BA609" i="3"/>
  <c r="A613" i="3"/>
  <c r="AR612" i="3"/>
  <c r="B612" i="3"/>
  <c r="AQ612" i="3"/>
  <c r="C612" i="3"/>
  <c r="D612" i="3"/>
  <c r="AM612" i="3"/>
  <c r="T612" i="3"/>
  <c r="AK612" i="3"/>
  <c r="Q612" i="3"/>
  <c r="R612" i="3"/>
  <c r="S612" i="3"/>
  <c r="AD612" i="3"/>
  <c r="P612" i="3"/>
  <c r="O612" i="3"/>
  <c r="AE612" i="3"/>
  <c r="V612" i="3"/>
  <c r="M612" i="3"/>
  <c r="AF612" i="3"/>
  <c r="U612" i="3"/>
  <c r="G612" i="3"/>
  <c r="H612" i="3" s="1"/>
  <c r="F612" i="3"/>
  <c r="AW610" i="3"/>
  <c r="AG611" i="3"/>
  <c r="AH611" i="3"/>
  <c r="X611" i="3"/>
  <c r="Y611" i="3"/>
  <c r="Z611" i="3" s="1"/>
  <c r="AU610" i="3"/>
  <c r="BD608" i="3" l="1"/>
  <c r="BC609" i="3"/>
  <c r="BG609" i="3" s="1"/>
  <c r="BH609" i="3" s="1"/>
  <c r="BI609" i="3" s="1"/>
  <c r="AO612" i="3"/>
  <c r="BN612" i="3"/>
  <c r="AV610" i="3"/>
  <c r="AT611" i="3"/>
  <c r="AH612" i="3"/>
  <c r="AY610" i="3"/>
  <c r="AN612" i="3"/>
  <c r="Y612" i="3"/>
  <c r="Z612" i="3" s="1"/>
  <c r="BQ609" i="3"/>
  <c r="BB609" i="3"/>
  <c r="BF609" i="3"/>
  <c r="BJ608" i="3" s="1"/>
  <c r="BK608" i="3" s="1"/>
  <c r="AW611" i="3"/>
  <c r="BM612" i="3"/>
  <c r="AG612" i="3"/>
  <c r="BA610" i="3"/>
  <c r="AU611" i="3"/>
  <c r="AX611" i="3"/>
  <c r="AR613" i="3"/>
  <c r="A614" i="3"/>
  <c r="AQ613" i="3"/>
  <c r="B613" i="3"/>
  <c r="C613" i="3"/>
  <c r="D613" i="3"/>
  <c r="AK613" i="3"/>
  <c r="AM613" i="3"/>
  <c r="S613" i="3"/>
  <c r="R613" i="3"/>
  <c r="Q613" i="3"/>
  <c r="AD613" i="3"/>
  <c r="P613" i="3"/>
  <c r="M613" i="3"/>
  <c r="O613" i="3"/>
  <c r="AF613" i="3"/>
  <c r="U613" i="3"/>
  <c r="AE613" i="3"/>
  <c r="V613" i="3"/>
  <c r="F613" i="3"/>
  <c r="G613" i="3"/>
  <c r="H613" i="3" s="1"/>
  <c r="T613" i="3"/>
  <c r="X612" i="3"/>
  <c r="BD609" i="3" l="1"/>
  <c r="AG613" i="3"/>
  <c r="AO613" i="3"/>
  <c r="BN613" i="3"/>
  <c r="AT612" i="3"/>
  <c r="AX612" i="3"/>
  <c r="BC610" i="3"/>
  <c r="BD610" i="3" s="1"/>
  <c r="AW612" i="3"/>
  <c r="BA611" i="3"/>
  <c r="BB611" i="3" s="1"/>
  <c r="AY611" i="3"/>
  <c r="AR614" i="3"/>
  <c r="AQ614" i="3"/>
  <c r="B614" i="3"/>
  <c r="A615" i="3"/>
  <c r="C614" i="3"/>
  <c r="D614" i="3"/>
  <c r="AM614" i="3"/>
  <c r="S614" i="3"/>
  <c r="AK614" i="3"/>
  <c r="T614" i="3"/>
  <c r="Q614" i="3"/>
  <c r="AD614" i="3"/>
  <c r="R614" i="3"/>
  <c r="P614" i="3"/>
  <c r="M614" i="3"/>
  <c r="AE614" i="3"/>
  <c r="AF614" i="3"/>
  <c r="O614" i="3"/>
  <c r="U614" i="3"/>
  <c r="V614" i="3"/>
  <c r="G614" i="3"/>
  <c r="H614" i="3" s="1"/>
  <c r="F614" i="3"/>
  <c r="BB610" i="3"/>
  <c r="BQ610" i="3"/>
  <c r="BF610" i="3"/>
  <c r="BJ609" i="3" s="1"/>
  <c r="BK609" i="3" s="1"/>
  <c r="Y613" i="3"/>
  <c r="Z613" i="3" s="1"/>
  <c r="BM613" i="3"/>
  <c r="AH613" i="3"/>
  <c r="AT613" i="3" s="1"/>
  <c r="AN613" i="3"/>
  <c r="AU612" i="3"/>
  <c r="AV611" i="3"/>
  <c r="X613" i="3"/>
  <c r="AO614" i="3" l="1"/>
  <c r="AY612" i="3"/>
  <c r="BC611" i="3"/>
  <c r="BG611" i="3" s="1"/>
  <c r="BH611" i="3" s="1"/>
  <c r="BI611" i="3" s="1"/>
  <c r="BQ611" i="3"/>
  <c r="BN614" i="3"/>
  <c r="AV612" i="3"/>
  <c r="BG610" i="3"/>
  <c r="BH610" i="3" s="1"/>
  <c r="BI610" i="3" s="1"/>
  <c r="BA612" i="3"/>
  <c r="BQ612" i="3" s="1"/>
  <c r="AW613" i="3"/>
  <c r="BF611" i="3"/>
  <c r="BJ610" i="3" s="1"/>
  <c r="BK610" i="3" s="1"/>
  <c r="Y614" i="3"/>
  <c r="Z614" i="3" s="1"/>
  <c r="A616" i="3"/>
  <c r="AQ615" i="3"/>
  <c r="AR615" i="3"/>
  <c r="B615" i="3"/>
  <c r="D615" i="3"/>
  <c r="AM615" i="3"/>
  <c r="AK615" i="3"/>
  <c r="S615" i="3"/>
  <c r="Q615" i="3"/>
  <c r="C615" i="3"/>
  <c r="R615" i="3"/>
  <c r="AD615" i="3"/>
  <c r="P615" i="3"/>
  <c r="M615" i="3"/>
  <c r="AE615" i="3"/>
  <c r="V615" i="3"/>
  <c r="U615" i="3"/>
  <c r="O615" i="3"/>
  <c r="AF615" i="3"/>
  <c r="G615" i="3"/>
  <c r="H615" i="3" s="1"/>
  <c r="F615" i="3"/>
  <c r="T615" i="3"/>
  <c r="AX613" i="3"/>
  <c r="AU613" i="3"/>
  <c r="AV613" i="3" s="1"/>
  <c r="BM614" i="3"/>
  <c r="AG614" i="3"/>
  <c r="AH614" i="3"/>
  <c r="AN614" i="3"/>
  <c r="X614" i="3"/>
  <c r="BD611" i="3" l="1"/>
  <c r="BC612" i="3"/>
  <c r="BD612" i="3" s="1"/>
  <c r="BN615" i="3"/>
  <c r="BF612" i="3"/>
  <c r="BJ611" i="3" s="1"/>
  <c r="BK611" i="3" s="1"/>
  <c r="AY613" i="3"/>
  <c r="BC613" i="3" s="1"/>
  <c r="BD613" i="3" s="1"/>
  <c r="BB612" i="3"/>
  <c r="AN615" i="3"/>
  <c r="AX614" i="3"/>
  <c r="AH615" i="3"/>
  <c r="A617" i="3"/>
  <c r="AR616" i="3"/>
  <c r="B616" i="3"/>
  <c r="AQ616" i="3"/>
  <c r="C616" i="3"/>
  <c r="AK616" i="3"/>
  <c r="R616" i="3"/>
  <c r="D616" i="3"/>
  <c r="AM616" i="3"/>
  <c r="S616" i="3"/>
  <c r="Q616" i="3"/>
  <c r="AD616" i="3"/>
  <c r="P616" i="3"/>
  <c r="AE616" i="3"/>
  <c r="M616" i="3"/>
  <c r="U616" i="3"/>
  <c r="V616" i="3"/>
  <c r="O616" i="3"/>
  <c r="AF616" i="3"/>
  <c r="F616" i="3"/>
  <c r="G616" i="3"/>
  <c r="H616" i="3" s="1"/>
  <c r="T616" i="3"/>
  <c r="Y615" i="3"/>
  <c r="Z615" i="3" s="1"/>
  <c r="X615" i="3"/>
  <c r="AT614" i="3"/>
  <c r="AU614" i="3"/>
  <c r="AW614" i="3"/>
  <c r="BM615" i="3"/>
  <c r="AG615" i="3"/>
  <c r="AO615" i="3"/>
  <c r="BA613" i="3"/>
  <c r="BG612" i="3" l="1"/>
  <c r="BH612" i="3" s="1"/>
  <c r="BI612" i="3" s="1"/>
  <c r="BM616" i="3"/>
  <c r="AY614" i="3"/>
  <c r="AT615" i="3"/>
  <c r="AG616" i="3"/>
  <c r="AX615" i="3"/>
  <c r="AO616" i="3"/>
  <c r="AU615" i="3"/>
  <c r="BG613" i="3"/>
  <c r="BH613" i="3" s="1"/>
  <c r="BI613" i="3" s="1"/>
  <c r="Y616" i="3"/>
  <c r="Z616" i="3" s="1"/>
  <c r="BQ613" i="3"/>
  <c r="BF613" i="3"/>
  <c r="BJ612" i="3" s="1"/>
  <c r="BK612" i="3" s="1"/>
  <c r="BB613" i="3"/>
  <c r="AV614" i="3"/>
  <c r="BA614" i="3"/>
  <c r="AR617" i="3"/>
  <c r="A618" i="3"/>
  <c r="AQ617" i="3"/>
  <c r="B617" i="3"/>
  <c r="D617" i="3"/>
  <c r="C617" i="3"/>
  <c r="AK617" i="3"/>
  <c r="S617" i="3"/>
  <c r="R617" i="3"/>
  <c r="AM617" i="3"/>
  <c r="Q617" i="3"/>
  <c r="AD617" i="3"/>
  <c r="P617" i="3"/>
  <c r="O617" i="3"/>
  <c r="M617" i="3"/>
  <c r="AE617" i="3"/>
  <c r="AF617" i="3"/>
  <c r="U617" i="3"/>
  <c r="V617" i="3"/>
  <c r="F617" i="3"/>
  <c r="G617" i="3"/>
  <c r="H617" i="3" s="1"/>
  <c r="BN617" i="3" s="1"/>
  <c r="T617" i="3"/>
  <c r="AW615" i="3"/>
  <c r="BN616" i="3"/>
  <c r="AH616" i="3"/>
  <c r="AN616" i="3"/>
  <c r="X616" i="3"/>
  <c r="AV615" i="3" l="1"/>
  <c r="BM617" i="3"/>
  <c r="BC614" i="3"/>
  <c r="BG614" i="3" s="1"/>
  <c r="BH614" i="3" s="1"/>
  <c r="BI614" i="3" s="1"/>
  <c r="AX616" i="3"/>
  <c r="AY615" i="3"/>
  <c r="AO617" i="3"/>
  <c r="AR618" i="3"/>
  <c r="AQ618" i="3"/>
  <c r="B618" i="3"/>
  <c r="A619" i="3"/>
  <c r="C618" i="3"/>
  <c r="D618" i="3"/>
  <c r="AK618" i="3"/>
  <c r="AM618" i="3"/>
  <c r="S618" i="3"/>
  <c r="Q618" i="3"/>
  <c r="R618" i="3"/>
  <c r="AD618" i="3"/>
  <c r="P618" i="3"/>
  <c r="O618" i="3"/>
  <c r="AE618" i="3"/>
  <c r="AF618" i="3"/>
  <c r="V618" i="3"/>
  <c r="U618" i="3"/>
  <c r="M618" i="3"/>
  <c r="G618" i="3"/>
  <c r="H618" i="3" s="1"/>
  <c r="F618" i="3"/>
  <c r="T618" i="3"/>
  <c r="BF614" i="3"/>
  <c r="BJ613" i="3" s="1"/>
  <c r="BK613" i="3" s="1"/>
  <c r="BB614" i="3"/>
  <c r="BQ614" i="3"/>
  <c r="AT616" i="3"/>
  <c r="Y617" i="3"/>
  <c r="Z617" i="3" s="1"/>
  <c r="AG617" i="3"/>
  <c r="AH617" i="3"/>
  <c r="AN617" i="3"/>
  <c r="X617" i="3"/>
  <c r="AU616" i="3"/>
  <c r="AW616" i="3"/>
  <c r="BA615" i="3"/>
  <c r="BM618" i="3" l="1"/>
  <c r="BC615" i="3"/>
  <c r="BG615" i="3" s="1"/>
  <c r="BH615" i="3" s="1"/>
  <c r="BI615" i="3" s="1"/>
  <c r="BN618" i="3"/>
  <c r="BD614" i="3"/>
  <c r="AV616" i="3"/>
  <c r="AN618" i="3"/>
  <c r="AY616" i="3"/>
  <c r="AU617" i="3"/>
  <c r="AT617" i="3"/>
  <c r="Y618" i="3"/>
  <c r="Z618" i="3" s="1"/>
  <c r="AH618" i="3"/>
  <c r="BF615" i="3"/>
  <c r="BJ614" i="3" s="1"/>
  <c r="BK614" i="3" s="1"/>
  <c r="BB615" i="3"/>
  <c r="BQ615" i="3"/>
  <c r="AX617" i="3"/>
  <c r="AG618" i="3"/>
  <c r="AO618" i="3"/>
  <c r="X618" i="3"/>
  <c r="A620" i="3"/>
  <c r="AQ619" i="3"/>
  <c r="AR619" i="3"/>
  <c r="B619" i="3"/>
  <c r="C619" i="3"/>
  <c r="D619" i="3"/>
  <c r="R619" i="3"/>
  <c r="AK619" i="3"/>
  <c r="AM619" i="3"/>
  <c r="S619" i="3"/>
  <c r="T619" i="3"/>
  <c r="Q619" i="3"/>
  <c r="AD619" i="3"/>
  <c r="M619" i="3"/>
  <c r="P619" i="3"/>
  <c r="O619" i="3"/>
  <c r="V619" i="3"/>
  <c r="AE619" i="3"/>
  <c r="AF619" i="3"/>
  <c r="U619" i="3"/>
  <c r="G619" i="3"/>
  <c r="H619" i="3" s="1"/>
  <c r="F619" i="3"/>
  <c r="AW617" i="3"/>
  <c r="BA616" i="3"/>
  <c r="BD615" i="3" l="1"/>
  <c r="AY617" i="3"/>
  <c r="BC616" i="3"/>
  <c r="BG616" i="3" s="1"/>
  <c r="BH616" i="3" s="1"/>
  <c r="BI616" i="3" s="1"/>
  <c r="BM619" i="3"/>
  <c r="AT618" i="3"/>
  <c r="BN619" i="3"/>
  <c r="AV617" i="3"/>
  <c r="AX618" i="3"/>
  <c r="AO619" i="3"/>
  <c r="AU618" i="3"/>
  <c r="AG619" i="3"/>
  <c r="A621" i="3"/>
  <c r="AR620" i="3"/>
  <c r="B620" i="3"/>
  <c r="AQ620" i="3"/>
  <c r="C620" i="3"/>
  <c r="AK620" i="3"/>
  <c r="R620" i="3"/>
  <c r="Q620" i="3"/>
  <c r="AM620" i="3"/>
  <c r="D620" i="3"/>
  <c r="S620" i="3"/>
  <c r="AD620" i="3"/>
  <c r="P620" i="3"/>
  <c r="O620" i="3"/>
  <c r="AF620" i="3"/>
  <c r="U620" i="3"/>
  <c r="M620" i="3"/>
  <c r="AE620" i="3"/>
  <c r="V620" i="3"/>
  <c r="G620" i="3"/>
  <c r="H620" i="3" s="1"/>
  <c r="F620" i="3"/>
  <c r="T620" i="3"/>
  <c r="AH619" i="3"/>
  <c r="AN619" i="3"/>
  <c r="X619" i="3"/>
  <c r="AW618" i="3"/>
  <c r="BQ616" i="3"/>
  <c r="BF616" i="3"/>
  <c r="BJ615" i="3" s="1"/>
  <c r="BK615" i="3" s="1"/>
  <c r="BB616" i="3"/>
  <c r="Y619" i="3"/>
  <c r="Z619" i="3" s="1"/>
  <c r="BA617" i="3"/>
  <c r="BM620" i="3" l="1"/>
  <c r="BC617" i="3"/>
  <c r="BD617" i="3" s="1"/>
  <c r="BD616" i="3"/>
  <c r="BN620" i="3"/>
  <c r="AV618" i="3"/>
  <c r="AO620" i="3"/>
  <c r="AY618" i="3"/>
  <c r="AT619" i="3"/>
  <c r="AG620" i="3"/>
  <c r="BA618" i="3"/>
  <c r="BB618" i="3" s="1"/>
  <c r="AU619" i="3"/>
  <c r="AW619" i="3"/>
  <c r="Y620" i="3"/>
  <c r="Z620" i="3" s="1"/>
  <c r="BB617" i="3"/>
  <c r="BQ617" i="3"/>
  <c r="BF617" i="3"/>
  <c r="BJ616" i="3" s="1"/>
  <c r="BK616" i="3" s="1"/>
  <c r="AR621" i="3"/>
  <c r="A622" i="3"/>
  <c r="AQ621" i="3"/>
  <c r="B621" i="3"/>
  <c r="C621" i="3"/>
  <c r="AM621" i="3"/>
  <c r="AK621" i="3"/>
  <c r="T621" i="3"/>
  <c r="S621" i="3"/>
  <c r="Q621" i="3"/>
  <c r="D621" i="3"/>
  <c r="R621" i="3"/>
  <c r="AD621" i="3"/>
  <c r="P621" i="3"/>
  <c r="O621" i="3"/>
  <c r="V621" i="3"/>
  <c r="M621" i="3"/>
  <c r="AF621" i="3"/>
  <c r="AE621" i="3"/>
  <c r="U621" i="3"/>
  <c r="F621" i="3"/>
  <c r="G621" i="3"/>
  <c r="H621" i="3" s="1"/>
  <c r="AX619" i="3"/>
  <c r="AN620" i="3"/>
  <c r="X620" i="3"/>
  <c r="AH620" i="3"/>
  <c r="BM621" i="3" l="1"/>
  <c r="BG617" i="3"/>
  <c r="BH617" i="3" s="1"/>
  <c r="BI617" i="3" s="1"/>
  <c r="BC618" i="3"/>
  <c r="BD618" i="3" s="1"/>
  <c r="BQ618" i="3"/>
  <c r="AG621" i="3"/>
  <c r="AO621" i="3"/>
  <c r="AV619" i="3"/>
  <c r="BF618" i="3"/>
  <c r="BJ617" i="3" s="1"/>
  <c r="BK617" i="3" s="1"/>
  <c r="AW620" i="3"/>
  <c r="BA619" i="3"/>
  <c r="BF619" i="3" s="1"/>
  <c r="AT620" i="3"/>
  <c r="AY619" i="3"/>
  <c r="AU620" i="3"/>
  <c r="AR622" i="3"/>
  <c r="AQ622" i="3"/>
  <c r="B622" i="3"/>
  <c r="A623" i="3"/>
  <c r="D622" i="3"/>
  <c r="T622" i="3"/>
  <c r="C622" i="3"/>
  <c r="AM622" i="3"/>
  <c r="AK622" i="3"/>
  <c r="R622" i="3"/>
  <c r="AD622" i="3"/>
  <c r="S622" i="3"/>
  <c r="Q622" i="3"/>
  <c r="P622" i="3"/>
  <c r="O622" i="3"/>
  <c r="AF622" i="3"/>
  <c r="V622" i="3"/>
  <c r="AE622" i="3"/>
  <c r="M622" i="3"/>
  <c r="U622" i="3"/>
  <c r="G622" i="3"/>
  <c r="H622" i="3" s="1"/>
  <c r="F622" i="3"/>
  <c r="AX620" i="3"/>
  <c r="BN621" i="3"/>
  <c r="AN621" i="3"/>
  <c r="Y621" i="3"/>
  <c r="Z621" i="3" s="1"/>
  <c r="AH621" i="3"/>
  <c r="X621" i="3"/>
  <c r="BG618" i="3" l="1"/>
  <c r="BH618" i="3" s="1"/>
  <c r="BI618" i="3" s="1"/>
  <c r="BJ618" i="3"/>
  <c r="BK618" i="3" s="1"/>
  <c r="BN622" i="3"/>
  <c r="AV620" i="3"/>
  <c r="BB619" i="3"/>
  <c r="BQ619" i="3"/>
  <c r="BC619" i="3"/>
  <c r="BD619" i="3" s="1"/>
  <c r="BA620" i="3"/>
  <c r="BB620" i="3" s="1"/>
  <c r="AX621" i="3"/>
  <c r="AO622" i="3"/>
  <c r="A624" i="3"/>
  <c r="AQ623" i="3"/>
  <c r="AR623" i="3"/>
  <c r="B623" i="3"/>
  <c r="C623" i="3"/>
  <c r="D623" i="3"/>
  <c r="AK623" i="3"/>
  <c r="AM623" i="3"/>
  <c r="S623" i="3"/>
  <c r="R623" i="3"/>
  <c r="Q623" i="3"/>
  <c r="T623" i="3"/>
  <c r="AD623" i="3"/>
  <c r="AE623" i="3"/>
  <c r="M623" i="3"/>
  <c r="V623" i="3"/>
  <c r="U623" i="3"/>
  <c r="P623" i="3"/>
  <c r="O623" i="3"/>
  <c r="AF623" i="3"/>
  <c r="F623" i="3"/>
  <c r="G623" i="3"/>
  <c r="H623" i="3" s="1"/>
  <c r="AY620" i="3"/>
  <c r="AU621" i="3"/>
  <c r="BM622" i="3"/>
  <c r="AG622" i="3"/>
  <c r="AH622" i="3"/>
  <c r="AN622" i="3"/>
  <c r="Y622" i="3"/>
  <c r="Z622" i="3" s="1"/>
  <c r="AT621" i="3"/>
  <c r="AW621" i="3"/>
  <c r="X622" i="3"/>
  <c r="BM623" i="3" l="1"/>
  <c r="BN623" i="3"/>
  <c r="AV621" i="3"/>
  <c r="BC620" i="3"/>
  <c r="BD620" i="3" s="1"/>
  <c r="BQ620" i="3"/>
  <c r="BG619" i="3"/>
  <c r="BH619" i="3" s="1"/>
  <c r="BI619" i="3" s="1"/>
  <c r="BF620" i="3"/>
  <c r="BJ619" i="3" s="1"/>
  <c r="BK619" i="3" s="1"/>
  <c r="AY621" i="3"/>
  <c r="AX622" i="3"/>
  <c r="AO623" i="3"/>
  <c r="Y623" i="3"/>
  <c r="Z623" i="3" s="1"/>
  <c r="BA621" i="3"/>
  <c r="AW622" i="3"/>
  <c r="AT622" i="3"/>
  <c r="AH623" i="3"/>
  <c r="AG623" i="3"/>
  <c r="AN623" i="3"/>
  <c r="A625" i="3"/>
  <c r="AR624" i="3"/>
  <c r="B624" i="3"/>
  <c r="AQ624" i="3"/>
  <c r="D624" i="3"/>
  <c r="C624" i="3"/>
  <c r="AM624" i="3"/>
  <c r="AK624" i="3"/>
  <c r="S624" i="3"/>
  <c r="Q624" i="3"/>
  <c r="AD624" i="3"/>
  <c r="T624" i="3"/>
  <c r="R624" i="3"/>
  <c r="AE624" i="3"/>
  <c r="P624" i="3"/>
  <c r="O624" i="3"/>
  <c r="M624" i="3"/>
  <c r="AF624" i="3"/>
  <c r="V624" i="3"/>
  <c r="U624" i="3"/>
  <c r="G624" i="3"/>
  <c r="H624" i="3" s="1"/>
  <c r="F624" i="3"/>
  <c r="BM624" i="3" s="1"/>
  <c r="AU622" i="3"/>
  <c r="X623" i="3"/>
  <c r="BN624" i="3" l="1"/>
  <c r="BC621" i="3"/>
  <c r="BG621" i="3" s="1"/>
  <c r="BH621" i="3" s="1"/>
  <c r="BI621" i="3" s="1"/>
  <c r="BG620" i="3"/>
  <c r="BH620" i="3" s="1"/>
  <c r="BI620" i="3" s="1"/>
  <c r="AY622" i="3"/>
  <c r="AV622" i="3"/>
  <c r="AT623" i="3"/>
  <c r="AN624" i="3"/>
  <c r="AH624" i="3"/>
  <c r="AU623" i="3"/>
  <c r="BB621" i="3"/>
  <c r="BQ621" i="3"/>
  <c r="BF621" i="3"/>
  <c r="BJ620" i="3" s="1"/>
  <c r="BK620" i="3" s="1"/>
  <c r="AG624" i="3"/>
  <c r="AO624" i="3"/>
  <c r="X624" i="3"/>
  <c r="AW623" i="3"/>
  <c r="BA622" i="3"/>
  <c r="Y624" i="3"/>
  <c r="Z624" i="3" s="1"/>
  <c r="AR625" i="3"/>
  <c r="A626" i="3"/>
  <c r="AQ625" i="3"/>
  <c r="B625" i="3"/>
  <c r="D625" i="3"/>
  <c r="AM625" i="3"/>
  <c r="R625" i="3"/>
  <c r="C625" i="3"/>
  <c r="AK625" i="3"/>
  <c r="S625" i="3"/>
  <c r="Q625" i="3"/>
  <c r="AD625" i="3"/>
  <c r="P625" i="3"/>
  <c r="O625" i="3"/>
  <c r="M625" i="3"/>
  <c r="AE625" i="3"/>
  <c r="AF625" i="3"/>
  <c r="V625" i="3"/>
  <c r="U625" i="3"/>
  <c r="G625" i="3"/>
  <c r="H625" i="3" s="1"/>
  <c r="F625" i="3"/>
  <c r="T625" i="3"/>
  <c r="AX623" i="3"/>
  <c r="BD621" i="3" l="1"/>
  <c r="BC622" i="3"/>
  <c r="BG622" i="3" s="1"/>
  <c r="BH622" i="3" s="1"/>
  <c r="BI622" i="3" s="1"/>
  <c r="BN625" i="3"/>
  <c r="AV623" i="3"/>
  <c r="AN625" i="3"/>
  <c r="BA623" i="3"/>
  <c r="BB623" i="3" s="1"/>
  <c r="AG625" i="3"/>
  <c r="Y625" i="3"/>
  <c r="Z625" i="3" s="1"/>
  <c r="AW624" i="3"/>
  <c r="AX624" i="3"/>
  <c r="AT624" i="3"/>
  <c r="X625" i="3"/>
  <c r="BM625" i="3"/>
  <c r="AO625" i="3"/>
  <c r="AY623" i="3"/>
  <c r="AU624" i="3"/>
  <c r="AR626" i="3"/>
  <c r="AQ626" i="3"/>
  <c r="B626" i="3"/>
  <c r="A627" i="3"/>
  <c r="D626" i="3"/>
  <c r="AK626" i="3"/>
  <c r="T626" i="3"/>
  <c r="Q626" i="3"/>
  <c r="C626" i="3"/>
  <c r="AM626" i="3"/>
  <c r="S626" i="3"/>
  <c r="AD626" i="3"/>
  <c r="P626" i="3"/>
  <c r="M626" i="3"/>
  <c r="AF626" i="3"/>
  <c r="AE626" i="3"/>
  <c r="U626" i="3"/>
  <c r="V626" i="3"/>
  <c r="O626" i="3"/>
  <c r="F626" i="3"/>
  <c r="R626" i="3"/>
  <c r="G626" i="3"/>
  <c r="H626" i="3" s="1"/>
  <c r="BB622" i="3"/>
  <c r="BQ622" i="3"/>
  <c r="BF622" i="3"/>
  <c r="BJ621" i="3" s="1"/>
  <c r="BK621" i="3" s="1"/>
  <c r="AH625" i="3"/>
  <c r="BD622" i="3" l="1"/>
  <c r="AN626" i="3"/>
  <c r="AX625" i="3"/>
  <c r="BC623" i="3"/>
  <c r="BD623" i="3" s="1"/>
  <c r="BQ623" i="3"/>
  <c r="BN626" i="3"/>
  <c r="BF623" i="3"/>
  <c r="BJ622" i="3" s="1"/>
  <c r="BK622" i="3" s="1"/>
  <c r="AY624" i="3"/>
  <c r="BA624" i="3"/>
  <c r="BF624" i="3" s="1"/>
  <c r="AV624" i="3"/>
  <c r="A628" i="3"/>
  <c r="AQ627" i="3"/>
  <c r="AR627" i="3"/>
  <c r="B627" i="3"/>
  <c r="D627" i="3"/>
  <c r="AK627" i="3"/>
  <c r="AM627" i="3"/>
  <c r="C627" i="3"/>
  <c r="Q627" i="3"/>
  <c r="S627" i="3"/>
  <c r="AD627" i="3"/>
  <c r="P627" i="3"/>
  <c r="R627" i="3"/>
  <c r="O627" i="3"/>
  <c r="M627" i="3"/>
  <c r="U627" i="3"/>
  <c r="AF627" i="3"/>
  <c r="AE627" i="3"/>
  <c r="V627" i="3"/>
  <c r="F627" i="3"/>
  <c r="BM627" i="3" s="1"/>
  <c r="G627" i="3"/>
  <c r="H627" i="3" s="1"/>
  <c r="BN627" i="3" s="1"/>
  <c r="T627" i="3"/>
  <c r="BM626" i="3"/>
  <c r="AG626" i="3"/>
  <c r="AH626" i="3"/>
  <c r="AO626" i="3"/>
  <c r="AU625" i="3"/>
  <c r="Y626" i="3"/>
  <c r="Z626" i="3" s="1"/>
  <c r="X626" i="3"/>
  <c r="AT625" i="3"/>
  <c r="AW625" i="3"/>
  <c r="AY625" i="3" l="1"/>
  <c r="BJ623" i="3"/>
  <c r="BK623" i="3" s="1"/>
  <c r="BG623" i="3"/>
  <c r="BH623" i="3" s="1"/>
  <c r="BI623" i="3" s="1"/>
  <c r="BC624" i="3"/>
  <c r="BD624" i="3" s="1"/>
  <c r="BQ624" i="3"/>
  <c r="BB624" i="3"/>
  <c r="AU626" i="3"/>
  <c r="AN627" i="3"/>
  <c r="AT626" i="3"/>
  <c r="AX626" i="3"/>
  <c r="AV625" i="3"/>
  <c r="BA625" i="3"/>
  <c r="AH627" i="3"/>
  <c r="AW626" i="3"/>
  <c r="Y627" i="3"/>
  <c r="Z627" i="3" s="1"/>
  <c r="AG627" i="3"/>
  <c r="X627" i="3"/>
  <c r="AO627" i="3"/>
  <c r="A629" i="3"/>
  <c r="AR628" i="3"/>
  <c r="B628" i="3"/>
  <c r="AQ628" i="3"/>
  <c r="C628" i="3"/>
  <c r="D628" i="3"/>
  <c r="AK628" i="3"/>
  <c r="S628" i="3"/>
  <c r="AM628" i="3"/>
  <c r="Q628" i="3"/>
  <c r="R628" i="3"/>
  <c r="AD628" i="3"/>
  <c r="P628" i="3"/>
  <c r="O628" i="3"/>
  <c r="M628" i="3"/>
  <c r="AE628" i="3"/>
  <c r="AF628" i="3"/>
  <c r="U628" i="3"/>
  <c r="V628" i="3"/>
  <c r="G628" i="3"/>
  <c r="H628" i="3" s="1"/>
  <c r="F628" i="3"/>
  <c r="BM628" i="3" s="1"/>
  <c r="T628" i="3"/>
  <c r="BN628" i="3" l="1"/>
  <c r="BC625" i="3"/>
  <c r="BG625" i="3" s="1"/>
  <c r="BH625" i="3" s="1"/>
  <c r="BI625" i="3" s="1"/>
  <c r="BG624" i="3"/>
  <c r="BH624" i="3" s="1"/>
  <c r="BI624" i="3" s="1"/>
  <c r="AV626" i="3"/>
  <c r="AN628" i="3"/>
  <c r="AY626" i="3"/>
  <c r="AU627" i="3"/>
  <c r="BA626" i="3"/>
  <c r="BQ626" i="3" s="1"/>
  <c r="AR629" i="3"/>
  <c r="A630" i="3"/>
  <c r="AQ629" i="3"/>
  <c r="B629" i="3"/>
  <c r="D629" i="3"/>
  <c r="C629" i="3"/>
  <c r="AK629" i="3"/>
  <c r="AM629" i="3"/>
  <c r="T629" i="3"/>
  <c r="S629" i="3"/>
  <c r="Q629" i="3"/>
  <c r="R629" i="3"/>
  <c r="AD629" i="3"/>
  <c r="O629" i="3"/>
  <c r="M629" i="3"/>
  <c r="AE629" i="3"/>
  <c r="P629" i="3"/>
  <c r="V629" i="3"/>
  <c r="AF629" i="3"/>
  <c r="U629" i="3"/>
  <c r="G629" i="3"/>
  <c r="H629" i="3" s="1"/>
  <c r="BN629" i="3" s="1"/>
  <c r="F629" i="3"/>
  <c r="AO628" i="3"/>
  <c r="Y628" i="3"/>
  <c r="Z628" i="3" s="1"/>
  <c r="AG628" i="3"/>
  <c r="AH628" i="3"/>
  <c r="AX627" i="3"/>
  <c r="AT627" i="3"/>
  <c r="AW627" i="3"/>
  <c r="BB625" i="3"/>
  <c r="BF625" i="3"/>
  <c r="BJ624" i="3" s="1"/>
  <c r="BK624" i="3" s="1"/>
  <c r="BQ625" i="3"/>
  <c r="X628" i="3"/>
  <c r="BM629" i="3" l="1"/>
  <c r="BD625" i="3"/>
  <c r="BC626" i="3"/>
  <c r="BG626" i="3" s="1"/>
  <c r="BH626" i="3" s="1"/>
  <c r="BI626" i="3" s="1"/>
  <c r="AN629" i="3"/>
  <c r="BB626" i="3"/>
  <c r="AT628" i="3"/>
  <c r="AG629" i="3"/>
  <c r="BF626" i="3"/>
  <c r="BJ625" i="3" s="1"/>
  <c r="BK625" i="3" s="1"/>
  <c r="BA627" i="3"/>
  <c r="AV627" i="3"/>
  <c r="Y629" i="3"/>
  <c r="Z629" i="3" s="1"/>
  <c r="AY627" i="3"/>
  <c r="AW628" i="3"/>
  <c r="AH629" i="3"/>
  <c r="AO629" i="3"/>
  <c r="AU628" i="3"/>
  <c r="AX628" i="3"/>
  <c r="AR630" i="3"/>
  <c r="AQ630" i="3"/>
  <c r="B630" i="3"/>
  <c r="A631" i="3"/>
  <c r="C630" i="3"/>
  <c r="AM630" i="3"/>
  <c r="S630" i="3"/>
  <c r="AK630" i="3"/>
  <c r="D630" i="3"/>
  <c r="R630" i="3"/>
  <c r="Q630" i="3"/>
  <c r="P630" i="3"/>
  <c r="AD630" i="3"/>
  <c r="AE630" i="3"/>
  <c r="O630" i="3"/>
  <c r="AF630" i="3"/>
  <c r="V630" i="3"/>
  <c r="M630" i="3"/>
  <c r="U630" i="3"/>
  <c r="G630" i="3"/>
  <c r="H630" i="3" s="1"/>
  <c r="F630" i="3"/>
  <c r="T630" i="3"/>
  <c r="X629" i="3"/>
  <c r="BM630" i="3" l="1"/>
  <c r="BD626" i="3"/>
  <c r="AO630" i="3"/>
  <c r="BN630" i="3"/>
  <c r="AU629" i="3"/>
  <c r="AV628" i="3"/>
  <c r="AW629" i="3"/>
  <c r="BA628" i="3"/>
  <c r="BQ628" i="3" s="1"/>
  <c r="BB627" i="3"/>
  <c r="BF627" i="3"/>
  <c r="BQ627" i="3"/>
  <c r="AH630" i="3"/>
  <c r="X630" i="3"/>
  <c r="AY628" i="3"/>
  <c r="A632" i="3"/>
  <c r="AQ631" i="3"/>
  <c r="AR631" i="3"/>
  <c r="B631" i="3"/>
  <c r="C631" i="3"/>
  <c r="T631" i="3"/>
  <c r="S631" i="3"/>
  <c r="D631" i="3"/>
  <c r="AM631" i="3"/>
  <c r="AK631" i="3"/>
  <c r="R631" i="3"/>
  <c r="AD631" i="3"/>
  <c r="Q631" i="3"/>
  <c r="P631" i="3"/>
  <c r="AF631" i="3"/>
  <c r="U631" i="3"/>
  <c r="O631" i="3"/>
  <c r="AE631" i="3"/>
  <c r="M631" i="3"/>
  <c r="V631" i="3"/>
  <c r="G631" i="3"/>
  <c r="H631" i="3" s="1"/>
  <c r="F631" i="3"/>
  <c r="AT629" i="3"/>
  <c r="AX629" i="3"/>
  <c r="Y630" i="3"/>
  <c r="Z630" i="3" s="1"/>
  <c r="AG630" i="3"/>
  <c r="AN630" i="3"/>
  <c r="BC627" i="3"/>
  <c r="BC628" i="3" l="1"/>
  <c r="BG628" i="3" s="1"/>
  <c r="BH628" i="3" s="1"/>
  <c r="BI628" i="3" s="1"/>
  <c r="BM631" i="3"/>
  <c r="AW630" i="3"/>
  <c r="AO631" i="3"/>
  <c r="BN631" i="3"/>
  <c r="AG631" i="3"/>
  <c r="AY629" i="3"/>
  <c r="AT630" i="3"/>
  <c r="BB628" i="3"/>
  <c r="BF628" i="3"/>
  <c r="BJ627" i="3" s="1"/>
  <c r="BK627" i="3" s="1"/>
  <c r="BD627" i="3"/>
  <c r="BG627" i="3"/>
  <c r="BH627" i="3" s="1"/>
  <c r="BI627" i="3" s="1"/>
  <c r="AV629" i="3"/>
  <c r="BA629" i="3"/>
  <c r="A633" i="3"/>
  <c r="AR632" i="3"/>
  <c r="B632" i="3"/>
  <c r="AQ632" i="3"/>
  <c r="D632" i="3"/>
  <c r="C632" i="3"/>
  <c r="AM632" i="3"/>
  <c r="AK632" i="3"/>
  <c r="T632" i="3"/>
  <c r="R632" i="3"/>
  <c r="Q632" i="3"/>
  <c r="P632" i="3"/>
  <c r="S632" i="3"/>
  <c r="AD632" i="3"/>
  <c r="O632" i="3"/>
  <c r="M632" i="3"/>
  <c r="AE632" i="3"/>
  <c r="AF632" i="3"/>
  <c r="V632" i="3"/>
  <c r="U632" i="3"/>
  <c r="G632" i="3"/>
  <c r="H632" i="3" s="1"/>
  <c r="BN632" i="3" s="1"/>
  <c r="F632" i="3"/>
  <c r="BM632" i="3" s="1"/>
  <c r="BJ626" i="3"/>
  <c r="AN631" i="3"/>
  <c r="X631" i="3"/>
  <c r="Y631" i="3"/>
  <c r="Z631" i="3" s="1"/>
  <c r="AU630" i="3"/>
  <c r="AH631" i="3"/>
  <c r="AX630" i="3"/>
  <c r="BD628" i="3" l="1"/>
  <c r="AY630" i="3"/>
  <c r="AX631" i="3"/>
  <c r="BC629" i="3"/>
  <c r="BG629" i="3" s="1"/>
  <c r="BH629" i="3" s="1"/>
  <c r="BI629" i="3" s="1"/>
  <c r="AG632" i="3"/>
  <c r="AN632" i="3"/>
  <c r="BA630" i="3"/>
  <c r="BB630" i="3" s="1"/>
  <c r="BK626" i="3"/>
  <c r="BK6" i="3" s="1"/>
  <c r="A261" i="2" s="1"/>
  <c r="BK5" i="3"/>
  <c r="A692" i="3" s="1"/>
  <c r="B692" i="3" s="1"/>
  <c r="BF629" i="3"/>
  <c r="BJ628" i="3" s="1"/>
  <c r="BK628" i="3" s="1"/>
  <c r="BB629" i="3"/>
  <c r="BQ629" i="3"/>
  <c r="AU631" i="3"/>
  <c r="AW631" i="3"/>
  <c r="AT631" i="3"/>
  <c r="AH632" i="3"/>
  <c r="AO632" i="3"/>
  <c r="X632" i="3"/>
  <c r="AV630" i="3"/>
  <c r="Y632" i="3"/>
  <c r="Z632" i="3" s="1"/>
  <c r="AR633" i="3"/>
  <c r="A634" i="3"/>
  <c r="AQ633" i="3"/>
  <c r="B633" i="3"/>
  <c r="C633" i="3"/>
  <c r="D633" i="3"/>
  <c r="AK633" i="3"/>
  <c r="S633" i="3"/>
  <c r="Q633" i="3"/>
  <c r="AM633" i="3"/>
  <c r="T633" i="3"/>
  <c r="P633" i="3"/>
  <c r="AD633" i="3"/>
  <c r="O633" i="3"/>
  <c r="AE633" i="3"/>
  <c r="M633" i="3"/>
  <c r="AF633" i="3"/>
  <c r="V633" i="3"/>
  <c r="U633" i="3"/>
  <c r="F633" i="3"/>
  <c r="R633" i="3"/>
  <c r="G633" i="3"/>
  <c r="H633" i="3" s="1"/>
  <c r="BN633" i="3" s="1"/>
  <c r="AY631" i="3" l="1"/>
  <c r="BD629" i="3"/>
  <c r="BC630" i="3"/>
  <c r="BG630" i="3" s="1"/>
  <c r="BH630" i="3" s="1"/>
  <c r="BI630" i="3" s="1"/>
  <c r="AH633" i="3"/>
  <c r="A688" i="3"/>
  <c r="A690" i="3"/>
  <c r="B690" i="3" s="1"/>
  <c r="A691" i="3"/>
  <c r="B691" i="3" s="1"/>
  <c r="A260" i="2"/>
  <c r="C260" i="2"/>
  <c r="B260" i="2"/>
  <c r="B261" i="2"/>
  <c r="BM633" i="3"/>
  <c r="AU632" i="3"/>
  <c r="AT632" i="3"/>
  <c r="AW632" i="3"/>
  <c r="AN633" i="3"/>
  <c r="BF630" i="3"/>
  <c r="BJ629" i="3" s="1"/>
  <c r="BK629" i="3" s="1"/>
  <c r="BQ630" i="3"/>
  <c r="Y633" i="3"/>
  <c r="Z633" i="3" s="1"/>
  <c r="AR634" i="3"/>
  <c r="AQ634" i="3"/>
  <c r="B634" i="3"/>
  <c r="A635" i="3"/>
  <c r="C634" i="3"/>
  <c r="D634" i="3"/>
  <c r="S634" i="3"/>
  <c r="AK634" i="3"/>
  <c r="AM634" i="3"/>
  <c r="T634" i="3"/>
  <c r="R634" i="3"/>
  <c r="AD634" i="3"/>
  <c r="O634" i="3"/>
  <c r="AE634" i="3"/>
  <c r="P634" i="3"/>
  <c r="M634" i="3"/>
  <c r="AF634" i="3"/>
  <c r="V634" i="3"/>
  <c r="U634" i="3"/>
  <c r="F634" i="3"/>
  <c r="Q634" i="3"/>
  <c r="G634" i="3"/>
  <c r="H634" i="3" s="1"/>
  <c r="BN634" i="3" s="1"/>
  <c r="AG633" i="3"/>
  <c r="AO633" i="3"/>
  <c r="X633" i="3"/>
  <c r="AX632" i="3"/>
  <c r="AV631" i="3"/>
  <c r="BA631" i="3"/>
  <c r="BD630" i="3" l="1"/>
  <c r="BC631" i="3"/>
  <c r="BG631" i="3" s="1"/>
  <c r="BH631" i="3" s="1"/>
  <c r="BI631" i="3" s="1"/>
  <c r="AT633" i="3"/>
  <c r="B688" i="3"/>
  <c r="C688" i="3"/>
  <c r="F688" i="3"/>
  <c r="M688" i="3"/>
  <c r="O688" i="3"/>
  <c r="Q688" i="3"/>
  <c r="S688" i="3"/>
  <c r="U688" i="3"/>
  <c r="AE688" i="3"/>
  <c r="AK688" i="3"/>
  <c r="AR688" i="3"/>
  <c r="D688" i="3"/>
  <c r="G688" i="3"/>
  <c r="H688" i="3" s="1"/>
  <c r="P688" i="3"/>
  <c r="R688" i="3"/>
  <c r="T688" i="3"/>
  <c r="V688" i="3"/>
  <c r="AD688" i="3"/>
  <c r="AF688" i="3"/>
  <c r="AM688" i="3"/>
  <c r="AQ688" i="3"/>
  <c r="BM634" i="3"/>
  <c r="AV632" i="3"/>
  <c r="BA632" i="3"/>
  <c r="BQ632" i="3" s="1"/>
  <c r="AG634" i="3"/>
  <c r="AY632" i="3"/>
  <c r="AW633" i="3"/>
  <c r="AO634" i="3"/>
  <c r="BF631" i="3"/>
  <c r="BJ630" i="3" s="1"/>
  <c r="BK630" i="3" s="1"/>
  <c r="BQ631" i="3"/>
  <c r="BB631" i="3"/>
  <c r="Y634" i="3"/>
  <c r="Z634" i="3" s="1"/>
  <c r="A636" i="3"/>
  <c r="AQ635" i="3"/>
  <c r="AR635" i="3"/>
  <c r="B635" i="3"/>
  <c r="C635" i="3"/>
  <c r="AM635" i="3"/>
  <c r="AK635" i="3"/>
  <c r="D635" i="3"/>
  <c r="S635" i="3"/>
  <c r="R635" i="3"/>
  <c r="Q635" i="3"/>
  <c r="AD635" i="3"/>
  <c r="P635" i="3"/>
  <c r="O635" i="3"/>
  <c r="M635" i="3"/>
  <c r="AF635" i="3"/>
  <c r="AE635" i="3"/>
  <c r="V635" i="3"/>
  <c r="U635" i="3"/>
  <c r="G635" i="3"/>
  <c r="H635" i="3" s="1"/>
  <c r="F635" i="3"/>
  <c r="T635" i="3"/>
  <c r="AU633" i="3"/>
  <c r="AX633" i="3"/>
  <c r="AH634" i="3"/>
  <c r="AN634" i="3"/>
  <c r="X634" i="3"/>
  <c r="BM635" i="3" l="1"/>
  <c r="BN635" i="3"/>
  <c r="BD631" i="3"/>
  <c r="AN688" i="3"/>
  <c r="AV633" i="3"/>
  <c r="BF632" i="3"/>
  <c r="BJ631" i="3" s="1"/>
  <c r="BK631" i="3" s="1"/>
  <c r="AH688" i="3"/>
  <c r="AG688" i="3"/>
  <c r="Y688" i="3"/>
  <c r="Z688" i="3" s="1"/>
  <c r="AO688" i="3"/>
  <c r="X688" i="3"/>
  <c r="BC632" i="3"/>
  <c r="BG632" i="3" s="1"/>
  <c r="BH632" i="3" s="1"/>
  <c r="BI632" i="3" s="1"/>
  <c r="BB632" i="3"/>
  <c r="AT634" i="3"/>
  <c r="AY633" i="3"/>
  <c r="AU634" i="3"/>
  <c r="AW634" i="3"/>
  <c r="AG635" i="3"/>
  <c r="AO635" i="3"/>
  <c r="Y635" i="3"/>
  <c r="Z635" i="3" s="1"/>
  <c r="A637" i="3"/>
  <c r="AR636" i="3"/>
  <c r="B636" i="3"/>
  <c r="AQ636" i="3"/>
  <c r="D636" i="3"/>
  <c r="C636" i="3"/>
  <c r="AM636" i="3"/>
  <c r="T636" i="3"/>
  <c r="S636" i="3"/>
  <c r="AK636" i="3"/>
  <c r="Q636" i="3"/>
  <c r="AD636" i="3"/>
  <c r="P636" i="3"/>
  <c r="O636" i="3"/>
  <c r="AE636" i="3"/>
  <c r="M636" i="3"/>
  <c r="AF636" i="3"/>
  <c r="V636" i="3"/>
  <c r="U636" i="3"/>
  <c r="R636" i="3"/>
  <c r="G636" i="3"/>
  <c r="H636" i="3" s="1"/>
  <c r="BN636" i="3" s="1"/>
  <c r="F636" i="3"/>
  <c r="X635" i="3"/>
  <c r="BA633" i="3"/>
  <c r="AX634" i="3"/>
  <c r="AH635" i="3"/>
  <c r="AN635" i="3"/>
  <c r="BM636" i="3" l="1"/>
  <c r="BC633" i="3"/>
  <c r="BD633" i="3" s="1"/>
  <c r="BD632" i="3"/>
  <c r="AV634" i="3"/>
  <c r="AW688" i="3"/>
  <c r="AT688" i="3"/>
  <c r="AU688" i="3"/>
  <c r="AX688" i="3"/>
  <c r="AY634" i="3"/>
  <c r="AN636" i="3"/>
  <c r="AG636" i="3"/>
  <c r="BA634" i="3"/>
  <c r="BQ634" i="3" s="1"/>
  <c r="BQ633" i="3"/>
  <c r="BB633" i="3"/>
  <c r="BF633" i="3"/>
  <c r="BJ632" i="3" s="1"/>
  <c r="BK632" i="3" s="1"/>
  <c r="AX635" i="3"/>
  <c r="AT635" i="3"/>
  <c r="AW635" i="3"/>
  <c r="AU635" i="3"/>
  <c r="AH636" i="3"/>
  <c r="AO636" i="3"/>
  <c r="X636" i="3"/>
  <c r="Y636" i="3"/>
  <c r="Z636" i="3" s="1"/>
  <c r="AR637" i="3"/>
  <c r="A638" i="3"/>
  <c r="AQ637" i="3"/>
  <c r="B637" i="3"/>
  <c r="D637" i="3"/>
  <c r="S637" i="3"/>
  <c r="C637" i="3"/>
  <c r="AK637" i="3"/>
  <c r="AM637" i="3"/>
  <c r="Q637" i="3"/>
  <c r="R637" i="3"/>
  <c r="P637" i="3"/>
  <c r="AD637" i="3"/>
  <c r="AE637" i="3"/>
  <c r="M637" i="3"/>
  <c r="U637" i="3"/>
  <c r="O637" i="3"/>
  <c r="AF637" i="3"/>
  <c r="V637" i="3"/>
  <c r="G637" i="3"/>
  <c r="H637" i="3" s="1"/>
  <c r="F637" i="3"/>
  <c r="T637" i="3"/>
  <c r="BG633" i="3" l="1"/>
  <c r="BH633" i="3" s="1"/>
  <c r="BI633" i="3" s="1"/>
  <c r="BM637" i="3"/>
  <c r="BC634" i="3"/>
  <c r="BD634" i="3" s="1"/>
  <c r="AY688" i="3"/>
  <c r="AV688" i="3"/>
  <c r="BA688" i="3"/>
  <c r="BB688" i="3" s="1"/>
  <c r="AY635" i="3"/>
  <c r="BN637" i="3"/>
  <c r="AN637" i="3"/>
  <c r="AX636" i="3"/>
  <c r="AH637" i="3"/>
  <c r="AT636" i="3"/>
  <c r="AU636" i="3"/>
  <c r="BF634" i="3"/>
  <c r="BJ633" i="3" s="1"/>
  <c r="BK633" i="3" s="1"/>
  <c r="BB634" i="3"/>
  <c r="X637" i="3"/>
  <c r="AR638" i="3"/>
  <c r="AQ638" i="3"/>
  <c r="B638" i="3"/>
  <c r="A639" i="3"/>
  <c r="D638" i="3"/>
  <c r="AM638" i="3"/>
  <c r="AK638" i="3"/>
  <c r="R638" i="3"/>
  <c r="C638" i="3"/>
  <c r="S638" i="3"/>
  <c r="Q638" i="3"/>
  <c r="AD638" i="3"/>
  <c r="P638" i="3"/>
  <c r="O638" i="3"/>
  <c r="M638" i="3"/>
  <c r="AE638" i="3"/>
  <c r="AF638" i="3"/>
  <c r="V638" i="3"/>
  <c r="U638" i="3"/>
  <c r="G638" i="3"/>
  <c r="H638" i="3" s="1"/>
  <c r="F638" i="3"/>
  <c r="T638" i="3"/>
  <c r="BA635" i="3"/>
  <c r="AV635" i="3"/>
  <c r="Y637" i="3"/>
  <c r="Z637" i="3" s="1"/>
  <c r="AG637" i="3"/>
  <c r="AO637" i="3"/>
  <c r="AW636" i="3"/>
  <c r="BM638" i="3" l="1"/>
  <c r="BC635" i="3"/>
  <c r="BG635" i="3" s="1"/>
  <c r="BH635" i="3" s="1"/>
  <c r="BI635" i="3" s="1"/>
  <c r="BG634" i="3"/>
  <c r="BH634" i="3" s="1"/>
  <c r="BI634" i="3" s="1"/>
  <c r="AY636" i="3"/>
  <c r="BC688" i="3"/>
  <c r="BD688" i="3" s="1"/>
  <c r="BN638" i="3"/>
  <c r="AV636" i="3"/>
  <c r="AX637" i="3"/>
  <c r="AO638" i="3"/>
  <c r="Y638" i="3"/>
  <c r="Z638" i="3" s="1"/>
  <c r="BQ635" i="3"/>
  <c r="BB635" i="3"/>
  <c r="BF635" i="3"/>
  <c r="BJ634" i="3" s="1"/>
  <c r="BK634" i="3" s="1"/>
  <c r="X638" i="3"/>
  <c r="AT637" i="3"/>
  <c r="A640" i="3"/>
  <c r="AQ639" i="3"/>
  <c r="AR639" i="3"/>
  <c r="B639" i="3"/>
  <c r="C639" i="3"/>
  <c r="D639" i="3"/>
  <c r="S639" i="3"/>
  <c r="AM639" i="3"/>
  <c r="AK639" i="3"/>
  <c r="Q639" i="3"/>
  <c r="AD639" i="3"/>
  <c r="P639" i="3"/>
  <c r="O639" i="3"/>
  <c r="AE639" i="3"/>
  <c r="U639" i="3"/>
  <c r="M639" i="3"/>
  <c r="AF639" i="3"/>
  <c r="V639" i="3"/>
  <c r="F639" i="3"/>
  <c r="R639" i="3"/>
  <c r="G639" i="3"/>
  <c r="H639" i="3" s="1"/>
  <c r="T639" i="3"/>
  <c r="BA636" i="3"/>
  <c r="AW637" i="3"/>
  <c r="AG638" i="3"/>
  <c r="AH638" i="3"/>
  <c r="AN638" i="3"/>
  <c r="AU637" i="3"/>
  <c r="BM639" i="3" l="1"/>
  <c r="BD635" i="3"/>
  <c r="BC636" i="3"/>
  <c r="BG636" i="3" s="1"/>
  <c r="BH636" i="3" s="1"/>
  <c r="BI636" i="3" s="1"/>
  <c r="BG688" i="3"/>
  <c r="BH688" i="3" s="1"/>
  <c r="BI688" i="3" s="1"/>
  <c r="BN639" i="3"/>
  <c r="AY637" i="3"/>
  <c r="AO639" i="3"/>
  <c r="AU638" i="3"/>
  <c r="BQ636" i="3"/>
  <c r="BF636" i="3"/>
  <c r="BJ635" i="3" s="1"/>
  <c r="BK635" i="3" s="1"/>
  <c r="BB636" i="3"/>
  <c r="AV637" i="3"/>
  <c r="BA637" i="3"/>
  <c r="AH639" i="3"/>
  <c r="X639" i="3"/>
  <c r="AX638" i="3"/>
  <c r="Y639" i="3"/>
  <c r="Z639" i="3" s="1"/>
  <c r="AG639" i="3"/>
  <c r="AN639" i="3"/>
  <c r="A641" i="3"/>
  <c r="AR640" i="3"/>
  <c r="B640" i="3"/>
  <c r="AQ640" i="3"/>
  <c r="C640" i="3"/>
  <c r="AK640" i="3"/>
  <c r="S640" i="3"/>
  <c r="Q640" i="3"/>
  <c r="D640" i="3"/>
  <c r="AM640" i="3"/>
  <c r="R640" i="3"/>
  <c r="AD640" i="3"/>
  <c r="P640" i="3"/>
  <c r="M640" i="3"/>
  <c r="AE640" i="3"/>
  <c r="V640" i="3"/>
  <c r="O640" i="3"/>
  <c r="AF640" i="3"/>
  <c r="U640" i="3"/>
  <c r="F640" i="3"/>
  <c r="G640" i="3"/>
  <c r="H640" i="3" s="1"/>
  <c r="T640" i="3"/>
  <c r="AW638" i="3"/>
  <c r="AT638" i="3"/>
  <c r="BN640" i="3" l="1"/>
  <c r="AU639" i="3"/>
  <c r="BD636" i="3"/>
  <c r="BG690" i="3"/>
  <c r="BH690" i="3" s="1"/>
  <c r="BI690" i="3" s="1"/>
  <c r="BG689" i="3"/>
  <c r="BH689" i="3" s="1"/>
  <c r="BI689" i="3" s="1"/>
  <c r="AT639" i="3"/>
  <c r="BC637" i="3"/>
  <c r="BG637" i="3" s="1"/>
  <c r="BH637" i="3" s="1"/>
  <c r="BI637" i="3" s="1"/>
  <c r="AN640" i="3"/>
  <c r="BM640" i="3"/>
  <c r="Y640" i="3"/>
  <c r="Z640" i="3" s="1"/>
  <c r="BA638" i="3"/>
  <c r="AV638" i="3"/>
  <c r="AR641" i="3"/>
  <c r="A642" i="3"/>
  <c r="AQ641" i="3"/>
  <c r="B641" i="3"/>
  <c r="C641" i="3"/>
  <c r="D641" i="3"/>
  <c r="AM641" i="3"/>
  <c r="AK641" i="3"/>
  <c r="T641" i="3"/>
  <c r="S641" i="3"/>
  <c r="AD641" i="3"/>
  <c r="R641" i="3"/>
  <c r="Q641" i="3"/>
  <c r="P641" i="3"/>
  <c r="O641" i="3"/>
  <c r="AE641" i="3"/>
  <c r="M641" i="3"/>
  <c r="AF641" i="3"/>
  <c r="V641" i="3"/>
  <c r="U641" i="3"/>
  <c r="G641" i="3"/>
  <c r="H641" i="3" s="1"/>
  <c r="F641" i="3"/>
  <c r="BB637" i="3"/>
  <c r="BF637" i="3"/>
  <c r="BJ636" i="3" s="1"/>
  <c r="BK636" i="3" s="1"/>
  <c r="BQ637" i="3"/>
  <c r="AY638" i="3"/>
  <c r="AG640" i="3"/>
  <c r="X640" i="3"/>
  <c r="AW639" i="3"/>
  <c r="AH640" i="3"/>
  <c r="AO640" i="3"/>
  <c r="AX639" i="3"/>
  <c r="AV639" i="3" l="1"/>
  <c r="BD637" i="3"/>
  <c r="BA639" i="3"/>
  <c r="BF639" i="3" s="1"/>
  <c r="AX640" i="3"/>
  <c r="BM641" i="3"/>
  <c r="AO641" i="3"/>
  <c r="AG641" i="3"/>
  <c r="BB638" i="3"/>
  <c r="BF638" i="3"/>
  <c r="BJ637" i="3" s="1"/>
  <c r="BK637" i="3" s="1"/>
  <c r="BQ638" i="3"/>
  <c r="AT640" i="3"/>
  <c r="AW640" i="3"/>
  <c r="AU640" i="3"/>
  <c r="AY639" i="3"/>
  <c r="BN641" i="3"/>
  <c r="AH641" i="3"/>
  <c r="AN641" i="3"/>
  <c r="X641" i="3"/>
  <c r="Y641" i="3"/>
  <c r="Z641" i="3" s="1"/>
  <c r="AR642" i="3"/>
  <c r="AQ642" i="3"/>
  <c r="B642" i="3"/>
  <c r="A643" i="3"/>
  <c r="C642" i="3"/>
  <c r="D642" i="3"/>
  <c r="AK642" i="3"/>
  <c r="S642" i="3"/>
  <c r="R642" i="3"/>
  <c r="Q642" i="3"/>
  <c r="AD642" i="3"/>
  <c r="P642" i="3"/>
  <c r="AM642" i="3"/>
  <c r="AE642" i="3"/>
  <c r="M642" i="3"/>
  <c r="AF642" i="3"/>
  <c r="O642" i="3"/>
  <c r="V642" i="3"/>
  <c r="U642" i="3"/>
  <c r="F642" i="3"/>
  <c r="G642" i="3"/>
  <c r="H642" i="3" s="1"/>
  <c r="T642" i="3"/>
  <c r="BC638" i="3"/>
  <c r="BC639" i="3" l="1"/>
  <c r="BG639" i="3" s="1"/>
  <c r="BH639" i="3" s="1"/>
  <c r="BI639" i="3" s="1"/>
  <c r="AN642" i="3"/>
  <c r="BQ639" i="3"/>
  <c r="BB639" i="3"/>
  <c r="AY640" i="3"/>
  <c r="BM642" i="3"/>
  <c r="AX641" i="3"/>
  <c r="AT641" i="3"/>
  <c r="AG642" i="3"/>
  <c r="Y642" i="3"/>
  <c r="Z642" i="3" s="1"/>
  <c r="A644" i="3"/>
  <c r="AQ643" i="3"/>
  <c r="AR643" i="3"/>
  <c r="B643" i="3"/>
  <c r="D643" i="3"/>
  <c r="AK643" i="3"/>
  <c r="C643" i="3"/>
  <c r="AM643" i="3"/>
  <c r="T643" i="3"/>
  <c r="R643" i="3"/>
  <c r="Q643" i="3"/>
  <c r="AD643" i="3"/>
  <c r="S643" i="3"/>
  <c r="P643" i="3"/>
  <c r="O643" i="3"/>
  <c r="AF643" i="3"/>
  <c r="V643" i="3"/>
  <c r="U643" i="3"/>
  <c r="AE643" i="3"/>
  <c r="M643" i="3"/>
  <c r="G643" i="3"/>
  <c r="H643" i="3" s="1"/>
  <c r="BN643" i="3" s="1"/>
  <c r="F643" i="3"/>
  <c r="BD638" i="3"/>
  <c r="BG638" i="3"/>
  <c r="BH638" i="3" s="1"/>
  <c r="BI638" i="3" s="1"/>
  <c r="AV640" i="3"/>
  <c r="BA640" i="3"/>
  <c r="AH642" i="3"/>
  <c r="BN642" i="3"/>
  <c r="AO642" i="3"/>
  <c r="X642" i="3"/>
  <c r="AU641" i="3"/>
  <c r="BJ638" i="3"/>
  <c r="BK638" i="3" s="1"/>
  <c r="AW641" i="3"/>
  <c r="BD639" i="3" l="1"/>
  <c r="AU642" i="3"/>
  <c r="AN643" i="3"/>
  <c r="BC640" i="3"/>
  <c r="BD640" i="3" s="1"/>
  <c r="AY641" i="3"/>
  <c r="BM643" i="3"/>
  <c r="AV641" i="3"/>
  <c r="AT642" i="3"/>
  <c r="AW642" i="3"/>
  <c r="BB640" i="3"/>
  <c r="BQ640" i="3"/>
  <c r="BF640" i="3"/>
  <c r="BJ639" i="3" s="1"/>
  <c r="BK639" i="3" s="1"/>
  <c r="Y643" i="3"/>
  <c r="Z643" i="3" s="1"/>
  <c r="A645" i="3"/>
  <c r="AR644" i="3"/>
  <c r="B644" i="3"/>
  <c r="AQ644" i="3"/>
  <c r="D644" i="3"/>
  <c r="C644" i="3"/>
  <c r="AK644" i="3"/>
  <c r="AM644" i="3"/>
  <c r="T644" i="3"/>
  <c r="R644" i="3"/>
  <c r="S644" i="3"/>
  <c r="AD644" i="3"/>
  <c r="Q644" i="3"/>
  <c r="P644" i="3"/>
  <c r="O644" i="3"/>
  <c r="U644" i="3"/>
  <c r="V644" i="3"/>
  <c r="M644" i="3"/>
  <c r="AE644" i="3"/>
  <c r="AF644" i="3"/>
  <c r="G644" i="3"/>
  <c r="H644" i="3" s="1"/>
  <c r="BN644" i="3" s="1"/>
  <c r="F644" i="3"/>
  <c r="AH643" i="3"/>
  <c r="BA641" i="3"/>
  <c r="AX642" i="3"/>
  <c r="AG643" i="3"/>
  <c r="X643" i="3"/>
  <c r="AO643" i="3"/>
  <c r="BM644" i="3" l="1"/>
  <c r="AV642" i="3"/>
  <c r="BG640" i="3"/>
  <c r="BH640" i="3" s="1"/>
  <c r="BI640" i="3" s="1"/>
  <c r="BC641" i="3"/>
  <c r="BD641" i="3" s="1"/>
  <c r="AN644" i="3"/>
  <c r="AY642" i="3"/>
  <c r="AT643" i="3"/>
  <c r="BA642" i="3"/>
  <c r="BQ642" i="3" s="1"/>
  <c r="AU643" i="3"/>
  <c r="Y644" i="3"/>
  <c r="Z644" i="3" s="1"/>
  <c r="AR645" i="3"/>
  <c r="A646" i="3"/>
  <c r="AQ645" i="3"/>
  <c r="B645" i="3"/>
  <c r="C645" i="3"/>
  <c r="AM645" i="3"/>
  <c r="S645" i="3"/>
  <c r="R645" i="3"/>
  <c r="Q645" i="3"/>
  <c r="D645" i="3"/>
  <c r="AK645" i="3"/>
  <c r="AD645" i="3"/>
  <c r="P645" i="3"/>
  <c r="O645" i="3"/>
  <c r="M645" i="3"/>
  <c r="AF645" i="3"/>
  <c r="AE645" i="3"/>
  <c r="U645" i="3"/>
  <c r="V645" i="3"/>
  <c r="G645" i="3"/>
  <c r="H645" i="3" s="1"/>
  <c r="F645" i="3"/>
  <c r="BM645" i="3" s="1"/>
  <c r="T645" i="3"/>
  <c r="AX643" i="3"/>
  <c r="AG644" i="3"/>
  <c r="AO644" i="3"/>
  <c r="BQ641" i="3"/>
  <c r="BF641" i="3"/>
  <c r="BJ640" i="3" s="1"/>
  <c r="BK640" i="3" s="1"/>
  <c r="BB641" i="3"/>
  <c r="AW643" i="3"/>
  <c r="AH644" i="3"/>
  <c r="X644" i="3"/>
  <c r="BC642" i="3" l="1"/>
  <c r="BD642" i="3" s="1"/>
  <c r="BN645" i="3"/>
  <c r="BG641" i="3"/>
  <c r="BH641" i="3" s="1"/>
  <c r="BI641" i="3" s="1"/>
  <c r="AO645" i="3"/>
  <c r="AV643" i="3"/>
  <c r="BB642" i="3"/>
  <c r="BF642" i="3"/>
  <c r="BJ641" i="3" s="1"/>
  <c r="BK641" i="3" s="1"/>
  <c r="AX644" i="3"/>
  <c r="AG645" i="3"/>
  <c r="AY643" i="3"/>
  <c r="BA643" i="3"/>
  <c r="BB643" i="3" s="1"/>
  <c r="AR646" i="3"/>
  <c r="AQ646" i="3"/>
  <c r="B646" i="3"/>
  <c r="A647" i="3"/>
  <c r="C646" i="3"/>
  <c r="AM646" i="3"/>
  <c r="T646" i="3"/>
  <c r="D646" i="3"/>
  <c r="AK646" i="3"/>
  <c r="S646" i="3"/>
  <c r="Q646" i="3"/>
  <c r="R646" i="3"/>
  <c r="AD646" i="3"/>
  <c r="P646" i="3"/>
  <c r="O646" i="3"/>
  <c r="AE646" i="3"/>
  <c r="M646" i="3"/>
  <c r="AF646" i="3"/>
  <c r="V646" i="3"/>
  <c r="U646" i="3"/>
  <c r="F646" i="3"/>
  <c r="BM646" i="3" s="1"/>
  <c r="G646" i="3"/>
  <c r="H646" i="3" s="1"/>
  <c r="AW644" i="3"/>
  <c r="AU644" i="3"/>
  <c r="Y645" i="3"/>
  <c r="Z645" i="3" s="1"/>
  <c r="AH645" i="3"/>
  <c r="AN645" i="3"/>
  <c r="AT644" i="3"/>
  <c r="X645" i="3"/>
  <c r="BG642" i="3" l="1"/>
  <c r="BH642" i="3" s="1"/>
  <c r="BI642" i="3" s="1"/>
  <c r="BN646" i="3"/>
  <c r="AY644" i="3"/>
  <c r="BC643" i="3"/>
  <c r="BD643" i="3" s="1"/>
  <c r="BF643" i="3"/>
  <c r="BJ642" i="3" s="1"/>
  <c r="BK642" i="3" s="1"/>
  <c r="AW645" i="3"/>
  <c r="AU645" i="3"/>
  <c r="AG646" i="3"/>
  <c r="AN646" i="3"/>
  <c r="BQ643" i="3"/>
  <c r="AV644" i="3"/>
  <c r="BA644" i="3"/>
  <c r="AT645" i="3"/>
  <c r="AX645" i="3"/>
  <c r="AH646" i="3"/>
  <c r="AO646" i="3"/>
  <c r="X646" i="3"/>
  <c r="Y646" i="3"/>
  <c r="Z646" i="3" s="1"/>
  <c r="A648" i="3"/>
  <c r="AQ647" i="3"/>
  <c r="AR647" i="3"/>
  <c r="B647" i="3"/>
  <c r="C647" i="3"/>
  <c r="AK647" i="3"/>
  <c r="AM647" i="3"/>
  <c r="D647" i="3"/>
  <c r="R647" i="3"/>
  <c r="Q647" i="3"/>
  <c r="S647" i="3"/>
  <c r="AD647" i="3"/>
  <c r="P647" i="3"/>
  <c r="O647" i="3"/>
  <c r="AE647" i="3"/>
  <c r="V647" i="3"/>
  <c r="M647" i="3"/>
  <c r="AF647" i="3"/>
  <c r="U647" i="3"/>
  <c r="G647" i="3"/>
  <c r="H647" i="3" s="1"/>
  <c r="F647" i="3"/>
  <c r="BM647" i="3" s="1"/>
  <c r="T647" i="3"/>
  <c r="BN647" i="3" l="1"/>
  <c r="BC644" i="3"/>
  <c r="BD644" i="3" s="1"/>
  <c r="BG643" i="3"/>
  <c r="BH643" i="3" s="1"/>
  <c r="BI643" i="3" s="1"/>
  <c r="AT646" i="3"/>
  <c r="AU646" i="3"/>
  <c r="AY645" i="3"/>
  <c r="AO647" i="3"/>
  <c r="AW646" i="3"/>
  <c r="AH647" i="3"/>
  <c r="Y647" i="3"/>
  <c r="Z647" i="3" s="1"/>
  <c r="A649" i="3"/>
  <c r="AR648" i="3"/>
  <c r="B648" i="3"/>
  <c r="AQ648" i="3"/>
  <c r="D648" i="3"/>
  <c r="C648" i="3"/>
  <c r="AK648" i="3"/>
  <c r="R648" i="3"/>
  <c r="AM648" i="3"/>
  <c r="S648" i="3"/>
  <c r="Q648" i="3"/>
  <c r="AD648" i="3"/>
  <c r="P648" i="3"/>
  <c r="O648" i="3"/>
  <c r="M648" i="3"/>
  <c r="U648" i="3"/>
  <c r="V648" i="3"/>
  <c r="AF648" i="3"/>
  <c r="AE648" i="3"/>
  <c r="F648" i="3"/>
  <c r="G648" i="3"/>
  <c r="H648" i="3" s="1"/>
  <c r="BN648" i="3" s="1"/>
  <c r="T648" i="3"/>
  <c r="AV645" i="3"/>
  <c r="BA645" i="3"/>
  <c r="AG647" i="3"/>
  <c r="AN647" i="3"/>
  <c r="X647" i="3"/>
  <c r="AX646" i="3"/>
  <c r="BQ644" i="3"/>
  <c r="BF644" i="3"/>
  <c r="BJ643" i="3" s="1"/>
  <c r="BK643" i="3" s="1"/>
  <c r="BB644" i="3"/>
  <c r="BG644" i="3" l="1"/>
  <c r="BH644" i="3" s="1"/>
  <c r="BI644" i="3" s="1"/>
  <c r="BM648" i="3"/>
  <c r="AV646" i="3"/>
  <c r="AN648" i="3"/>
  <c r="BC645" i="3"/>
  <c r="BD645" i="3" s="1"/>
  <c r="BA646" i="3"/>
  <c r="BB646" i="3" s="1"/>
  <c r="AT647" i="3"/>
  <c r="AU647" i="3"/>
  <c r="AX647" i="3"/>
  <c r="BB645" i="3"/>
  <c r="BF645" i="3"/>
  <c r="BJ644" i="3" s="1"/>
  <c r="BK644" i="3" s="1"/>
  <c r="BQ645" i="3"/>
  <c r="AW647" i="3"/>
  <c r="Y648" i="3"/>
  <c r="Z648" i="3" s="1"/>
  <c r="X648" i="3"/>
  <c r="AY646" i="3"/>
  <c r="AH648" i="3"/>
  <c r="AG648" i="3"/>
  <c r="AR649" i="3"/>
  <c r="A650" i="3"/>
  <c r="AQ649" i="3"/>
  <c r="B649" i="3"/>
  <c r="C649" i="3"/>
  <c r="D649" i="3"/>
  <c r="AM649" i="3"/>
  <c r="AK649" i="3"/>
  <c r="R649" i="3"/>
  <c r="Q649" i="3"/>
  <c r="S649" i="3"/>
  <c r="AD649" i="3"/>
  <c r="P649" i="3"/>
  <c r="O649" i="3"/>
  <c r="M649" i="3"/>
  <c r="AE649" i="3"/>
  <c r="AF649" i="3"/>
  <c r="V649" i="3"/>
  <c r="U649" i="3"/>
  <c r="F649" i="3"/>
  <c r="G649" i="3"/>
  <c r="H649" i="3" s="1"/>
  <c r="T649" i="3"/>
  <c r="AO648" i="3"/>
  <c r="BC646" i="3" l="1"/>
  <c r="BG646" i="3" s="1"/>
  <c r="BH646" i="3" s="1"/>
  <c r="BI646" i="3" s="1"/>
  <c r="BG645" i="3"/>
  <c r="BH645" i="3" s="1"/>
  <c r="BI645" i="3" s="1"/>
  <c r="BQ646" i="3"/>
  <c r="BN649" i="3"/>
  <c r="BF646" i="3"/>
  <c r="BJ645" i="3" s="1"/>
  <c r="BK645" i="3" s="1"/>
  <c r="AY647" i="3"/>
  <c r="AV647" i="3"/>
  <c r="AW648" i="3"/>
  <c r="AN649" i="3"/>
  <c r="BA647" i="3"/>
  <c r="BF647" i="3" s="1"/>
  <c r="AR650" i="3"/>
  <c r="AQ650" i="3"/>
  <c r="B650" i="3"/>
  <c r="A651" i="3"/>
  <c r="C650" i="3"/>
  <c r="D650" i="3"/>
  <c r="S650" i="3"/>
  <c r="Q650" i="3"/>
  <c r="R650" i="3"/>
  <c r="AM650" i="3"/>
  <c r="AK650" i="3"/>
  <c r="AD650" i="3"/>
  <c r="P650" i="3"/>
  <c r="O650" i="3"/>
  <c r="M650" i="3"/>
  <c r="AF650" i="3"/>
  <c r="U650" i="3"/>
  <c r="V650" i="3"/>
  <c r="AE650" i="3"/>
  <c r="G650" i="3"/>
  <c r="H650" i="3" s="1"/>
  <c r="F650" i="3"/>
  <c r="BM650" i="3" s="1"/>
  <c r="T650" i="3"/>
  <c r="X649" i="3"/>
  <c r="Y649" i="3"/>
  <c r="Z649" i="3" s="1"/>
  <c r="BM649" i="3"/>
  <c r="AG649" i="3"/>
  <c r="AH649" i="3"/>
  <c r="AO649" i="3"/>
  <c r="AU648" i="3"/>
  <c r="AX648" i="3"/>
  <c r="AT648" i="3"/>
  <c r="BD646" i="3" l="1"/>
  <c r="BN650" i="3"/>
  <c r="BJ646" i="3"/>
  <c r="BK646" i="3" s="1"/>
  <c r="AY648" i="3"/>
  <c r="BC647" i="3"/>
  <c r="BG647" i="3" s="1"/>
  <c r="BH647" i="3" s="1"/>
  <c r="BI647" i="3" s="1"/>
  <c r="AT649" i="3"/>
  <c r="BQ647" i="3"/>
  <c r="BB647" i="3"/>
  <c r="AU649" i="3"/>
  <c r="AW649" i="3"/>
  <c r="AV648" i="3"/>
  <c r="BA648" i="3"/>
  <c r="AN650" i="3"/>
  <c r="AO650" i="3"/>
  <c r="Y650" i="3"/>
  <c r="Z650" i="3" s="1"/>
  <c r="AX649" i="3"/>
  <c r="AG650" i="3"/>
  <c r="X650" i="3"/>
  <c r="A652" i="3"/>
  <c r="AQ651" i="3"/>
  <c r="AR651" i="3"/>
  <c r="B651" i="3"/>
  <c r="C651" i="3"/>
  <c r="AM651" i="3"/>
  <c r="AK651" i="3"/>
  <c r="T651" i="3"/>
  <c r="S651" i="3"/>
  <c r="R651" i="3"/>
  <c r="Q651" i="3"/>
  <c r="D651" i="3"/>
  <c r="AD651" i="3"/>
  <c r="O651" i="3"/>
  <c r="M651" i="3"/>
  <c r="U651" i="3"/>
  <c r="V651" i="3"/>
  <c r="P651" i="3"/>
  <c r="AE651" i="3"/>
  <c r="AF651" i="3"/>
  <c r="G651" i="3"/>
  <c r="H651" i="3" s="1"/>
  <c r="F651" i="3"/>
  <c r="AH650" i="3"/>
  <c r="BD647" i="3" l="1"/>
  <c r="BC648" i="3"/>
  <c r="BD648" i="3" s="1"/>
  <c r="BM651" i="3"/>
  <c r="AN651" i="3"/>
  <c r="AV649" i="3"/>
  <c r="AH651" i="3"/>
  <c r="AW650" i="3"/>
  <c r="AY649" i="3"/>
  <c r="BB648" i="3"/>
  <c r="BF648" i="3"/>
  <c r="BJ647" i="3" s="1"/>
  <c r="BK647" i="3" s="1"/>
  <c r="BQ648" i="3"/>
  <c r="A653" i="3"/>
  <c r="AR652" i="3"/>
  <c r="B652" i="3"/>
  <c r="AQ652" i="3"/>
  <c r="D652" i="3"/>
  <c r="C652" i="3"/>
  <c r="AK652" i="3"/>
  <c r="AM652" i="3"/>
  <c r="Q652" i="3"/>
  <c r="S652" i="3"/>
  <c r="R652" i="3"/>
  <c r="AD652" i="3"/>
  <c r="P652" i="3"/>
  <c r="O652" i="3"/>
  <c r="AF652" i="3"/>
  <c r="AE652" i="3"/>
  <c r="U652" i="3"/>
  <c r="M652" i="3"/>
  <c r="V652" i="3"/>
  <c r="G652" i="3"/>
  <c r="H652" i="3" s="1"/>
  <c r="F652" i="3"/>
  <c r="T652" i="3"/>
  <c r="AU650" i="3"/>
  <c r="AX650" i="3"/>
  <c r="BN651" i="3"/>
  <c r="AG651" i="3"/>
  <c r="AO651" i="3"/>
  <c r="X651" i="3"/>
  <c r="BA649" i="3"/>
  <c r="Y651" i="3"/>
  <c r="Z651" i="3" s="1"/>
  <c r="AT650" i="3"/>
  <c r="AY650" i="3" l="1"/>
  <c r="BG648" i="3"/>
  <c r="BH648" i="3" s="1"/>
  <c r="BI648" i="3" s="1"/>
  <c r="BM652" i="3"/>
  <c r="AO652" i="3"/>
  <c r="BC649" i="3"/>
  <c r="BG649" i="3" s="1"/>
  <c r="BH649" i="3" s="1"/>
  <c r="BI649" i="3" s="1"/>
  <c r="AW651" i="3"/>
  <c r="AU651" i="3"/>
  <c r="AV650" i="3"/>
  <c r="BA650" i="3"/>
  <c r="AX651" i="3"/>
  <c r="AT651" i="3"/>
  <c r="Y652" i="3"/>
  <c r="Z652" i="3" s="1"/>
  <c r="BN652" i="3"/>
  <c r="AG652" i="3"/>
  <c r="AH652" i="3"/>
  <c r="AN652" i="3"/>
  <c r="X652" i="3"/>
  <c r="BF649" i="3"/>
  <c r="BJ648" i="3" s="1"/>
  <c r="BK648" i="3" s="1"/>
  <c r="BB649" i="3"/>
  <c r="BQ649" i="3"/>
  <c r="AQ653" i="3"/>
  <c r="B653" i="3"/>
  <c r="A654" i="3"/>
  <c r="AR653" i="3"/>
  <c r="C653" i="3"/>
  <c r="S653" i="3"/>
  <c r="Q653" i="3"/>
  <c r="D653" i="3"/>
  <c r="AK653" i="3"/>
  <c r="AM653" i="3"/>
  <c r="T653" i="3"/>
  <c r="R653" i="3"/>
  <c r="AD653" i="3"/>
  <c r="P653" i="3"/>
  <c r="O653" i="3"/>
  <c r="AE653" i="3"/>
  <c r="AF653" i="3"/>
  <c r="V653" i="3"/>
  <c r="U653" i="3"/>
  <c r="M653" i="3"/>
  <c r="G653" i="3"/>
  <c r="H653" i="3" s="1"/>
  <c r="F653" i="3"/>
  <c r="BC650" i="3" l="1"/>
  <c r="BD650" i="3" s="1"/>
  <c r="BN653" i="3"/>
  <c r="BD649" i="3"/>
  <c r="AY651" i="3"/>
  <c r="AT652" i="3"/>
  <c r="AO653" i="3"/>
  <c r="AX652" i="3"/>
  <c r="AR654" i="3"/>
  <c r="AQ654" i="3"/>
  <c r="B654" i="3"/>
  <c r="A655" i="3"/>
  <c r="C654" i="3"/>
  <c r="S654" i="3"/>
  <c r="AM654" i="3"/>
  <c r="AK654" i="3"/>
  <c r="D654" i="3"/>
  <c r="T654" i="3"/>
  <c r="R654" i="3"/>
  <c r="Q654" i="3"/>
  <c r="AD654" i="3"/>
  <c r="P654" i="3"/>
  <c r="AE654" i="3"/>
  <c r="V654" i="3"/>
  <c r="O654" i="3"/>
  <c r="M654" i="3"/>
  <c r="AF654" i="3"/>
  <c r="U654" i="3"/>
  <c r="G654" i="3"/>
  <c r="H654" i="3" s="1"/>
  <c r="F654" i="3"/>
  <c r="Y653" i="3"/>
  <c r="Z653" i="3" s="1"/>
  <c r="BB650" i="3"/>
  <c r="BQ650" i="3"/>
  <c r="BF650" i="3"/>
  <c r="BJ649" i="3" s="1"/>
  <c r="BK649" i="3" s="1"/>
  <c r="BM653" i="3"/>
  <c r="AG653" i="3"/>
  <c r="AN653" i="3"/>
  <c r="AU652" i="3"/>
  <c r="AW652" i="3"/>
  <c r="AV651" i="3"/>
  <c r="BA651" i="3"/>
  <c r="AH653" i="3"/>
  <c r="X653" i="3"/>
  <c r="BN654" i="3" l="1"/>
  <c r="BG650" i="3"/>
  <c r="BH650" i="3" s="1"/>
  <c r="BI650" i="3" s="1"/>
  <c r="AV652" i="3"/>
  <c r="BC651" i="3"/>
  <c r="BG651" i="3" s="1"/>
  <c r="BH651" i="3" s="1"/>
  <c r="BI651" i="3" s="1"/>
  <c r="BM654" i="3"/>
  <c r="AO654" i="3"/>
  <c r="AH654" i="3"/>
  <c r="AX653" i="3"/>
  <c r="AY652" i="3"/>
  <c r="BA652" i="3"/>
  <c r="BQ652" i="3" s="1"/>
  <c r="AU653" i="3"/>
  <c r="BF651" i="3"/>
  <c r="BJ650" i="3" s="1"/>
  <c r="BK650" i="3" s="1"/>
  <c r="BQ651" i="3"/>
  <c r="BB651" i="3"/>
  <c r="AT653" i="3"/>
  <c r="AW653" i="3"/>
  <c r="AG654" i="3"/>
  <c r="Y654" i="3"/>
  <c r="Z654" i="3" s="1"/>
  <c r="AN654" i="3"/>
  <c r="X654" i="3"/>
  <c r="A656" i="3"/>
  <c r="AQ655" i="3"/>
  <c r="AR655" i="3"/>
  <c r="B655" i="3"/>
  <c r="C655" i="3"/>
  <c r="D655" i="3"/>
  <c r="AM655" i="3"/>
  <c r="T655" i="3"/>
  <c r="Q655" i="3"/>
  <c r="S655" i="3"/>
  <c r="R655" i="3"/>
  <c r="AD655" i="3"/>
  <c r="AK655" i="3"/>
  <c r="O655" i="3"/>
  <c r="M655" i="3"/>
  <c r="P655" i="3"/>
  <c r="AE655" i="3"/>
  <c r="AF655" i="3"/>
  <c r="U655" i="3"/>
  <c r="V655" i="3"/>
  <c r="G655" i="3"/>
  <c r="H655" i="3" s="1"/>
  <c r="F655" i="3"/>
  <c r="BC652" i="3" l="1"/>
  <c r="BD652" i="3" s="1"/>
  <c r="AO655" i="3"/>
  <c r="BD651" i="3"/>
  <c r="BM655" i="3"/>
  <c r="BN655" i="3"/>
  <c r="AT654" i="3"/>
  <c r="AX654" i="3"/>
  <c r="AU654" i="3"/>
  <c r="AV653" i="3"/>
  <c r="AY653" i="3"/>
  <c r="BF652" i="3"/>
  <c r="BJ651" i="3" s="1"/>
  <c r="BK651" i="3" s="1"/>
  <c r="BB652" i="3"/>
  <c r="BA653" i="3"/>
  <c r="BF653" i="3" s="1"/>
  <c r="AG655" i="3"/>
  <c r="Y655" i="3"/>
  <c r="Z655" i="3" s="1"/>
  <c r="AH655" i="3"/>
  <c r="AW654" i="3"/>
  <c r="A657" i="3"/>
  <c r="AR656" i="3"/>
  <c r="B656" i="3"/>
  <c r="AQ656" i="3"/>
  <c r="C656" i="3"/>
  <c r="D656" i="3"/>
  <c r="AK656" i="3"/>
  <c r="T656" i="3"/>
  <c r="S656" i="3"/>
  <c r="AM656" i="3"/>
  <c r="R656" i="3"/>
  <c r="Q656" i="3"/>
  <c r="AD656" i="3"/>
  <c r="O656" i="3"/>
  <c r="AF656" i="3"/>
  <c r="AE656" i="3"/>
  <c r="M656" i="3"/>
  <c r="U656" i="3"/>
  <c r="P656" i="3"/>
  <c r="V656" i="3"/>
  <c r="F656" i="3"/>
  <c r="BM656" i="3" s="1"/>
  <c r="G656" i="3"/>
  <c r="H656" i="3" s="1"/>
  <c r="AN655" i="3"/>
  <c r="X655" i="3"/>
  <c r="BN656" i="3" l="1"/>
  <c r="BG652" i="3"/>
  <c r="BH652" i="3" s="1"/>
  <c r="BI652" i="3" s="1"/>
  <c r="AV654" i="3"/>
  <c r="BJ652" i="3"/>
  <c r="BK652" i="3" s="1"/>
  <c r="AT655" i="3"/>
  <c r="BC653" i="3"/>
  <c r="BD653" i="3" s="1"/>
  <c r="AY654" i="3"/>
  <c r="BB653" i="3"/>
  <c r="BQ653" i="3"/>
  <c r="AN656" i="3"/>
  <c r="AG656" i="3"/>
  <c r="AR657" i="3"/>
  <c r="A658" i="3"/>
  <c r="AQ657" i="3"/>
  <c r="B657" i="3"/>
  <c r="C657" i="3"/>
  <c r="Q657" i="3"/>
  <c r="R657" i="3"/>
  <c r="D657" i="3"/>
  <c r="AM657" i="3"/>
  <c r="AK657" i="3"/>
  <c r="S657" i="3"/>
  <c r="AD657" i="3"/>
  <c r="P657" i="3"/>
  <c r="O657" i="3"/>
  <c r="AE657" i="3"/>
  <c r="M657" i="3"/>
  <c r="V657" i="3"/>
  <c r="U657" i="3"/>
  <c r="AF657" i="3"/>
  <c r="F657" i="3"/>
  <c r="G657" i="3"/>
  <c r="H657" i="3" s="1"/>
  <c r="T657" i="3"/>
  <c r="Y656" i="3"/>
  <c r="Z656" i="3" s="1"/>
  <c r="AX655" i="3"/>
  <c r="AW655" i="3"/>
  <c r="AH656" i="3"/>
  <c r="AO656" i="3"/>
  <c r="X656" i="3"/>
  <c r="AU655" i="3"/>
  <c r="BA654" i="3"/>
  <c r="BC654" i="3" l="1"/>
  <c r="BD654" i="3" s="1"/>
  <c r="BG653" i="3"/>
  <c r="BH653" i="3" s="1"/>
  <c r="BI653" i="3" s="1"/>
  <c r="AY655" i="3"/>
  <c r="BM657" i="3"/>
  <c r="BA655" i="3"/>
  <c r="BF655" i="3" s="1"/>
  <c r="AO657" i="3"/>
  <c r="AX656" i="3"/>
  <c r="AV655" i="3"/>
  <c r="Y657" i="3"/>
  <c r="Z657" i="3" s="1"/>
  <c r="BB654" i="3"/>
  <c r="BQ654" i="3"/>
  <c r="BF654" i="3"/>
  <c r="AR658" i="3"/>
  <c r="B658" i="3"/>
  <c r="AQ658" i="3"/>
  <c r="A659" i="3"/>
  <c r="C658" i="3"/>
  <c r="AK658" i="3"/>
  <c r="D658" i="3"/>
  <c r="AM658" i="3"/>
  <c r="T658" i="3"/>
  <c r="S658" i="3"/>
  <c r="Q658" i="3"/>
  <c r="AD658" i="3"/>
  <c r="P658" i="3"/>
  <c r="AE658" i="3"/>
  <c r="O658" i="3"/>
  <c r="U658" i="3"/>
  <c r="V658" i="3"/>
  <c r="M658" i="3"/>
  <c r="AF658" i="3"/>
  <c r="R658" i="3"/>
  <c r="G658" i="3"/>
  <c r="H658" i="3" s="1"/>
  <c r="F658" i="3"/>
  <c r="AT656" i="3"/>
  <c r="AU656" i="3"/>
  <c r="AW656" i="3"/>
  <c r="BN657" i="3"/>
  <c r="AH657" i="3"/>
  <c r="AG657" i="3"/>
  <c r="AN657" i="3"/>
  <c r="X657" i="3"/>
  <c r="BG654" i="3" l="1"/>
  <c r="BH654" i="3" s="1"/>
  <c r="BI654" i="3" s="1"/>
  <c r="BN658" i="3"/>
  <c r="AY656" i="3"/>
  <c r="AN658" i="3"/>
  <c r="BQ655" i="3"/>
  <c r="BC655" i="3"/>
  <c r="BD655" i="3" s="1"/>
  <c r="BM658" i="3"/>
  <c r="AG658" i="3"/>
  <c r="BB655" i="3"/>
  <c r="AU657" i="3"/>
  <c r="AV656" i="3"/>
  <c r="AR659" i="3"/>
  <c r="B659" i="3"/>
  <c r="AQ659" i="3"/>
  <c r="A660" i="3"/>
  <c r="C659" i="3"/>
  <c r="D659" i="3"/>
  <c r="AM659" i="3"/>
  <c r="AK659" i="3"/>
  <c r="S659" i="3"/>
  <c r="Q659" i="3"/>
  <c r="R659" i="3"/>
  <c r="P659" i="3"/>
  <c r="AD659" i="3"/>
  <c r="AE659" i="3"/>
  <c r="U659" i="3"/>
  <c r="O659" i="3"/>
  <c r="M659" i="3"/>
  <c r="AF659" i="3"/>
  <c r="V659" i="3"/>
  <c r="G659" i="3"/>
  <c r="H659" i="3" s="1"/>
  <c r="F659" i="3"/>
  <c r="T659" i="3"/>
  <c r="BJ654" i="3"/>
  <c r="BK654" i="3" s="1"/>
  <c r="BJ653" i="3"/>
  <c r="BK653" i="3" s="1"/>
  <c r="Y658" i="3"/>
  <c r="Z658" i="3" s="1"/>
  <c r="AX657" i="3"/>
  <c r="AH658" i="3"/>
  <c r="AO658" i="3"/>
  <c r="AT657" i="3"/>
  <c r="AW657" i="3"/>
  <c r="BA656" i="3"/>
  <c r="X658" i="3"/>
  <c r="BM659" i="3" l="1"/>
  <c r="BN659" i="3"/>
  <c r="BG655" i="3"/>
  <c r="BH655" i="3" s="1"/>
  <c r="BI655" i="3" s="1"/>
  <c r="BC656" i="3"/>
  <c r="BG656" i="3" s="1"/>
  <c r="BH656" i="3" s="1"/>
  <c r="BI656" i="3" s="1"/>
  <c r="AT658" i="3"/>
  <c r="AY657" i="3"/>
  <c r="AU658" i="3"/>
  <c r="AW658" i="3"/>
  <c r="Y659" i="3"/>
  <c r="Z659" i="3" s="1"/>
  <c r="AO659" i="3"/>
  <c r="A661" i="3"/>
  <c r="AR660" i="3"/>
  <c r="B660" i="3"/>
  <c r="AQ660" i="3"/>
  <c r="D660" i="3"/>
  <c r="AM660" i="3"/>
  <c r="C660" i="3"/>
  <c r="S660" i="3"/>
  <c r="AD660" i="3"/>
  <c r="P660" i="3"/>
  <c r="AK660" i="3"/>
  <c r="R660" i="3"/>
  <c r="Q660" i="3"/>
  <c r="O660" i="3"/>
  <c r="AF660" i="3"/>
  <c r="AE660" i="3"/>
  <c r="M660" i="3"/>
  <c r="V660" i="3"/>
  <c r="F660" i="3"/>
  <c r="U660" i="3"/>
  <c r="G660" i="3"/>
  <c r="H660" i="3" s="1"/>
  <c r="BN660" i="3" s="1"/>
  <c r="T660" i="3"/>
  <c r="BF656" i="3"/>
  <c r="BJ655" i="3" s="1"/>
  <c r="BK655" i="3" s="1"/>
  <c r="BQ656" i="3"/>
  <c r="BB656" i="3"/>
  <c r="AV657" i="3"/>
  <c r="BA657" i="3"/>
  <c r="AG659" i="3"/>
  <c r="AX658" i="3"/>
  <c r="AH659" i="3"/>
  <c r="AN659" i="3"/>
  <c r="X659" i="3"/>
  <c r="BM660" i="3" l="1"/>
  <c r="AY658" i="3"/>
  <c r="BD656" i="3"/>
  <c r="AV658" i="3"/>
  <c r="BC657" i="3"/>
  <c r="BD657" i="3" s="1"/>
  <c r="AO660" i="3"/>
  <c r="AX659" i="3"/>
  <c r="AT659" i="3"/>
  <c r="BQ657" i="3"/>
  <c r="BB657" i="3"/>
  <c r="BF657" i="3"/>
  <c r="AQ661" i="3"/>
  <c r="B661" i="3"/>
  <c r="A662" i="3"/>
  <c r="AR661" i="3"/>
  <c r="C661" i="3"/>
  <c r="D661" i="3"/>
  <c r="AM661" i="3"/>
  <c r="T661" i="3"/>
  <c r="AK661" i="3"/>
  <c r="R661" i="3"/>
  <c r="Q661" i="3"/>
  <c r="AD661" i="3"/>
  <c r="S661" i="3"/>
  <c r="M661" i="3"/>
  <c r="AF661" i="3"/>
  <c r="V661" i="3"/>
  <c r="P661" i="3"/>
  <c r="O661" i="3"/>
  <c r="AE661" i="3"/>
  <c r="U661" i="3"/>
  <c r="G661" i="3"/>
  <c r="H661" i="3" s="1"/>
  <c r="F661" i="3"/>
  <c r="AH660" i="3"/>
  <c r="X660" i="3"/>
  <c r="AU659" i="3"/>
  <c r="AW659" i="3"/>
  <c r="Y660" i="3"/>
  <c r="Z660" i="3" s="1"/>
  <c r="AG660" i="3"/>
  <c r="AN660" i="3"/>
  <c r="BA658" i="3"/>
  <c r="AO661" i="3" l="1"/>
  <c r="BC658" i="3"/>
  <c r="BG658" i="3" s="1"/>
  <c r="BH658" i="3" s="1"/>
  <c r="BI658" i="3" s="1"/>
  <c r="BG657" i="3"/>
  <c r="BH657" i="3" s="1"/>
  <c r="BI657" i="3" s="1"/>
  <c r="BN661" i="3"/>
  <c r="AY659" i="3"/>
  <c r="AV659" i="3"/>
  <c r="AU660" i="3"/>
  <c r="AG661" i="3"/>
  <c r="AW660" i="3"/>
  <c r="BA659" i="3"/>
  <c r="BQ659" i="3" s="1"/>
  <c r="AT660" i="3"/>
  <c r="AX660" i="3"/>
  <c r="AR662" i="3"/>
  <c r="AQ662" i="3"/>
  <c r="B662" i="3"/>
  <c r="A663" i="3"/>
  <c r="C662" i="3"/>
  <c r="D662" i="3"/>
  <c r="S662" i="3"/>
  <c r="AK662" i="3"/>
  <c r="AM662" i="3"/>
  <c r="R662" i="3"/>
  <c r="Q662" i="3"/>
  <c r="AD662" i="3"/>
  <c r="P662" i="3"/>
  <c r="AE662" i="3"/>
  <c r="AF662" i="3"/>
  <c r="V662" i="3"/>
  <c r="O662" i="3"/>
  <c r="M662" i="3"/>
  <c r="U662" i="3"/>
  <c r="G662" i="3"/>
  <c r="H662" i="3" s="1"/>
  <c r="F662" i="3"/>
  <c r="BM662" i="3" s="1"/>
  <c r="T662" i="3"/>
  <c r="BQ658" i="3"/>
  <c r="BF658" i="3"/>
  <c r="BJ657" i="3" s="1"/>
  <c r="BK657" i="3" s="1"/>
  <c r="BB658" i="3"/>
  <c r="Y661" i="3"/>
  <c r="Z661" i="3" s="1"/>
  <c r="BJ656" i="3"/>
  <c r="BK656" i="3" s="1"/>
  <c r="AH661" i="3"/>
  <c r="AN661" i="3"/>
  <c r="X661" i="3"/>
  <c r="BM661" i="3"/>
  <c r="AU661" i="3" l="1"/>
  <c r="BN662" i="3"/>
  <c r="BD658" i="3"/>
  <c r="BC659" i="3"/>
  <c r="BG659" i="3" s="1"/>
  <c r="BH659" i="3" s="1"/>
  <c r="BI659" i="3" s="1"/>
  <c r="AY660" i="3"/>
  <c r="AN662" i="3"/>
  <c r="AT661" i="3"/>
  <c r="AW661" i="3"/>
  <c r="AH662" i="3"/>
  <c r="BF659" i="3"/>
  <c r="BJ658" i="3" s="1"/>
  <c r="BK658" i="3" s="1"/>
  <c r="BB659" i="3"/>
  <c r="AV660" i="3"/>
  <c r="BA660" i="3"/>
  <c r="AR663" i="3"/>
  <c r="A664" i="3"/>
  <c r="AQ663" i="3"/>
  <c r="B663" i="3"/>
  <c r="C663" i="3"/>
  <c r="AM663" i="3"/>
  <c r="Q663" i="3"/>
  <c r="D663" i="3"/>
  <c r="AK663" i="3"/>
  <c r="T663" i="3"/>
  <c r="S663" i="3"/>
  <c r="R663" i="3"/>
  <c r="AD663" i="3"/>
  <c r="P663" i="3"/>
  <c r="O663" i="3"/>
  <c r="AE663" i="3"/>
  <c r="M663" i="3"/>
  <c r="AF663" i="3"/>
  <c r="V663" i="3"/>
  <c r="U663" i="3"/>
  <c r="F663" i="3"/>
  <c r="BM663" i="3" s="1"/>
  <c r="G663" i="3"/>
  <c r="H663" i="3" s="1"/>
  <c r="X662" i="3"/>
  <c r="AX661" i="3"/>
  <c r="Y662" i="3"/>
  <c r="Z662" i="3" s="1"/>
  <c r="AG662" i="3"/>
  <c r="AO662" i="3"/>
  <c r="AV661" i="3" l="1"/>
  <c r="BN663" i="3"/>
  <c r="BD659" i="3"/>
  <c r="AU662" i="3"/>
  <c r="BC660" i="3"/>
  <c r="BD660" i="3" s="1"/>
  <c r="AN663" i="3"/>
  <c r="AY661" i="3"/>
  <c r="Y663" i="3"/>
  <c r="Z663" i="3" s="1"/>
  <c r="A665" i="3"/>
  <c r="AR664" i="3"/>
  <c r="B664" i="3"/>
  <c r="AQ664" i="3"/>
  <c r="C664" i="3"/>
  <c r="D664" i="3"/>
  <c r="AK664" i="3"/>
  <c r="S664" i="3"/>
  <c r="Q664" i="3"/>
  <c r="AM664" i="3"/>
  <c r="AD664" i="3"/>
  <c r="P664" i="3"/>
  <c r="T664" i="3"/>
  <c r="R664" i="3"/>
  <c r="AF664" i="3"/>
  <c r="U664" i="3"/>
  <c r="O664" i="3"/>
  <c r="AE664" i="3"/>
  <c r="M664" i="3"/>
  <c r="V664" i="3"/>
  <c r="G664" i="3"/>
  <c r="H664" i="3" s="1"/>
  <c r="F664" i="3"/>
  <c r="BB660" i="3"/>
  <c r="BQ660" i="3"/>
  <c r="BF660" i="3"/>
  <c r="BJ659" i="3" s="1"/>
  <c r="BK659" i="3" s="1"/>
  <c r="AG663" i="3"/>
  <c r="AW662" i="3"/>
  <c r="AT662" i="3"/>
  <c r="AX662" i="3"/>
  <c r="AH663" i="3"/>
  <c r="AO663" i="3"/>
  <c r="X663" i="3"/>
  <c r="BA661" i="3"/>
  <c r="BC661" i="3" l="1"/>
  <c r="BD661" i="3" s="1"/>
  <c r="BM664" i="3"/>
  <c r="AN664" i="3"/>
  <c r="BG660" i="3"/>
  <c r="BH660" i="3" s="1"/>
  <c r="BI660" i="3" s="1"/>
  <c r="AU663" i="3"/>
  <c r="AG664" i="3"/>
  <c r="BQ661" i="3"/>
  <c r="BB661" i="3"/>
  <c r="BF661" i="3"/>
  <c r="Y664" i="3"/>
  <c r="Z664" i="3" s="1"/>
  <c r="BA662" i="3"/>
  <c r="AV662" i="3"/>
  <c r="AR665" i="3"/>
  <c r="A666" i="3"/>
  <c r="AQ665" i="3"/>
  <c r="B665" i="3"/>
  <c r="C665" i="3"/>
  <c r="D665" i="3"/>
  <c r="T665" i="3"/>
  <c r="AM665" i="3"/>
  <c r="AK665" i="3"/>
  <c r="S665" i="3"/>
  <c r="Q665" i="3"/>
  <c r="P665" i="3"/>
  <c r="AD665" i="3"/>
  <c r="AE665" i="3"/>
  <c r="M665" i="3"/>
  <c r="V665" i="3"/>
  <c r="U665" i="3"/>
  <c r="O665" i="3"/>
  <c r="AF665" i="3"/>
  <c r="R665" i="3"/>
  <c r="G665" i="3"/>
  <c r="H665" i="3" s="1"/>
  <c r="F665" i="3"/>
  <c r="AY662" i="3"/>
  <c r="AW663" i="3"/>
  <c r="AT663" i="3"/>
  <c r="AX663" i="3"/>
  <c r="BN664" i="3"/>
  <c r="AH664" i="3"/>
  <c r="AO664" i="3"/>
  <c r="X664" i="3"/>
  <c r="BG661" i="3" l="1"/>
  <c r="BH661" i="3" s="1"/>
  <c r="BI661" i="3" s="1"/>
  <c r="AX664" i="3"/>
  <c r="BN665" i="3"/>
  <c r="AY663" i="3"/>
  <c r="AH665" i="3"/>
  <c r="AO665" i="3"/>
  <c r="BQ662" i="3"/>
  <c r="BB662" i="3"/>
  <c r="BF662" i="3"/>
  <c r="BJ661" i="3" s="1"/>
  <c r="BK661" i="3" s="1"/>
  <c r="AV663" i="3"/>
  <c r="BA663" i="3"/>
  <c r="Y665" i="3"/>
  <c r="Z665" i="3" s="1"/>
  <c r="AR666" i="3"/>
  <c r="AQ666" i="3"/>
  <c r="B666" i="3"/>
  <c r="A667" i="3"/>
  <c r="AM666" i="3"/>
  <c r="T666" i="3"/>
  <c r="S666" i="3"/>
  <c r="C666" i="3"/>
  <c r="D666" i="3"/>
  <c r="R666" i="3"/>
  <c r="Q666" i="3"/>
  <c r="AK666" i="3"/>
  <c r="AD666" i="3"/>
  <c r="AE666" i="3"/>
  <c r="M666" i="3"/>
  <c r="P666" i="3"/>
  <c r="O666" i="3"/>
  <c r="AF666" i="3"/>
  <c r="V666" i="3"/>
  <c r="U666" i="3"/>
  <c r="F666" i="3"/>
  <c r="G666" i="3"/>
  <c r="H666" i="3" s="1"/>
  <c r="BJ660" i="3"/>
  <c r="BK660" i="3" s="1"/>
  <c r="AT664" i="3"/>
  <c r="AW664" i="3"/>
  <c r="X665" i="3"/>
  <c r="AU664" i="3"/>
  <c r="BM665" i="3"/>
  <c r="AG665" i="3"/>
  <c r="AN665" i="3"/>
  <c r="BC662" i="3"/>
  <c r="AY664" i="3" l="1"/>
  <c r="BC663" i="3"/>
  <c r="BD663" i="3" s="1"/>
  <c r="BM666" i="3"/>
  <c r="AT665" i="3"/>
  <c r="AV664" i="3"/>
  <c r="AN666" i="3"/>
  <c r="AX665" i="3"/>
  <c r="Y666" i="3"/>
  <c r="Z666" i="3" s="1"/>
  <c r="BG662" i="3"/>
  <c r="BH662" i="3" s="1"/>
  <c r="BI662" i="3" s="1"/>
  <c r="BD662" i="3"/>
  <c r="A668" i="3"/>
  <c r="AQ667" i="3"/>
  <c r="AR667" i="3"/>
  <c r="B667" i="3"/>
  <c r="C667" i="3"/>
  <c r="D667" i="3"/>
  <c r="AM667" i="3"/>
  <c r="AK667" i="3"/>
  <c r="S667" i="3"/>
  <c r="AD667" i="3"/>
  <c r="R667" i="3"/>
  <c r="Q667" i="3"/>
  <c r="P667" i="3"/>
  <c r="O667" i="3"/>
  <c r="AE667" i="3"/>
  <c r="M667" i="3"/>
  <c r="AF667" i="3"/>
  <c r="U667" i="3"/>
  <c r="V667" i="3"/>
  <c r="F667" i="3"/>
  <c r="G667" i="3"/>
  <c r="H667" i="3" s="1"/>
  <c r="T667" i="3"/>
  <c r="BB663" i="3"/>
  <c r="BQ663" i="3"/>
  <c r="BF663" i="3"/>
  <c r="BJ662" i="3" s="1"/>
  <c r="BK662" i="3" s="1"/>
  <c r="AW665" i="3"/>
  <c r="AU665" i="3"/>
  <c r="BA664" i="3"/>
  <c r="BN666" i="3"/>
  <c r="AH666" i="3"/>
  <c r="AG666" i="3"/>
  <c r="AO666" i="3"/>
  <c r="X666" i="3"/>
  <c r="BC664" i="3" l="1"/>
  <c r="BD664" i="3" s="1"/>
  <c r="BG663" i="3"/>
  <c r="BH663" i="3" s="1"/>
  <c r="BI663" i="3" s="1"/>
  <c r="BM667" i="3"/>
  <c r="AV665" i="3"/>
  <c r="AY665" i="3"/>
  <c r="AO667" i="3"/>
  <c r="AW666" i="3"/>
  <c r="AH667" i="3"/>
  <c r="Y667" i="3"/>
  <c r="Z667" i="3" s="1"/>
  <c r="BB664" i="3"/>
  <c r="BQ664" i="3"/>
  <c r="BF664" i="3"/>
  <c r="BJ663" i="3" s="1"/>
  <c r="BK663" i="3" s="1"/>
  <c r="A669" i="3"/>
  <c r="AR668" i="3"/>
  <c r="B668" i="3"/>
  <c r="AQ668" i="3"/>
  <c r="C668" i="3"/>
  <c r="S668" i="3"/>
  <c r="D668" i="3"/>
  <c r="AM668" i="3"/>
  <c r="AK668" i="3"/>
  <c r="T668" i="3"/>
  <c r="Q668" i="3"/>
  <c r="AD668" i="3"/>
  <c r="P668" i="3"/>
  <c r="O668" i="3"/>
  <c r="M668" i="3"/>
  <c r="AE668" i="3"/>
  <c r="AF668" i="3"/>
  <c r="V668" i="3"/>
  <c r="U668" i="3"/>
  <c r="R668" i="3"/>
  <c r="F668" i="3"/>
  <c r="BM668" i="3" s="1"/>
  <c r="G668" i="3"/>
  <c r="H668" i="3" s="1"/>
  <c r="AT666" i="3"/>
  <c r="BA665" i="3"/>
  <c r="AU666" i="3"/>
  <c r="AX666" i="3"/>
  <c r="BN667" i="3"/>
  <c r="AG667" i="3"/>
  <c r="AN667" i="3"/>
  <c r="X667" i="3"/>
  <c r="AY666" i="3" l="1"/>
  <c r="BG664" i="3"/>
  <c r="BH664" i="3" s="1"/>
  <c r="BI664" i="3" s="1"/>
  <c r="BC665" i="3"/>
  <c r="BD665" i="3" s="1"/>
  <c r="AW667" i="3"/>
  <c r="AO668" i="3"/>
  <c r="Y668" i="3"/>
  <c r="Z668" i="3" s="1"/>
  <c r="AQ669" i="3"/>
  <c r="B669" i="3"/>
  <c r="A670" i="3"/>
  <c r="AR669" i="3"/>
  <c r="D669" i="3"/>
  <c r="S669" i="3"/>
  <c r="AM669" i="3"/>
  <c r="C669" i="3"/>
  <c r="AK669" i="3"/>
  <c r="R669" i="3"/>
  <c r="P669" i="3"/>
  <c r="Q669" i="3"/>
  <c r="AD669" i="3"/>
  <c r="O669" i="3"/>
  <c r="M669" i="3"/>
  <c r="AE669" i="3"/>
  <c r="AF669" i="3"/>
  <c r="U669" i="3"/>
  <c r="V669" i="3"/>
  <c r="G669" i="3"/>
  <c r="H669" i="3" s="1"/>
  <c r="F669" i="3"/>
  <c r="T669" i="3"/>
  <c r="BF665" i="3"/>
  <c r="BJ664" i="3" s="1"/>
  <c r="BK664" i="3" s="1"/>
  <c r="BB665" i="3"/>
  <c r="BQ665" i="3"/>
  <c r="AV666" i="3"/>
  <c r="BA666" i="3"/>
  <c r="AU667" i="3"/>
  <c r="AX667" i="3"/>
  <c r="X668" i="3"/>
  <c r="AT667" i="3"/>
  <c r="BN668" i="3"/>
  <c r="AG668" i="3"/>
  <c r="AH668" i="3"/>
  <c r="AN668" i="3"/>
  <c r="BC666" i="3" l="1"/>
  <c r="BD666" i="3" s="1"/>
  <c r="AO669" i="3"/>
  <c r="BG665" i="3"/>
  <c r="BH665" i="3" s="1"/>
  <c r="BI665" i="3" s="1"/>
  <c r="BN669" i="3"/>
  <c r="AU668" i="3"/>
  <c r="AY667" i="3"/>
  <c r="AX668" i="3"/>
  <c r="Y669" i="3"/>
  <c r="Z669" i="3" s="1"/>
  <c r="AG669" i="3"/>
  <c r="AV667" i="3"/>
  <c r="BA667" i="3"/>
  <c r="BB666" i="3"/>
  <c r="BF666" i="3"/>
  <c r="BJ665" i="3" s="1"/>
  <c r="BK665" i="3" s="1"/>
  <c r="BQ666" i="3"/>
  <c r="AR670" i="3"/>
  <c r="AQ670" i="3"/>
  <c r="B670" i="3"/>
  <c r="A671" i="3"/>
  <c r="D670" i="3"/>
  <c r="C670" i="3"/>
  <c r="AM670" i="3"/>
  <c r="R670" i="3"/>
  <c r="S670" i="3"/>
  <c r="AK670" i="3"/>
  <c r="Q670" i="3"/>
  <c r="P670" i="3"/>
  <c r="AD670" i="3"/>
  <c r="M670" i="3"/>
  <c r="O670" i="3"/>
  <c r="AF670" i="3"/>
  <c r="AE670" i="3"/>
  <c r="V670" i="3"/>
  <c r="U670" i="3"/>
  <c r="G670" i="3"/>
  <c r="H670" i="3" s="1"/>
  <c r="F670" i="3"/>
  <c r="T670" i="3"/>
  <c r="X669" i="3"/>
  <c r="AT668" i="3"/>
  <c r="AW668" i="3"/>
  <c r="BM669" i="3"/>
  <c r="AH669" i="3"/>
  <c r="AN669" i="3"/>
  <c r="BG666" i="3" l="1"/>
  <c r="BH666" i="3" s="1"/>
  <c r="BI666" i="3" s="1"/>
  <c r="AY668" i="3"/>
  <c r="AU669" i="3"/>
  <c r="BC667" i="3"/>
  <c r="BG667" i="3" s="1"/>
  <c r="BH667" i="3" s="1"/>
  <c r="BI667" i="3" s="1"/>
  <c r="BN670" i="3"/>
  <c r="AO670" i="3"/>
  <c r="Y670" i="3"/>
  <c r="Z670" i="3" s="1"/>
  <c r="AV668" i="3"/>
  <c r="BA668" i="3"/>
  <c r="AR671" i="3"/>
  <c r="B671" i="3"/>
  <c r="AQ671" i="3"/>
  <c r="A672" i="3"/>
  <c r="C671" i="3"/>
  <c r="D671" i="3"/>
  <c r="AK671" i="3"/>
  <c r="AM671" i="3"/>
  <c r="S671" i="3"/>
  <c r="AD671" i="3"/>
  <c r="Q671" i="3"/>
  <c r="P671" i="3"/>
  <c r="O671" i="3"/>
  <c r="AE671" i="3"/>
  <c r="AF671" i="3"/>
  <c r="M671" i="3"/>
  <c r="U671" i="3"/>
  <c r="V671" i="3"/>
  <c r="R671" i="3"/>
  <c r="G671" i="3"/>
  <c r="H671" i="3" s="1"/>
  <c r="F671" i="3"/>
  <c r="T671" i="3"/>
  <c r="BQ667" i="3"/>
  <c r="BF667" i="3"/>
  <c r="BJ666" i="3" s="1"/>
  <c r="BK666" i="3" s="1"/>
  <c r="BB667" i="3"/>
  <c r="X670" i="3"/>
  <c r="AX669" i="3"/>
  <c r="AT669" i="3"/>
  <c r="AW669" i="3"/>
  <c r="BM670" i="3"/>
  <c r="AG670" i="3"/>
  <c r="AH670" i="3"/>
  <c r="AN670" i="3"/>
  <c r="BN671" i="3" l="1"/>
  <c r="BC668" i="3"/>
  <c r="BG668" i="3" s="1"/>
  <c r="BH668" i="3" s="1"/>
  <c r="BI668" i="3" s="1"/>
  <c r="BD667" i="3"/>
  <c r="BM671" i="3"/>
  <c r="AN671" i="3"/>
  <c r="AG671" i="3"/>
  <c r="Y671" i="3"/>
  <c r="Z671" i="3" s="1"/>
  <c r="AX670" i="3"/>
  <c r="BA669" i="3"/>
  <c r="AV669" i="3"/>
  <c r="A673" i="3"/>
  <c r="AR672" i="3"/>
  <c r="B672" i="3"/>
  <c r="AQ672" i="3"/>
  <c r="C672" i="3"/>
  <c r="D672" i="3"/>
  <c r="AK672" i="3"/>
  <c r="S672" i="3"/>
  <c r="R672" i="3"/>
  <c r="Q672" i="3"/>
  <c r="AD672" i="3"/>
  <c r="AM672" i="3"/>
  <c r="P672" i="3"/>
  <c r="O672" i="3"/>
  <c r="M672" i="3"/>
  <c r="AF672" i="3"/>
  <c r="V672" i="3"/>
  <c r="AE672" i="3"/>
  <c r="U672" i="3"/>
  <c r="F672" i="3"/>
  <c r="G672" i="3"/>
  <c r="H672" i="3" s="1"/>
  <c r="T672" i="3"/>
  <c r="BQ668" i="3"/>
  <c r="BB668" i="3"/>
  <c r="BF668" i="3"/>
  <c r="BJ667" i="3" s="1"/>
  <c r="BK667" i="3" s="1"/>
  <c r="AH671" i="3"/>
  <c r="AT670" i="3"/>
  <c r="AW670" i="3"/>
  <c r="AY669" i="3"/>
  <c r="AU670" i="3"/>
  <c r="AO671" i="3"/>
  <c r="X671" i="3"/>
  <c r="BD668" i="3" l="1"/>
  <c r="AT671" i="3"/>
  <c r="AY670" i="3"/>
  <c r="BM672" i="3"/>
  <c r="AW671" i="3"/>
  <c r="AN672" i="3"/>
  <c r="AU671" i="3"/>
  <c r="AG672" i="3"/>
  <c r="Y672" i="3"/>
  <c r="Z672" i="3" s="1"/>
  <c r="BC669" i="3"/>
  <c r="BD669" i="3" s="1"/>
  <c r="AV670" i="3"/>
  <c r="BA670" i="3"/>
  <c r="AR673" i="3"/>
  <c r="A674" i="3"/>
  <c r="AQ673" i="3"/>
  <c r="B673" i="3"/>
  <c r="C673" i="3"/>
  <c r="D673" i="3"/>
  <c r="AK673" i="3"/>
  <c r="AM673" i="3"/>
  <c r="S673" i="3"/>
  <c r="T673" i="3"/>
  <c r="Q673" i="3"/>
  <c r="R673" i="3"/>
  <c r="AD673" i="3"/>
  <c r="P673" i="3"/>
  <c r="O673" i="3"/>
  <c r="M673" i="3"/>
  <c r="AE673" i="3"/>
  <c r="U673" i="3"/>
  <c r="AF673" i="3"/>
  <c r="V673" i="3"/>
  <c r="G673" i="3"/>
  <c r="H673" i="3" s="1"/>
  <c r="F673" i="3"/>
  <c r="BB669" i="3"/>
  <c r="BF669" i="3"/>
  <c r="BJ668" i="3" s="1"/>
  <c r="BK668" i="3" s="1"/>
  <c r="BQ669" i="3"/>
  <c r="AH672" i="3"/>
  <c r="AX671" i="3"/>
  <c r="BN672" i="3"/>
  <c r="AO672" i="3"/>
  <c r="X672" i="3"/>
  <c r="BC670" i="3" l="1"/>
  <c r="BD670" i="3" s="1"/>
  <c r="AV671" i="3"/>
  <c r="BA671" i="3"/>
  <c r="BB671" i="3" s="1"/>
  <c r="BM673" i="3"/>
  <c r="AN673" i="3"/>
  <c r="AX672" i="3"/>
  <c r="AU672" i="3"/>
  <c r="BG669" i="3"/>
  <c r="BH669" i="3" s="1"/>
  <c r="BI669" i="3" s="1"/>
  <c r="AY671" i="3"/>
  <c r="Y673" i="3"/>
  <c r="Z673" i="3" s="1"/>
  <c r="AR674" i="3"/>
  <c r="B674" i="3"/>
  <c r="AQ674" i="3"/>
  <c r="A675" i="3"/>
  <c r="C674" i="3"/>
  <c r="R674" i="3"/>
  <c r="AM674" i="3"/>
  <c r="D674" i="3"/>
  <c r="AK674" i="3"/>
  <c r="S674" i="3"/>
  <c r="P674" i="3"/>
  <c r="AD674" i="3"/>
  <c r="O674" i="3"/>
  <c r="M674" i="3"/>
  <c r="AE674" i="3"/>
  <c r="AF674" i="3"/>
  <c r="V674" i="3"/>
  <c r="U674" i="3"/>
  <c r="Q674" i="3"/>
  <c r="G674" i="3"/>
  <c r="H674" i="3" s="1"/>
  <c r="BN674" i="3" s="1"/>
  <c r="F674" i="3"/>
  <c r="T674" i="3"/>
  <c r="BQ670" i="3"/>
  <c r="BB670" i="3"/>
  <c r="BF670" i="3"/>
  <c r="BJ669" i="3" s="1"/>
  <c r="BK669" i="3" s="1"/>
  <c r="AT672" i="3"/>
  <c r="AW672" i="3"/>
  <c r="BN673" i="3"/>
  <c r="AG673" i="3"/>
  <c r="AH673" i="3"/>
  <c r="AO673" i="3"/>
  <c r="X673" i="3"/>
  <c r="BG670" i="3" l="1"/>
  <c r="BH670" i="3" s="1"/>
  <c r="BI670" i="3" s="1"/>
  <c r="BC671" i="3"/>
  <c r="BD671" i="3" s="1"/>
  <c r="AO674" i="3"/>
  <c r="AY672" i="3"/>
  <c r="BQ671" i="3"/>
  <c r="BF671" i="3"/>
  <c r="BJ670" i="3" s="1"/>
  <c r="BK670" i="3" s="1"/>
  <c r="AU673" i="3"/>
  <c r="AG674" i="3"/>
  <c r="X674" i="3"/>
  <c r="BM674" i="3"/>
  <c r="BA672" i="3"/>
  <c r="AV672" i="3"/>
  <c r="A676" i="3"/>
  <c r="AQ675" i="3"/>
  <c r="AR675" i="3"/>
  <c r="B675" i="3"/>
  <c r="D675" i="3"/>
  <c r="T675" i="3"/>
  <c r="S675" i="3"/>
  <c r="C675" i="3"/>
  <c r="AM675" i="3"/>
  <c r="Q675" i="3"/>
  <c r="R675" i="3"/>
  <c r="AK675" i="3"/>
  <c r="AD675" i="3"/>
  <c r="P675" i="3"/>
  <c r="O675" i="3"/>
  <c r="M675" i="3"/>
  <c r="AF675" i="3"/>
  <c r="AE675" i="3"/>
  <c r="V675" i="3"/>
  <c r="U675" i="3"/>
  <c r="G675" i="3"/>
  <c r="H675" i="3" s="1"/>
  <c r="BN675" i="3" s="1"/>
  <c r="F675" i="3"/>
  <c r="AW673" i="3"/>
  <c r="AN674" i="3"/>
  <c r="AT673" i="3"/>
  <c r="AX673" i="3"/>
  <c r="Y674" i="3"/>
  <c r="Z674" i="3" s="1"/>
  <c r="AH674" i="3"/>
  <c r="BG671" i="3" l="1"/>
  <c r="BH671" i="3" s="1"/>
  <c r="BI671" i="3" s="1"/>
  <c r="BM675" i="3"/>
  <c r="BC672" i="3"/>
  <c r="BG672" i="3" s="1"/>
  <c r="BH672" i="3" s="1"/>
  <c r="BI672" i="3" s="1"/>
  <c r="AO675" i="3"/>
  <c r="AW674" i="3"/>
  <c r="AG675" i="3"/>
  <c r="AV673" i="3"/>
  <c r="BA673" i="3"/>
  <c r="Y675" i="3"/>
  <c r="Z675" i="3" s="1"/>
  <c r="AQ676" i="3"/>
  <c r="AR676" i="3"/>
  <c r="B676" i="3"/>
  <c r="D676" i="3"/>
  <c r="C676" i="3"/>
  <c r="AK676" i="3"/>
  <c r="T676" i="3"/>
  <c r="S676" i="3"/>
  <c r="AM676" i="3"/>
  <c r="R676" i="3"/>
  <c r="Q676" i="3"/>
  <c r="AD676" i="3"/>
  <c r="P676" i="3"/>
  <c r="O676" i="3"/>
  <c r="AE676" i="3"/>
  <c r="M676" i="3"/>
  <c r="AF676" i="3"/>
  <c r="U676" i="3"/>
  <c r="V676" i="3"/>
  <c r="F676" i="3"/>
  <c r="G676" i="3"/>
  <c r="H676" i="3" s="1"/>
  <c r="BF672" i="3"/>
  <c r="BJ671" i="3" s="1"/>
  <c r="BK671" i="3" s="1"/>
  <c r="BB672" i="3"/>
  <c r="BQ672" i="3"/>
  <c r="X675" i="3"/>
  <c r="AX674" i="3"/>
  <c r="AU674" i="3"/>
  <c r="AY673" i="3"/>
  <c r="AH675" i="3"/>
  <c r="AN675" i="3"/>
  <c r="AT674" i="3"/>
  <c r="BD672" i="3" l="1"/>
  <c r="AY674" i="3"/>
  <c r="BN676" i="3"/>
  <c r="AN676" i="3"/>
  <c r="AV674" i="3"/>
  <c r="BA674" i="3"/>
  <c r="AT675" i="3"/>
  <c r="AX675" i="3"/>
  <c r="Y676" i="3"/>
  <c r="Z676" i="3" s="1"/>
  <c r="BB673" i="3"/>
  <c r="BF673" i="3"/>
  <c r="BJ672" i="3" s="1"/>
  <c r="BK672" i="3" s="1"/>
  <c r="BQ673" i="3"/>
  <c r="AU675" i="3"/>
  <c r="AW675" i="3"/>
  <c r="AG676" i="3"/>
  <c r="X676" i="3"/>
  <c r="BC673" i="3"/>
  <c r="BM676" i="3"/>
  <c r="AH676" i="3"/>
  <c r="AO676" i="3"/>
  <c r="BC674" i="3" l="1"/>
  <c r="BG674" i="3" s="1"/>
  <c r="BH674" i="3" s="1"/>
  <c r="BI674" i="3" s="1"/>
  <c r="AY675" i="3"/>
  <c r="AX676" i="3"/>
  <c r="AT676" i="3"/>
  <c r="BD673" i="3"/>
  <c r="BG673" i="3"/>
  <c r="BH673" i="3" s="1"/>
  <c r="BI673" i="3" s="1"/>
  <c r="BB674" i="3"/>
  <c r="BQ674" i="3"/>
  <c r="BF674" i="3"/>
  <c r="BJ673" i="3" s="1"/>
  <c r="BK673" i="3" s="1"/>
  <c r="BA675" i="3"/>
  <c r="AU676" i="3"/>
  <c r="AW676" i="3"/>
  <c r="AV675" i="3"/>
  <c r="BD674" i="3" l="1"/>
  <c r="BC675" i="3"/>
  <c r="BD675" i="3" s="1"/>
  <c r="AY676" i="3"/>
  <c r="AV676" i="3"/>
  <c r="BQ675" i="3"/>
  <c r="BB675" i="3"/>
  <c r="BF675" i="3"/>
  <c r="BJ674" i="3" s="1"/>
  <c r="BK674" i="3" s="1"/>
  <c r="BA676" i="3"/>
  <c r="BG675" i="3" l="1"/>
  <c r="BH675" i="3" s="1"/>
  <c r="BI675" i="3" s="1"/>
  <c r="BC676" i="3"/>
  <c r="BG676" i="3" s="1"/>
  <c r="BH676" i="3" s="1"/>
  <c r="BI676" i="3" s="1"/>
  <c r="BQ676" i="3"/>
  <c r="BB676" i="3"/>
  <c r="BF676" i="3"/>
  <c r="BD676" i="3" l="1"/>
  <c r="BJ676" i="3"/>
  <c r="BK676" i="3" s="1"/>
  <c r="BJ675" i="3"/>
  <c r="BK675" i="3" s="1"/>
  <c r="H159" i="8" l="1"/>
  <c r="H158" i="8" s="1"/>
  <c r="H157" i="8" s="1"/>
  <c r="H156" i="8" s="1"/>
  <c r="H155" i="8" s="1"/>
  <c r="H154" i="8" s="1"/>
  <c r="H153" i="8" s="1"/>
  <c r="H152" i="8" s="1"/>
  <c r="H151" i="8" s="1"/>
  <c r="H150" i="8" s="1"/>
  <c r="H149" i="8" s="1"/>
  <c r="H148" i="8" s="1"/>
  <c r="H147" i="8" s="1"/>
  <c r="H146" i="8" s="1"/>
  <c r="H145" i="8" s="1"/>
  <c r="H144" i="8" s="1"/>
  <c r="H143" i="8" s="1"/>
  <c r="H142" i="8" s="1"/>
  <c r="H141" i="8" s="1"/>
  <c r="H140" i="8" s="1"/>
  <c r="H139" i="8" s="1"/>
  <c r="H138" i="8" s="1"/>
  <c r="H137" i="8" s="1"/>
  <c r="H136" i="8" s="1"/>
  <c r="H135" i="8" s="1"/>
  <c r="H134" i="8" s="1"/>
  <c r="H133" i="8" s="1"/>
  <c r="H132" i="8" s="1"/>
  <c r="H131" i="8" s="1"/>
  <c r="H130" i="8" s="1"/>
  <c r="H129" i="8" s="1"/>
  <c r="H128" i="8" s="1"/>
  <c r="H127" i="8" s="1"/>
  <c r="H126" i="8" s="1"/>
  <c r="H125" i="8" s="1"/>
  <c r="H124" i="8" s="1"/>
  <c r="H123" i="8" s="1"/>
  <c r="H122" i="8" s="1"/>
  <c r="H121" i="8" s="1"/>
  <c r="H120" i="8" s="1"/>
  <c r="H119" i="8" s="1"/>
  <c r="H118" i="8" s="1"/>
  <c r="H117" i="8" s="1"/>
  <c r="H116" i="8" s="1"/>
  <c r="H115" i="8" s="1"/>
  <c r="H114" i="8" s="1"/>
  <c r="H113" i="8" s="1"/>
  <c r="H112" i="8" s="1"/>
  <c r="H111" i="8" s="1"/>
  <c r="H110" i="8" s="1"/>
  <c r="H109" i="8" s="1"/>
  <c r="H108" i="8" s="1"/>
  <c r="H107" i="8" s="1"/>
  <c r="H106" i="8" s="1"/>
  <c r="H105" i="8" s="1"/>
  <c r="H104" i="8" s="1"/>
  <c r="H103" i="8" s="1"/>
  <c r="H102" i="8" s="1"/>
  <c r="H101" i="8" s="1"/>
  <c r="H100" i="8" s="1"/>
  <c r="H99" i="8" s="1"/>
  <c r="H98" i="8" s="1"/>
  <c r="H97" i="8" s="1"/>
  <c r="H96" i="8" s="1"/>
  <c r="H95" i="8" s="1"/>
  <c r="H94" i="8" s="1"/>
  <c r="H93" i="8" s="1"/>
  <c r="H92" i="8" s="1"/>
  <c r="H91" i="8" s="1"/>
  <c r="H90" i="8" s="1"/>
  <c r="H89" i="8" s="1"/>
  <c r="H88" i="8" s="1"/>
  <c r="H87" i="8" s="1"/>
  <c r="H86" i="8" s="1"/>
  <c r="H85" i="8" s="1"/>
  <c r="H84" i="8" s="1"/>
  <c r="H83" i="8" s="1"/>
  <c r="H82" i="8" s="1"/>
  <c r="H81" i="8" s="1"/>
  <c r="H80" i="8" s="1"/>
  <c r="H79" i="8" s="1"/>
  <c r="H78" i="8" s="1"/>
  <c r="H77" i="8" s="1"/>
  <c r="H76" i="8" s="1"/>
  <c r="H75" i="8" s="1"/>
  <c r="H74" i="8" s="1"/>
  <c r="H73" i="8" s="1"/>
  <c r="H72" i="8" s="1"/>
  <c r="H71" i="8" s="1"/>
  <c r="H70" i="8" s="1"/>
  <c r="H69" i="8" s="1"/>
  <c r="H68" i="8" s="1"/>
  <c r="H67" i="8" s="1"/>
  <c r="H66" i="8" s="1"/>
  <c r="H65" i="8" s="1"/>
  <c r="H64" i="8" s="1"/>
  <c r="H63" i="8" s="1"/>
  <c r="H62" i="8" s="1"/>
  <c r="H61" i="8" s="1"/>
  <c r="H60" i="8" s="1"/>
  <c r="H59" i="8" s="1"/>
  <c r="H58" i="8" s="1"/>
  <c r="H57" i="8" s="1"/>
  <c r="H56" i="8" s="1"/>
  <c r="H55" i="8" s="1"/>
  <c r="H54" i="8" s="1"/>
  <c r="H53" i="8" s="1"/>
  <c r="H52" i="8" s="1"/>
  <c r="H51" i="8" s="1"/>
  <c r="H50" i="8" s="1"/>
  <c r="H49" i="8" s="1"/>
  <c r="H48" i="8" s="1"/>
  <c r="H47" i="8" s="1"/>
  <c r="H46" i="8" s="1"/>
  <c r="H45" i="8" s="1"/>
  <c r="H44" i="8" s="1"/>
  <c r="H43" i="8" s="1"/>
  <c r="H42" i="8" s="1"/>
  <c r="H41" i="8" s="1"/>
  <c r="H40" i="8" s="1"/>
  <c r="H39" i="8" s="1"/>
  <c r="H38" i="8" s="1"/>
  <c r="H37" i="8" s="1"/>
  <c r="H36" i="8" s="1"/>
  <c r="H35" i="8" s="1"/>
  <c r="H34" i="8" s="1"/>
  <c r="H33" i="8" s="1"/>
  <c r="H32" i="8" s="1"/>
  <c r="H31" i="8" s="1"/>
  <c r="H30" i="8" s="1"/>
  <c r="H29" i="8" s="1"/>
  <c r="H28" i="8" s="1"/>
  <c r="H27" i="8" s="1"/>
  <c r="H26" i="8" s="1"/>
  <c r="H25" i="8" s="1"/>
  <c r="H24" i="8" s="1"/>
  <c r="H23" i="8" s="1"/>
  <c r="H22" i="8" s="1"/>
  <c r="H21" i="8" s="1"/>
  <c r="H20" i="8" s="1"/>
  <c r="H19" i="8" s="1"/>
  <c r="H18" i="8" s="1"/>
  <c r="H17" i="8" s="1"/>
  <c r="H16" i="8" s="1"/>
  <c r="H15" i="8" s="1"/>
  <c r="H14" i="8" s="1"/>
  <c r="H13" i="8" s="1"/>
  <c r="H12" i="8" s="1"/>
  <c r="H11" i="8" s="1"/>
  <c r="H10" i="8" s="1"/>
  <c r="H9" i="8" s="1"/>
  <c r="H8" i="8" s="1"/>
  <c r="H7" i="8" s="1"/>
  <c r="H6" i="8" s="1"/>
  <c r="H4" i="8" s="1"/>
  <c r="S23" i="8" s="1"/>
  <c r="B65" i="2" s="1"/>
  <c r="B270" i="2" l="1"/>
  <c r="D42" i="16" s="1"/>
  <c r="C270" i="2"/>
  <c r="B266" i="2"/>
  <c r="C266" i="2"/>
  <c r="R12" i="8"/>
  <c r="S6" i="8"/>
  <c r="B56" i="2" s="1"/>
  <c r="C42" i="16" l="1"/>
  <c r="B264" i="2"/>
  <c r="B268" i="2" s="1"/>
  <c r="A264" i="2"/>
  <c r="C264" i="2"/>
  <c r="E26" i="1"/>
  <c r="C54" i="16" l="1"/>
  <c r="D54" i="16" s="1"/>
  <c r="C268" i="2"/>
  <c r="D59"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Timothy Hegarty</author>
    <author>BDATSC</author>
    <author>Hegarty, Timothy</author>
  </authors>
  <commentList>
    <comment ref="A3" authorId="0" shapeId="0" xr:uid="{00000000-0006-0000-0000-000001000000}">
      <text>
        <r>
          <rPr>
            <b/>
            <sz val="11"/>
            <color indexed="10"/>
            <rFont val="Tahoma"/>
            <family val="2"/>
          </rPr>
          <t>Welcome to the LM(2)5145/6/-Q1 Design Tool!</t>
        </r>
        <r>
          <rPr>
            <sz val="9"/>
            <color indexed="81"/>
            <rFont val="Tahoma"/>
            <family val="2"/>
          </rPr>
          <t xml:space="preserve">
This stand-alone tool facilitates and assists the power supply engineer with design of a DC-DC buck regulator based on the </t>
        </r>
        <r>
          <rPr>
            <b/>
            <sz val="9"/>
            <color indexed="81"/>
            <rFont val="Tahoma"/>
            <family val="2"/>
          </rPr>
          <t>LM(2)5145/6/-Q1 synchronous buck controller</t>
        </r>
        <r>
          <rPr>
            <sz val="9"/>
            <color indexed="81"/>
            <rFont val="Tahoma"/>
            <family val="2"/>
          </rPr>
          <t xml:space="preserve">. As such, the user can expeditiously arrive at an optimized design by virtue of the following:
- Determine buck inductance, input and output capacitances
- Select components for switching frequency, soft-start, UVLO, and OCP
- Optimize compensation values and pole/zero placement in terms of control loop stability using crossover frquency as a performance metric
- Inspect regulator efficiency and component power dissipation
- Analyze efficiency based on selected MOSFET parameters
- Review auto-generated schematic and BOM list
</t>
        </r>
        <r>
          <rPr>
            <b/>
            <sz val="9"/>
            <color indexed="81"/>
            <rFont val="Tahoma"/>
            <family val="2"/>
          </rPr>
          <t>IMPORTANT:</t>
        </r>
        <r>
          <rPr>
            <sz val="9"/>
            <color indexed="81"/>
            <rFont val="Tahoma"/>
            <family val="2"/>
          </rPr>
          <t xml:space="preserve"> You must enable macros if Microsoft Excel asks as the file is being opened. U.S. English notation is used throughout.</t>
        </r>
        <r>
          <rPr>
            <b/>
            <sz val="9"/>
            <color indexed="81"/>
            <rFont val="Tahoma"/>
            <family val="2"/>
          </rPr>
          <t xml:space="preserve"> </t>
        </r>
        <r>
          <rPr>
            <b/>
            <u/>
            <sz val="9"/>
            <color indexed="81"/>
            <rFont val="Tahoma"/>
            <family val="2"/>
          </rPr>
          <t>Also, set Windows zoom factor to 100% for correct schematic viewing.</t>
        </r>
        <r>
          <rPr>
            <sz val="9"/>
            <color indexed="81"/>
            <rFont val="Tahoma"/>
            <family val="2"/>
          </rPr>
          <t xml:space="preserve">
</t>
        </r>
        <r>
          <rPr>
            <u/>
            <sz val="9"/>
            <color indexed="12"/>
            <rFont val="Tahoma"/>
            <family val="2"/>
          </rPr>
          <t>www.ti.com/widevin</t>
        </r>
        <r>
          <rPr>
            <sz val="9"/>
            <color indexed="81"/>
            <rFont val="Tahoma"/>
            <family val="2"/>
          </rPr>
          <t xml:space="preserve">
</t>
        </r>
        <r>
          <rPr>
            <b/>
            <sz val="9"/>
            <color indexed="81"/>
            <rFont val="Tahoma"/>
            <family val="2"/>
          </rPr>
          <t xml:space="preserve">
Rev. A5, Sept. 2024, Timothy Hegarty, Texas Instruments, Inc.</t>
        </r>
      </text>
    </comment>
    <comment ref="O3" authorId="0" shapeId="0" xr:uid="{00000000-0006-0000-0000-000002000000}">
      <text>
        <r>
          <rPr>
            <b/>
            <u/>
            <sz val="11"/>
            <color indexed="10"/>
            <rFont val="Tahoma"/>
            <family val="2"/>
          </rPr>
          <t>Texas Instruments</t>
        </r>
        <r>
          <rPr>
            <sz val="11"/>
            <color indexed="10"/>
            <rFont val="Tahoma"/>
            <family val="2"/>
          </rPr>
          <t>:</t>
        </r>
        <r>
          <rPr>
            <sz val="9"/>
            <color indexed="81"/>
            <rFont val="Tahoma"/>
            <family val="2"/>
          </rPr>
          <t xml:space="preserve">
</t>
        </r>
        <r>
          <rPr>
            <b/>
            <sz val="9"/>
            <color indexed="81"/>
            <rFont val="Tahoma"/>
            <family val="2"/>
          </rPr>
          <t>Limited Use Policy</t>
        </r>
        <r>
          <rPr>
            <sz val="9"/>
            <color indexed="81"/>
            <rFont val="Tahoma"/>
            <family val="2"/>
          </rPr>
          <t xml:space="preserve">
You must treat this software and documentation like any other copyrighted material.
</t>
        </r>
        <r>
          <rPr>
            <b/>
            <sz val="9"/>
            <color indexed="81"/>
            <rFont val="Tahoma"/>
            <family val="2"/>
          </rPr>
          <t>You may not:</t>
        </r>
        <r>
          <rPr>
            <sz val="9"/>
            <color indexed="81"/>
            <rFont val="Tahoma"/>
            <family val="2"/>
          </rPr>
          <t xml:space="preserve">
- Copy documentation of the software
- Copy this software except to make archival or backup copies
- Reverse engineer, disassemble, decompile or make any attempt to discover the source code of the Software 
- Place the software onto a server so that it is accessible via a public network such as the internet 
- Sublicense, rent, lease or lend any portion of the software or documentation.
Texas Instruments is not responsible for the validity of any design created with this software and urges all designs to be fully tested and carefully verified. Refer to the LM(2)5145/6/-Q1 product datasheets and EVM user's guides for more details.
</t>
        </r>
        <r>
          <rPr>
            <b/>
            <sz val="9"/>
            <color indexed="81"/>
            <rFont val="Tahoma"/>
            <family val="2"/>
          </rPr>
          <t>Rev. A5, Timothy Hegarty, Texas Instruments, Inc.</t>
        </r>
      </text>
    </comment>
    <comment ref="E6" authorId="0" shapeId="0" xr:uid="{00000000-0006-0000-0000-000003000000}">
      <text>
        <r>
          <rPr>
            <b/>
            <u/>
            <sz val="9"/>
            <color indexed="81"/>
            <rFont val="Tahoma"/>
            <family val="2"/>
          </rPr>
          <t>Minimum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
-</t>
        </r>
        <r>
          <rPr>
            <sz val="9"/>
            <color indexed="81"/>
            <rFont val="Tahoma"/>
            <family val="2"/>
          </rPr>
          <t xml:space="preserve">The minimum PWM off-time of </t>
        </r>
        <r>
          <rPr>
            <b/>
            <sz val="9"/>
            <color indexed="10"/>
            <rFont val="Tahoma"/>
            <family val="2"/>
          </rPr>
          <t>140ns</t>
        </r>
        <r>
          <rPr>
            <sz val="9"/>
            <color indexed="81"/>
            <rFont val="Tahoma"/>
            <family val="2"/>
          </rPr>
          <t xml:space="preserve"> is reached</t>
        </r>
      </text>
    </comment>
    <comment ref="E7" authorId="0" shapeId="0" xr:uid="{00000000-0006-0000-0000-000004000000}">
      <text>
        <r>
          <rPr>
            <b/>
            <u/>
            <sz val="9"/>
            <color indexed="81"/>
            <rFont val="Tahoma"/>
            <family val="2"/>
          </rPr>
          <t>Nominal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(LM25145), 75V (LM5145) or 100V (LM5146)</t>
        </r>
        <r>
          <rPr>
            <sz val="9"/>
            <color indexed="81"/>
            <rFont val="Tahoma"/>
            <family val="2"/>
          </rPr>
          <t xml:space="preserve">
-The input voltage is below </t>
        </r>
        <r>
          <rPr>
            <b/>
            <sz val="9"/>
            <color indexed="10"/>
            <rFont val="Tahoma"/>
            <family val="2"/>
          </rPr>
          <t>5.5V (LM5146) or 6V (LM25145, LM5145)</t>
        </r>
      </text>
    </comment>
    <comment ref="E8" authorId="0" shapeId="0" xr:uid="{00000000-0006-0000-0000-000005000000}">
      <text>
        <r>
          <rPr>
            <b/>
            <u/>
            <sz val="9"/>
            <color indexed="81"/>
            <rFont val="Tahoma"/>
            <family val="2"/>
          </rPr>
          <t>Maximum Input Voltage</t>
        </r>
        <r>
          <rPr>
            <b/>
            <sz val="9"/>
            <color indexed="81"/>
            <rFont val="Tahoma"/>
            <family val="2"/>
          </rPr>
          <t>:</t>
        </r>
        <r>
          <rPr>
            <sz val="9"/>
            <color indexed="81"/>
            <rFont val="Tahoma"/>
            <family val="2"/>
          </rPr>
          <t xml:space="preserve">
Enter the nominal input voltage.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42V (LM@5145), 75V (LM5145) or 100V (LM5146)</t>
        </r>
        <r>
          <rPr>
            <sz val="9"/>
            <color indexed="81"/>
            <rFont val="Tahoma"/>
            <family val="2"/>
          </rPr>
          <t xml:space="preserve">
-The input voltage is below </t>
        </r>
        <r>
          <rPr>
            <b/>
            <sz val="9"/>
            <color indexed="10"/>
            <rFont val="Tahoma"/>
            <family val="2"/>
          </rPr>
          <t xml:space="preserve">5.5V (LM5146) or 6V (LM25145, LM5145)
</t>
        </r>
        <r>
          <rPr>
            <sz val="9"/>
            <color indexed="81"/>
            <rFont val="Tahoma"/>
            <family val="2"/>
          </rPr>
          <t xml:space="preserve">-The minimum PWM on-time of </t>
        </r>
        <r>
          <rPr>
            <b/>
            <sz val="9"/>
            <color indexed="10"/>
            <rFont val="Tahoma"/>
            <family val="2"/>
          </rPr>
          <t>40ns</t>
        </r>
        <r>
          <rPr>
            <sz val="9"/>
            <color indexed="81"/>
            <rFont val="Tahoma"/>
            <family val="2"/>
          </rPr>
          <t xml:space="preserve"> is reached</t>
        </r>
      </text>
    </comment>
    <comment ref="E9" authorId="0" shapeId="0" xr:uid="{00000000-0006-0000-0000-000006000000}">
      <text>
        <r>
          <rPr>
            <b/>
            <u/>
            <sz val="9"/>
            <color indexed="81"/>
            <rFont val="Tahoma"/>
            <family val="2"/>
          </rPr>
          <t>Output Voltage</t>
        </r>
        <r>
          <rPr>
            <b/>
            <sz val="9"/>
            <color indexed="81"/>
            <rFont val="Tahoma"/>
            <family val="2"/>
          </rPr>
          <t xml:space="preserve">:
</t>
        </r>
        <r>
          <rPr>
            <sz val="9"/>
            <color indexed="81"/>
            <rFont val="Tahoma"/>
            <family val="2"/>
          </rPr>
          <t>Enter the desired output voltage.</t>
        </r>
        <r>
          <rPr>
            <b/>
            <sz val="9"/>
            <color indexed="81"/>
            <rFont val="Tahoma"/>
            <family val="2"/>
          </rPr>
          <t xml:space="preserve">
</t>
        </r>
        <r>
          <rPr>
            <sz val="9"/>
            <color indexed="81"/>
            <rFont val="Tahoma"/>
            <family val="2"/>
          </rPr>
          <t>The text in this cell is red if:</t>
        </r>
        <r>
          <rPr>
            <b/>
            <sz val="9"/>
            <color indexed="81"/>
            <rFont val="Tahoma"/>
            <family val="2"/>
          </rPr>
          <t xml:space="preserve">
</t>
        </r>
        <r>
          <rPr>
            <b/>
            <sz val="9"/>
            <color indexed="10"/>
            <rFont val="Tahoma"/>
            <family val="2"/>
          </rPr>
          <t>-The output voltage is above the nominal input voltage 
-The output voltage is below 0.8V
-The output voltage is above 42V (LM25145) and 60V (LM5145, LM5146)</t>
        </r>
      </text>
    </comment>
    <comment ref="E11" authorId="0" shapeId="0" xr:uid="{00000000-0006-0000-0000-000007000000}">
      <text>
        <r>
          <rPr>
            <b/>
            <u/>
            <sz val="9"/>
            <color indexed="81"/>
            <rFont val="Tahoma"/>
            <family val="2"/>
          </rPr>
          <t>Operating Frequency</t>
        </r>
        <r>
          <rPr>
            <b/>
            <sz val="9"/>
            <color indexed="81"/>
            <rFont val="Tahoma"/>
            <family val="2"/>
          </rPr>
          <t xml:space="preserve"> (set by R</t>
        </r>
        <r>
          <rPr>
            <b/>
            <vertAlign val="subscript"/>
            <sz val="9"/>
            <color indexed="81"/>
            <rFont val="Tahoma"/>
            <family val="2"/>
          </rPr>
          <t>FADJ</t>
        </r>
        <r>
          <rPr>
            <b/>
            <sz val="9"/>
            <color indexed="81"/>
            <rFont val="Tahoma"/>
            <family val="2"/>
          </rPr>
          <t>):</t>
        </r>
        <r>
          <rPr>
            <sz val="9"/>
            <color indexed="81"/>
            <rFont val="Tahoma"/>
            <family val="2"/>
          </rPr>
          <t xml:space="preserve">
This cell defines the free running frequency set by the R</t>
        </r>
        <r>
          <rPr>
            <vertAlign val="subscript"/>
            <sz val="9"/>
            <color indexed="81"/>
            <rFont val="Tahoma"/>
            <family val="2"/>
          </rPr>
          <t>RT</t>
        </r>
        <r>
          <rPr>
            <sz val="9"/>
            <color indexed="81"/>
            <rFont val="Tahoma"/>
            <family val="2"/>
          </rPr>
          <t xml:space="preserve"> resistor. 
</t>
        </r>
        <r>
          <rPr>
            <b/>
            <sz val="9"/>
            <color indexed="81"/>
            <rFont val="Tahoma"/>
            <family val="2"/>
          </rPr>
          <t xml:space="preserve">The text in this cell is blue if:
</t>
        </r>
        <r>
          <rPr>
            <b/>
            <sz val="9"/>
            <color indexed="39"/>
            <rFont val="Tahoma"/>
            <family val="2"/>
          </rPr>
          <t>-The SYNC frequency is not with -20% to +50% of the free-running frequency set by R</t>
        </r>
        <r>
          <rPr>
            <b/>
            <vertAlign val="subscript"/>
            <sz val="9"/>
            <color indexed="39"/>
            <rFont val="Tahoma"/>
            <family val="2"/>
          </rPr>
          <t>RT</t>
        </r>
        <r>
          <rPr>
            <b/>
            <sz val="9"/>
            <color indexed="39"/>
            <rFont val="Tahoma"/>
            <family val="2"/>
          </rPr>
          <t>.</t>
        </r>
        <r>
          <rPr>
            <sz val="9"/>
            <color indexed="81"/>
            <rFont val="Tahoma"/>
            <family val="2"/>
          </rPr>
          <t xml:space="preserve">
</t>
        </r>
        <r>
          <rPr>
            <b/>
            <sz val="9"/>
            <color indexed="81"/>
            <rFont val="Tahoma"/>
            <family val="2"/>
          </rPr>
          <t xml:space="preserve">The text in this cell is red if:
</t>
        </r>
        <r>
          <rPr>
            <b/>
            <sz val="9"/>
            <color indexed="10"/>
            <rFont val="Tahoma"/>
            <family val="2"/>
          </rPr>
          <t>-The frequency is below 100 kHz
-The frequency is above 1 MHz</t>
        </r>
        <r>
          <rPr>
            <sz val="11"/>
            <color indexed="81"/>
            <rFont val="Tahoma"/>
            <family val="2"/>
          </rPr>
          <t xml:space="preserve">
</t>
        </r>
      </text>
    </comment>
    <comment ref="E12" authorId="0" shapeId="0" xr:uid="{00000000-0006-0000-0000-000008000000}">
      <text>
        <r>
          <rPr>
            <b/>
            <u/>
            <sz val="9"/>
            <color indexed="81"/>
            <rFont val="Tahoma"/>
            <family val="2"/>
          </rPr>
          <t>Operating SYNC Frequency</t>
        </r>
        <r>
          <rPr>
            <b/>
            <sz val="9"/>
            <color indexed="81"/>
            <rFont val="Tahoma"/>
            <family val="2"/>
          </rPr>
          <t xml:space="preserve">:
</t>
        </r>
        <r>
          <rPr>
            <sz val="9"/>
            <color indexed="81"/>
            <rFont val="Tahoma"/>
            <family val="2"/>
          </rPr>
          <t>This frequency sets the switching frequency the LM5146 should synchronize to. If SYNC is not used, the SYNCIN pin should be grounded for DCM or tied high (to VCC) for CCM, and the free-running frequency should be inserted here.</t>
        </r>
        <r>
          <rPr>
            <b/>
            <sz val="9"/>
            <color indexed="81"/>
            <rFont val="Tahoma"/>
            <family val="2"/>
          </rPr>
          <t xml:space="preserve">
The text in this cell is blue if 
</t>
        </r>
        <r>
          <rPr>
            <b/>
            <sz val="9"/>
            <color indexed="39"/>
            <rFont val="Tahoma"/>
            <family val="2"/>
          </rPr>
          <t>-The SYNC frequency is greater than 150% or less than 80% of the frequency set by R</t>
        </r>
        <r>
          <rPr>
            <b/>
            <vertAlign val="subscript"/>
            <sz val="9"/>
            <color indexed="39"/>
            <rFont val="Tahoma"/>
            <family val="2"/>
          </rPr>
          <t>RT</t>
        </r>
        <r>
          <rPr>
            <b/>
            <sz val="9"/>
            <color indexed="39"/>
            <rFont val="Tahoma"/>
            <family val="2"/>
          </rPr>
          <t>.
If the SYNC frequency is outside the applicable range, Fsw defaults in this tool to the free-running frequency value.</t>
        </r>
        <r>
          <rPr>
            <b/>
            <sz val="9"/>
            <color indexed="81"/>
            <rFont val="Tahoma"/>
            <family val="2"/>
          </rPr>
          <t xml:space="preserve">
The text in this cell is red if:
</t>
        </r>
        <r>
          <rPr>
            <b/>
            <sz val="9"/>
            <color indexed="10"/>
            <rFont val="Tahoma"/>
            <family val="2"/>
          </rPr>
          <t>- The frequency is below 100 kHz;
- The frequency is above 1 MHz;
- The frequency is not within -20% to +50% of the programmed frequency (set by the R</t>
        </r>
        <r>
          <rPr>
            <b/>
            <vertAlign val="subscript"/>
            <sz val="9"/>
            <color indexed="10"/>
            <rFont val="Tahoma"/>
            <family val="2"/>
          </rPr>
          <t>RT</t>
        </r>
        <r>
          <rPr>
            <b/>
            <sz val="9"/>
            <color indexed="10"/>
            <rFont val="Tahoma"/>
            <family val="2"/>
          </rPr>
          <t xml:space="preserve"> resistor).</t>
        </r>
      </text>
    </comment>
    <comment ref="E17" authorId="0" shapeId="0" xr:uid="{00000000-0006-0000-0000-000009000000}">
      <text>
        <r>
          <rPr>
            <b/>
            <sz val="9"/>
            <color indexed="81"/>
            <rFont val="Tahoma"/>
            <family val="2"/>
          </rPr>
          <t>L</t>
        </r>
        <r>
          <rPr>
            <b/>
            <vertAlign val="subscript"/>
            <sz val="9"/>
            <color indexed="81"/>
            <rFont val="Tahoma"/>
            <family val="2"/>
          </rPr>
          <t>F</t>
        </r>
        <r>
          <rPr>
            <b/>
            <sz val="9"/>
            <color indexed="81"/>
            <rFont val="Tahoma"/>
            <family val="2"/>
          </rPr>
          <t xml:space="preserve">:
</t>
        </r>
        <r>
          <rPr>
            <sz val="9"/>
            <color indexed="81"/>
            <rFont val="Tahoma"/>
            <family val="2"/>
          </rPr>
          <t>Enter the buck filter inductance here. Target inductor (peak-to-peak) ripple currrent is 25-45% of the DC full load current at nominal input voltage.</t>
        </r>
      </text>
    </comment>
    <comment ref="E18" authorId="0" shapeId="0" xr:uid="{00000000-0006-0000-0000-00000A000000}">
      <text>
        <r>
          <rPr>
            <b/>
            <u/>
            <sz val="9"/>
            <color indexed="81"/>
            <rFont val="Tahoma"/>
            <family val="2"/>
          </rPr>
          <t>Inductor DCR</t>
        </r>
        <r>
          <rPr>
            <b/>
            <sz val="9"/>
            <color indexed="81"/>
            <rFont val="Tahoma"/>
            <family val="2"/>
          </rPr>
          <t xml:space="preserve">:
</t>
        </r>
        <r>
          <rPr>
            <sz val="9"/>
            <color indexed="81"/>
            <rFont val="Tahoma"/>
            <family val="2"/>
          </rPr>
          <t>Enter the inductor DC resistance here. This is typically specified in the inductor datasheet at 25°C copper temperature.</t>
        </r>
      </text>
    </comment>
    <comment ref="F21" authorId="0" shapeId="0" xr:uid="{E16B2DB5-2E88-40B3-9726-C84913B304F3}">
      <text>
        <r>
          <rPr>
            <b/>
            <u/>
            <sz val="9"/>
            <color indexed="81"/>
            <rFont val="Tahoma"/>
            <family val="2"/>
          </rPr>
          <t>Core Loss</t>
        </r>
        <r>
          <rPr>
            <b/>
            <sz val="9"/>
            <color indexed="81"/>
            <rFont val="Tahoma"/>
            <family val="2"/>
          </rPr>
          <t xml:space="preserve">:
</t>
        </r>
        <r>
          <rPr>
            <sz val="9"/>
            <color indexed="81"/>
            <rFont val="Tahoma"/>
            <family val="2"/>
          </rPr>
          <t>Enter the estimated inductor AC loss at nominal input voltage.</t>
        </r>
      </text>
    </comment>
    <comment ref="E26" authorId="0" shapeId="0" xr:uid="{00000000-0006-0000-0000-00000B000000}">
      <text>
        <r>
          <rPr>
            <b/>
            <sz val="9"/>
            <color indexed="81"/>
            <rFont val="Tahoma"/>
            <family val="2"/>
          </rPr>
          <t>R</t>
        </r>
        <r>
          <rPr>
            <b/>
            <vertAlign val="subscript"/>
            <sz val="9"/>
            <color indexed="81"/>
            <rFont val="Tahoma"/>
            <family val="2"/>
          </rPr>
          <t>ILIM</t>
        </r>
        <r>
          <rPr>
            <b/>
            <sz val="9"/>
            <color indexed="81"/>
            <rFont val="Tahoma"/>
            <family val="2"/>
          </rPr>
          <t>:</t>
        </r>
        <r>
          <rPr>
            <sz val="9"/>
            <color indexed="81"/>
            <rFont val="Tahoma"/>
            <family val="2"/>
          </rPr>
          <t xml:space="preserve">
This resistor is used to set the overcurrent protection. As such, the calculation takes the required current limit setpoint, the inductor ripple current amplitude and the MOSFET RDS(on) or shunt resistance to calculate </t>
        </r>
        <r>
          <rPr>
            <b/>
            <sz val="9"/>
            <color indexed="81"/>
            <rFont val="Tahoma"/>
            <family val="2"/>
          </rPr>
          <t>R</t>
        </r>
        <r>
          <rPr>
            <b/>
            <vertAlign val="subscript"/>
            <sz val="9"/>
            <color indexed="81"/>
            <rFont val="Tahoma"/>
            <family val="2"/>
          </rPr>
          <t>ILIM</t>
        </r>
        <r>
          <rPr>
            <sz val="9"/>
            <color indexed="81"/>
            <rFont val="Tahoma"/>
            <family val="2"/>
          </rPr>
          <t>.</t>
        </r>
      </text>
    </comment>
    <comment ref="E31" authorId="0" shapeId="0" xr:uid="{00000000-0006-0000-0000-00000C000000}">
      <text>
        <r>
          <rPr>
            <b/>
            <u/>
            <sz val="9"/>
            <color indexed="81"/>
            <rFont val="Tahoma"/>
            <family val="2"/>
          </rPr>
          <t>Output Voltage Ripple</t>
        </r>
        <r>
          <rPr>
            <b/>
            <sz val="9"/>
            <color indexed="81"/>
            <rFont val="Tahoma"/>
            <family val="2"/>
          </rPr>
          <t xml:space="preserve">:
</t>
        </r>
        <r>
          <rPr>
            <sz val="9"/>
            <color indexed="81"/>
            <rFont val="Tahoma"/>
            <family val="2"/>
          </rPr>
          <t>Enter the desired maximum peak-to-peak output voltage ripple here. This will set the ideal output capacitance value.</t>
        </r>
        <r>
          <rPr>
            <b/>
            <sz val="9"/>
            <color indexed="81"/>
            <rFont val="Tahoma"/>
            <family val="2"/>
          </rPr>
          <t xml:space="preserve">
The text in this cell is red if:
</t>
        </r>
        <r>
          <rPr>
            <b/>
            <sz val="9"/>
            <color indexed="10"/>
            <rFont val="Tahoma"/>
            <family val="2"/>
          </rPr>
          <t>-The output voltage ripple is zero.</t>
        </r>
      </text>
    </comment>
    <comment ref="E33" authorId="0" shapeId="0" xr:uid="{00000000-0006-0000-0000-00000D000000}">
      <text>
        <r>
          <rPr>
            <b/>
            <u/>
            <sz val="9"/>
            <color indexed="81"/>
            <rFont val="Tahoma"/>
            <family val="2"/>
          </rPr>
          <t>Output Capacitance</t>
        </r>
        <r>
          <rPr>
            <b/>
            <sz val="9"/>
            <color indexed="81"/>
            <rFont val="Tahoma"/>
            <family val="2"/>
          </rPr>
          <t>:</t>
        </r>
        <r>
          <rPr>
            <sz val="9"/>
            <color indexed="81"/>
            <rFont val="Tahoma"/>
            <family val="2"/>
          </rPr>
          <t xml:space="preserve">
Enter the output capacitance here based on the minimum calculated result. Make sure that the nominal capacitance is appropriately </t>
        </r>
        <r>
          <rPr>
            <b/>
            <sz val="11"/>
            <color indexed="81"/>
            <rFont val="Tahoma"/>
            <family val="2"/>
          </rPr>
          <t>derated</t>
        </r>
        <r>
          <rPr>
            <sz val="9"/>
            <color indexed="81"/>
            <rFont val="Tahoma"/>
            <family val="2"/>
          </rPr>
          <t xml:space="preserve"> for applied voltage, particularly with </t>
        </r>
        <r>
          <rPr>
            <sz val="9"/>
            <color indexed="39"/>
            <rFont val="Tahoma"/>
            <family val="2"/>
          </rPr>
          <t>ceramics</t>
        </r>
        <r>
          <rPr>
            <sz val="9"/>
            <color indexed="81"/>
            <rFont val="Tahoma"/>
            <family val="2"/>
          </rPr>
          <t xml:space="preserve">.
</t>
        </r>
        <r>
          <rPr>
            <b/>
            <sz val="9"/>
            <color indexed="81"/>
            <rFont val="Tahoma"/>
            <family val="2"/>
          </rPr>
          <t>The text in this cell is flagged red if:</t>
        </r>
        <r>
          <rPr>
            <sz val="9"/>
            <color indexed="81"/>
            <rFont val="Tahoma"/>
            <family val="2"/>
          </rPr>
          <t xml:space="preserve">
</t>
        </r>
        <r>
          <rPr>
            <b/>
            <sz val="9"/>
            <color indexed="10"/>
            <rFont val="Tahoma"/>
            <family val="2"/>
          </rPr>
          <t>-The chosen output capacitor is smaller than the minimum ideal capacitance.</t>
        </r>
      </text>
    </comment>
    <comment ref="E35" authorId="0" shapeId="0" xr:uid="{00000000-0006-0000-0000-00000E000000}">
      <text>
        <r>
          <rPr>
            <b/>
            <u/>
            <sz val="9"/>
            <color indexed="81"/>
            <rFont val="Tahoma"/>
            <family val="2"/>
          </rPr>
          <t>Output Capacitor ESR</t>
        </r>
        <r>
          <rPr>
            <b/>
            <sz val="9"/>
            <color indexed="81"/>
            <rFont val="Tahoma"/>
            <family val="2"/>
          </rPr>
          <t xml:space="preserve">:
</t>
        </r>
        <r>
          <rPr>
            <sz val="9"/>
            <color indexed="81"/>
            <rFont val="Tahoma"/>
            <family val="2"/>
          </rPr>
          <t>Enter the output capacitor ESR here based on the maximum allowed output capacitor ESR to meet the voltage ripple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text>
    </comment>
    <comment ref="E40" authorId="0" shapeId="0" xr:uid="{00000000-0006-0000-0000-00000F000000}">
      <text>
        <r>
          <rPr>
            <b/>
            <u/>
            <sz val="9"/>
            <color indexed="81"/>
            <rFont val="Tahoma"/>
            <family val="2"/>
          </rPr>
          <t>Input Voltage Ripple</t>
        </r>
        <r>
          <rPr>
            <b/>
            <sz val="9"/>
            <color indexed="81"/>
            <rFont val="Tahoma"/>
            <family val="2"/>
          </rPr>
          <t xml:space="preserve">:
</t>
        </r>
        <r>
          <rPr>
            <sz val="9"/>
            <color indexed="81"/>
            <rFont val="Tahoma"/>
            <family val="2"/>
          </rPr>
          <t>Enter the desired maximum peak-to-peak input voltage ripple here. This will set the ideal input capacitance requirement.</t>
        </r>
        <r>
          <rPr>
            <b/>
            <sz val="9"/>
            <color indexed="81"/>
            <rFont val="Tahoma"/>
            <family val="2"/>
          </rPr>
          <t xml:space="preserve">
The text in this cell is </t>
        </r>
        <r>
          <rPr>
            <b/>
            <sz val="9"/>
            <color indexed="10"/>
            <rFont val="Tahoma"/>
            <family val="2"/>
          </rPr>
          <t>red</t>
        </r>
        <r>
          <rPr>
            <b/>
            <sz val="9"/>
            <color indexed="81"/>
            <rFont val="Tahoma"/>
            <family val="2"/>
          </rPr>
          <t xml:space="preserve"> if:
</t>
        </r>
        <r>
          <rPr>
            <b/>
            <sz val="9"/>
            <color indexed="10"/>
            <rFont val="Tahoma"/>
            <family val="2"/>
          </rPr>
          <t>-The input voltage ripple is zero.</t>
        </r>
      </text>
    </comment>
    <comment ref="E42" authorId="0" shapeId="0" xr:uid="{00000000-0006-0000-0000-000010000000}">
      <text>
        <r>
          <rPr>
            <b/>
            <u/>
            <sz val="9"/>
            <color indexed="81"/>
            <rFont val="Tahoma"/>
            <family val="2"/>
          </rPr>
          <t>Input Capacitance</t>
        </r>
        <r>
          <rPr>
            <b/>
            <sz val="9"/>
            <color indexed="81"/>
            <rFont val="Tahoma"/>
            <family val="2"/>
          </rPr>
          <t xml:space="preserve">:
</t>
        </r>
        <r>
          <rPr>
            <sz val="9"/>
            <color indexed="81"/>
            <rFont val="Tahoma"/>
            <family val="2"/>
          </rPr>
          <t xml:space="preserve">Enter the input capacitance here based on the minimum calculated result. Make sure that the nominal capacitance is appropriately derated for applied voltage.
</t>
        </r>
        <r>
          <rPr>
            <b/>
            <sz val="9"/>
            <color indexed="81"/>
            <rFont val="Tahoma"/>
            <family val="2"/>
          </rPr>
          <t xml:space="preserve">The text in this cell is flagged </t>
        </r>
        <r>
          <rPr>
            <b/>
            <sz val="9"/>
            <color indexed="10"/>
            <rFont val="Tahoma"/>
            <family val="2"/>
          </rPr>
          <t>red</t>
        </r>
        <r>
          <rPr>
            <b/>
            <sz val="9"/>
            <color indexed="81"/>
            <rFont val="Tahoma"/>
            <family val="2"/>
          </rPr>
          <t xml:space="preserve"> if:
</t>
        </r>
        <r>
          <rPr>
            <b/>
            <sz val="9"/>
            <color indexed="10"/>
            <rFont val="Tahoma"/>
            <family val="2"/>
          </rPr>
          <t>-The chosen input capacitor is smaller than the minimum ideal capacitance.</t>
        </r>
      </text>
    </comment>
    <comment ref="E44" authorId="0" shapeId="0" xr:uid="{00000000-0006-0000-0000-000011000000}">
      <text>
        <r>
          <rPr>
            <b/>
            <u/>
            <sz val="9"/>
            <color indexed="81"/>
            <rFont val="Tahoma"/>
            <family val="2"/>
          </rPr>
          <t>Input Capacitor ESR</t>
        </r>
        <r>
          <rPr>
            <b/>
            <sz val="9"/>
            <color indexed="81"/>
            <rFont val="Tahoma"/>
            <family val="2"/>
          </rPr>
          <t xml:space="preserve">:
</t>
        </r>
        <r>
          <rPr>
            <sz val="9"/>
            <color indexed="81"/>
            <rFont val="Tahoma"/>
            <family val="2"/>
          </rPr>
          <t>Enter the input capacitor ESR here based on the maximum allowed input capacitor ESR to meet the ripple voltage specification.</t>
        </r>
        <r>
          <rPr>
            <b/>
            <sz val="9"/>
            <color indexed="81"/>
            <rFont val="Tahoma"/>
            <family val="2"/>
          </rPr>
          <t xml:space="preserve">
The text in this cell will be </t>
        </r>
        <r>
          <rPr>
            <b/>
            <sz val="9"/>
            <color indexed="10"/>
            <rFont val="Tahoma"/>
            <family val="2"/>
          </rPr>
          <t>red</t>
        </r>
        <r>
          <rPr>
            <b/>
            <sz val="9"/>
            <color indexed="81"/>
            <rFont val="Tahoma"/>
            <family val="2"/>
          </rPr>
          <t xml:space="preserve"> if:
</t>
        </r>
        <r>
          <rPr>
            <b/>
            <sz val="9"/>
            <color indexed="10"/>
            <rFont val="Tahoma"/>
            <family val="2"/>
          </rPr>
          <t>-ESR is zero, or
-ESR exceeds maximum allowable ESR to meet the voltage ripple specification.</t>
        </r>
        <r>
          <rPr>
            <sz val="11"/>
            <color indexed="81"/>
            <rFont val="Tahoma"/>
            <family val="2"/>
          </rPr>
          <t xml:space="preserve">
</t>
        </r>
      </text>
    </comment>
    <comment ref="E49" authorId="0" shapeId="0" xr:uid="{00000000-0006-0000-0000-000012000000}">
      <text>
        <r>
          <rPr>
            <b/>
            <u/>
            <sz val="8"/>
            <color indexed="81"/>
            <rFont val="Tahoma"/>
            <family val="2"/>
          </rPr>
          <t>Soft-Start Time</t>
        </r>
        <r>
          <rPr>
            <b/>
            <sz val="8"/>
            <color indexed="81"/>
            <rFont val="Tahoma"/>
            <family val="2"/>
          </rPr>
          <t xml:space="preserve">:
</t>
        </r>
        <r>
          <rPr>
            <sz val="8"/>
            <color indexed="81"/>
            <rFont val="Tahoma"/>
            <family val="2"/>
          </rPr>
          <t xml:space="preserve">Enter the desired soft-start time here. </t>
        </r>
      </text>
    </comment>
    <comment ref="E51" authorId="0" shapeId="0" xr:uid="{00000000-0006-0000-0000-000013000000}">
      <text>
        <r>
          <rPr>
            <b/>
            <u/>
            <sz val="9"/>
            <color indexed="81"/>
            <rFont val="Tahoma"/>
            <family val="2"/>
          </rPr>
          <t>Nominal UVLO Turn-On Input Voltage</t>
        </r>
        <r>
          <rPr>
            <b/>
            <sz val="9"/>
            <color indexed="81"/>
            <rFont val="Tahoma"/>
            <family val="2"/>
          </rPr>
          <t xml:space="preserve">:
</t>
        </r>
        <r>
          <rPr>
            <sz val="9"/>
            <color indexed="81"/>
            <rFont val="Tahoma"/>
            <family val="2"/>
          </rPr>
          <t xml:space="preserve">Enter the nominal input voltage at turn on.
The LM5146-Q1 input operating voltage range is 5.5V to 95V.
</t>
        </r>
        <r>
          <rPr>
            <b/>
            <sz val="9"/>
            <color indexed="81"/>
            <rFont val="Tahoma"/>
            <family val="2"/>
          </rPr>
          <t>The text in this cell is red if:</t>
        </r>
        <r>
          <rPr>
            <sz val="9"/>
            <color indexed="81"/>
            <rFont val="Tahoma"/>
            <family val="2"/>
          </rPr>
          <t xml:space="preserve">
-The input voltage is above </t>
        </r>
        <r>
          <rPr>
            <b/>
            <sz val="9"/>
            <color indexed="10"/>
            <rFont val="Tahoma"/>
            <family val="2"/>
          </rPr>
          <t>95V</t>
        </r>
        <r>
          <rPr>
            <sz val="9"/>
            <color indexed="81"/>
            <rFont val="Tahoma"/>
            <family val="2"/>
          </rPr>
          <t xml:space="preserve">
-The input voltage is below </t>
        </r>
        <r>
          <rPr>
            <b/>
            <sz val="9"/>
            <color indexed="10"/>
            <rFont val="Tahoma"/>
            <family val="2"/>
          </rPr>
          <t>5.5V</t>
        </r>
      </text>
    </comment>
    <comment ref="E52" authorId="0" shapeId="0" xr:uid="{00000000-0006-0000-0000-000014000000}">
      <text>
        <r>
          <rPr>
            <b/>
            <u/>
            <sz val="9"/>
            <color indexed="81"/>
            <rFont val="Tahoma"/>
            <family val="2"/>
          </rPr>
          <t>Nominal UVLO Turn-Off Input Voltage</t>
        </r>
        <r>
          <rPr>
            <b/>
            <sz val="9"/>
            <color indexed="81"/>
            <rFont val="Tahoma"/>
            <family val="2"/>
          </rPr>
          <t>:</t>
        </r>
        <r>
          <rPr>
            <sz val="9"/>
            <color indexed="81"/>
            <rFont val="Tahoma"/>
            <family val="2"/>
          </rPr>
          <t xml:space="preserve">
Enter the nominal input voltage at turn off.
The LM5146-Q1 input operating voltage range is 5.5V to 95V.
</t>
        </r>
        <r>
          <rPr>
            <b/>
            <sz val="9"/>
            <color indexed="81"/>
            <rFont val="Tahoma"/>
            <family val="2"/>
          </rPr>
          <t xml:space="preserve">
The text in this cell is red if:</t>
        </r>
        <r>
          <rPr>
            <sz val="9"/>
            <color indexed="81"/>
            <rFont val="Tahoma"/>
            <family val="2"/>
          </rPr>
          <t xml:space="preserve">
-The input voltage is above </t>
        </r>
        <r>
          <rPr>
            <b/>
            <sz val="9"/>
            <color indexed="10"/>
            <rFont val="Tahoma"/>
            <family val="2"/>
          </rPr>
          <t>90V</t>
        </r>
        <r>
          <rPr>
            <sz val="9"/>
            <color indexed="81"/>
            <rFont val="Tahoma"/>
            <family val="2"/>
          </rPr>
          <t xml:space="preserve">
-The input voltage is below </t>
        </r>
        <r>
          <rPr>
            <b/>
            <sz val="9"/>
            <color indexed="10"/>
            <rFont val="Tahoma"/>
            <family val="2"/>
          </rPr>
          <t>5.5V</t>
        </r>
      </text>
    </comment>
    <comment ref="F61" authorId="0" shapeId="0" xr:uid="{00000000-0006-0000-0000-000015000000}">
      <text>
        <r>
          <rPr>
            <b/>
            <u/>
            <sz val="9"/>
            <color indexed="81"/>
            <rFont val="Tahoma"/>
            <family val="2"/>
          </rPr>
          <t>Crossover Frequency</t>
        </r>
        <r>
          <rPr>
            <b/>
            <sz val="9"/>
            <color indexed="81"/>
            <rFont val="Tahoma"/>
            <family val="2"/>
          </rPr>
          <t>:</t>
        </r>
        <r>
          <rPr>
            <sz val="9"/>
            <color indexed="81"/>
            <rFont val="Tahoma"/>
            <family val="2"/>
          </rPr>
          <t xml:space="preserve">
Enter the desired open loop crossover frequency (usually between 10% and 20% of switching frequency). The LM5146 design tool determines feedback compensation components based on this target performance metric.</t>
        </r>
      </text>
    </comment>
    <comment ref="E63" authorId="0" shapeId="0" xr:uid="{00000000-0006-0000-0000-000016000000}">
      <text>
        <r>
          <rPr>
            <b/>
            <sz val="9"/>
            <color indexed="81"/>
            <rFont val="Tahoma"/>
            <family val="2"/>
          </rPr>
          <t>R</t>
        </r>
        <r>
          <rPr>
            <b/>
            <vertAlign val="subscript"/>
            <sz val="9"/>
            <color indexed="81"/>
            <rFont val="Tahoma"/>
            <family val="2"/>
          </rPr>
          <t>FB1</t>
        </r>
        <r>
          <rPr>
            <b/>
            <sz val="9"/>
            <color indexed="81"/>
            <rFont val="Tahoma"/>
            <family val="2"/>
          </rPr>
          <t>:</t>
        </r>
        <r>
          <rPr>
            <sz val="9"/>
            <color indexed="81"/>
            <rFont val="Tahoma"/>
            <family val="2"/>
          </rPr>
          <t xml:space="preserve">
This is the upper feedback resistor that sets the output voltage. A recommended starting value of </t>
        </r>
        <r>
          <rPr>
            <b/>
            <sz val="9"/>
            <color indexed="81"/>
            <rFont val="Tahoma"/>
            <family val="2"/>
          </rPr>
          <t>R</t>
        </r>
        <r>
          <rPr>
            <b/>
            <vertAlign val="subscript"/>
            <sz val="9"/>
            <color indexed="81"/>
            <rFont val="Tahoma"/>
            <family val="2"/>
          </rPr>
          <t>FB1</t>
        </r>
        <r>
          <rPr>
            <sz val="9"/>
            <color indexed="81"/>
            <rFont val="Tahoma"/>
            <family val="2"/>
          </rPr>
          <t xml:space="preserve"> is 20kΩ.</t>
        </r>
      </text>
    </comment>
    <comment ref="D67" authorId="0" shapeId="0" xr:uid="{00000000-0006-0000-0000-000017000000}">
      <text>
        <r>
          <rPr>
            <b/>
            <sz val="9"/>
            <color indexed="81"/>
            <rFont val="Tahoma"/>
            <family val="2"/>
          </rPr>
          <t>F</t>
        </r>
        <r>
          <rPr>
            <b/>
            <vertAlign val="subscript"/>
            <sz val="9"/>
            <color indexed="81"/>
            <rFont val="Tahoma"/>
            <family val="2"/>
          </rPr>
          <t>Z1</t>
        </r>
        <r>
          <rPr>
            <b/>
            <sz val="9"/>
            <color indexed="81"/>
            <rFont val="Tahoma"/>
            <family val="2"/>
          </rPr>
          <t>:
F</t>
        </r>
        <r>
          <rPr>
            <b/>
            <vertAlign val="subscript"/>
            <sz val="9"/>
            <color indexed="81"/>
            <rFont val="Tahoma"/>
            <family val="2"/>
          </rPr>
          <t>Z1</t>
        </r>
        <r>
          <rPr>
            <sz val="9"/>
            <color indexed="81"/>
            <rFont val="Tahoma"/>
            <family val="2"/>
          </rPr>
          <t xml:space="preserve"> is the first zero of the compensator. By default, </t>
        </r>
        <r>
          <rPr>
            <b/>
            <sz val="9"/>
            <color indexed="81"/>
            <rFont val="Tahoma"/>
            <family val="2"/>
          </rPr>
          <t>F</t>
        </r>
        <r>
          <rPr>
            <b/>
            <vertAlign val="subscript"/>
            <sz val="9"/>
            <color indexed="81"/>
            <rFont val="Tahoma"/>
            <family val="2"/>
          </rPr>
          <t>Z1</t>
        </r>
        <r>
          <rPr>
            <sz val="9"/>
            <color indexed="81"/>
            <rFont val="Tahoma"/>
            <family val="2"/>
          </rPr>
          <t xml:space="preserve"> is located near the complex double pole (F</t>
        </r>
        <r>
          <rPr>
            <vertAlign val="subscript"/>
            <sz val="9"/>
            <color indexed="81"/>
            <rFont val="Tahoma"/>
            <family val="2"/>
          </rPr>
          <t>LC</t>
        </r>
        <r>
          <rPr>
            <sz val="9"/>
            <color indexed="81"/>
            <rFont val="Tahoma"/>
            <family val="2"/>
          </rPr>
          <t>) associated with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Z1</t>
        </r>
        <r>
          <rPr>
            <sz val="9"/>
            <color indexed="81"/>
            <rFont val="Tahoma"/>
            <family val="2"/>
          </rPr>
          <t xml:space="preserve"> cell.</t>
        </r>
      </text>
    </comment>
    <comment ref="D68" authorId="0" shapeId="0" xr:uid="{00000000-0006-0000-0000-000018000000}">
      <text>
        <r>
          <rPr>
            <b/>
            <sz val="9"/>
            <color indexed="81"/>
            <rFont val="Tahoma"/>
            <family val="2"/>
          </rPr>
          <t>F</t>
        </r>
        <r>
          <rPr>
            <b/>
            <vertAlign val="subscript"/>
            <sz val="9"/>
            <color indexed="81"/>
            <rFont val="Tahoma"/>
            <family val="2"/>
          </rPr>
          <t>Z2</t>
        </r>
        <r>
          <rPr>
            <b/>
            <sz val="9"/>
            <color indexed="81"/>
            <rFont val="Tahoma"/>
            <family val="2"/>
          </rPr>
          <t>:
F</t>
        </r>
        <r>
          <rPr>
            <b/>
            <vertAlign val="subscript"/>
            <sz val="9"/>
            <color indexed="81"/>
            <rFont val="Tahoma"/>
            <family val="2"/>
          </rPr>
          <t>Z2</t>
        </r>
        <r>
          <rPr>
            <sz val="9"/>
            <color indexed="81"/>
            <rFont val="Tahoma"/>
            <family val="2"/>
          </rPr>
          <t xml:space="preserve"> is the second zero of the compensator. By default, </t>
        </r>
        <r>
          <rPr>
            <b/>
            <sz val="9"/>
            <color indexed="81"/>
            <rFont val="Tahoma"/>
            <family val="2"/>
          </rPr>
          <t>F</t>
        </r>
        <r>
          <rPr>
            <b/>
            <vertAlign val="subscript"/>
            <sz val="9"/>
            <color indexed="81"/>
            <rFont val="Tahoma"/>
            <family val="2"/>
          </rPr>
          <t>Z2</t>
        </r>
        <r>
          <rPr>
            <sz val="9"/>
            <color indexed="81"/>
            <rFont val="Tahoma"/>
            <family val="2"/>
          </rPr>
          <t xml:space="preserve">  is located near the LC resonant frequency (F</t>
        </r>
        <r>
          <rPr>
            <vertAlign val="subscript"/>
            <sz val="9"/>
            <color indexed="81"/>
            <rFont val="Tahoma"/>
            <family val="2"/>
          </rPr>
          <t>LC</t>
        </r>
        <r>
          <rPr>
            <sz val="9"/>
            <color indexed="81"/>
            <rFont val="Tahoma"/>
            <family val="2"/>
          </rPr>
          <t>) caused by L</t>
        </r>
        <r>
          <rPr>
            <vertAlign val="subscript"/>
            <sz val="9"/>
            <color indexed="81"/>
            <rFont val="Tahoma"/>
            <family val="2"/>
          </rPr>
          <t>F</t>
        </r>
        <r>
          <rPr>
            <sz val="9"/>
            <color indexed="81"/>
            <rFont val="Tahoma"/>
            <family val="2"/>
          </rPr>
          <t xml:space="preserve"> and C</t>
        </r>
        <r>
          <rPr>
            <vertAlign val="subscript"/>
            <sz val="9"/>
            <color indexed="81"/>
            <rFont val="Tahoma"/>
            <family val="2"/>
          </rPr>
          <t>OUT</t>
        </r>
        <r>
          <rPr>
            <sz val="9"/>
            <color indexed="81"/>
            <rFont val="Tahoma"/>
            <family val="2"/>
          </rPr>
          <t xml:space="preserve"> filter components.  </t>
        </r>
        <r>
          <rPr>
            <b/>
            <sz val="9"/>
            <color indexed="81"/>
            <rFont val="Tahoma"/>
            <family val="2"/>
          </rPr>
          <t>F</t>
        </r>
        <r>
          <rPr>
            <b/>
            <vertAlign val="subscript"/>
            <sz val="9"/>
            <color indexed="81"/>
            <rFont val="Tahoma"/>
            <family val="2"/>
          </rPr>
          <t>Z2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Z2</t>
        </r>
        <r>
          <rPr>
            <sz val="9"/>
            <color indexed="81"/>
            <rFont val="Tahoma"/>
            <family val="2"/>
          </rPr>
          <t xml:space="preserve"> cell.</t>
        </r>
      </text>
    </comment>
    <comment ref="D69" authorId="0" shapeId="0" xr:uid="{00000000-0006-0000-0000-000019000000}">
      <text>
        <r>
          <rPr>
            <b/>
            <sz val="9"/>
            <color indexed="81"/>
            <rFont val="Tahoma"/>
            <family val="2"/>
          </rPr>
          <t>F</t>
        </r>
        <r>
          <rPr>
            <b/>
            <vertAlign val="subscript"/>
            <sz val="9"/>
            <color indexed="81"/>
            <rFont val="Tahoma"/>
            <family val="2"/>
          </rPr>
          <t>P1</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P1</t>
        </r>
        <r>
          <rPr>
            <sz val="9"/>
            <color indexed="81"/>
            <rFont val="Tahoma"/>
            <family val="2"/>
          </rPr>
          <t xml:space="preserve"> is the first pole of the compensator. By default, </t>
        </r>
        <r>
          <rPr>
            <b/>
            <sz val="9"/>
            <color indexed="81"/>
            <rFont val="Tahoma"/>
            <family val="2"/>
          </rPr>
          <t>F</t>
        </r>
        <r>
          <rPr>
            <b/>
            <vertAlign val="subscript"/>
            <sz val="9"/>
            <color indexed="81"/>
            <rFont val="Tahoma"/>
            <family val="2"/>
          </rPr>
          <t>P1</t>
        </r>
        <r>
          <rPr>
            <sz val="9"/>
            <color indexed="81"/>
            <rFont val="Tahoma"/>
            <family val="2"/>
          </rPr>
          <t xml:space="preserve"> is located at the zero (F</t>
        </r>
        <r>
          <rPr>
            <vertAlign val="subscript"/>
            <sz val="9"/>
            <color indexed="81"/>
            <rFont val="Tahoma"/>
            <family val="2"/>
          </rPr>
          <t>ESR</t>
        </r>
        <r>
          <rPr>
            <sz val="9"/>
            <color indexed="81"/>
            <rFont val="Tahoma"/>
            <family val="2"/>
          </rPr>
          <t>) caused by the output capacitance (C</t>
        </r>
        <r>
          <rPr>
            <vertAlign val="subscript"/>
            <sz val="9"/>
            <color indexed="81"/>
            <rFont val="Tahoma"/>
            <family val="2"/>
          </rPr>
          <t>OUT</t>
        </r>
        <r>
          <rPr>
            <sz val="9"/>
            <color indexed="81"/>
            <rFont val="Tahoma"/>
            <family val="2"/>
          </rPr>
          <t xml:space="preserve">) and its associated ESR. </t>
        </r>
        <r>
          <rPr>
            <b/>
            <sz val="9"/>
            <color indexed="81"/>
            <rFont val="Tahoma"/>
            <family val="2"/>
          </rPr>
          <t>F</t>
        </r>
        <r>
          <rPr>
            <b/>
            <vertAlign val="subscript"/>
            <sz val="9"/>
            <color indexed="81"/>
            <rFont val="Tahoma"/>
            <family val="2"/>
          </rPr>
          <t>P1</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P1</t>
        </r>
        <r>
          <rPr>
            <sz val="9"/>
            <color indexed="81"/>
            <rFont val="Tahoma"/>
            <family val="2"/>
          </rPr>
          <t xml:space="preserve"> cell.</t>
        </r>
      </text>
    </comment>
    <comment ref="D70" authorId="0" shapeId="0" xr:uid="{00000000-0006-0000-0000-00001A000000}">
      <text>
        <r>
          <rPr>
            <b/>
            <sz val="9"/>
            <color indexed="81"/>
            <rFont val="Tahoma"/>
            <family val="2"/>
          </rPr>
          <t>F</t>
        </r>
        <r>
          <rPr>
            <b/>
            <vertAlign val="subscript"/>
            <sz val="9"/>
            <color indexed="81"/>
            <rFont val="Tahoma"/>
            <family val="2"/>
          </rPr>
          <t>P2</t>
        </r>
        <r>
          <rPr>
            <b/>
            <sz val="9"/>
            <color indexed="81"/>
            <rFont val="Tahoma"/>
            <family val="2"/>
          </rPr>
          <t>:</t>
        </r>
        <r>
          <rPr>
            <sz val="9"/>
            <color indexed="81"/>
            <rFont val="Tahoma"/>
            <family val="2"/>
          </rPr>
          <t xml:space="preserve">
</t>
        </r>
        <r>
          <rPr>
            <b/>
            <sz val="9"/>
            <color indexed="81"/>
            <rFont val="Tahoma"/>
            <family val="2"/>
          </rPr>
          <t>F</t>
        </r>
        <r>
          <rPr>
            <b/>
            <vertAlign val="subscript"/>
            <sz val="9"/>
            <color indexed="81"/>
            <rFont val="Tahoma"/>
            <family val="2"/>
          </rPr>
          <t>P2</t>
        </r>
        <r>
          <rPr>
            <sz val="9"/>
            <color indexed="81"/>
            <rFont val="Tahoma"/>
            <family val="2"/>
          </rPr>
          <t xml:space="preserve"> is the second pole of the compensator. By default, </t>
        </r>
        <r>
          <rPr>
            <b/>
            <sz val="9"/>
            <color indexed="81"/>
            <rFont val="Tahoma"/>
            <family val="2"/>
          </rPr>
          <t>F</t>
        </r>
        <r>
          <rPr>
            <b/>
            <vertAlign val="subscript"/>
            <sz val="9"/>
            <color indexed="81"/>
            <rFont val="Tahoma"/>
            <family val="2"/>
          </rPr>
          <t>P2</t>
        </r>
        <r>
          <rPr>
            <sz val="9"/>
            <color indexed="81"/>
            <rFont val="Tahoma"/>
            <family val="2"/>
          </rPr>
          <t xml:space="preserve"> is located at F</t>
        </r>
        <r>
          <rPr>
            <vertAlign val="subscript"/>
            <sz val="9"/>
            <color indexed="81"/>
            <rFont val="Tahoma"/>
            <family val="2"/>
          </rPr>
          <t>SW</t>
        </r>
        <r>
          <rPr>
            <sz val="9"/>
            <color indexed="81"/>
            <rFont val="Tahoma"/>
            <family val="2"/>
          </rPr>
          <t xml:space="preserve">/2. </t>
        </r>
        <r>
          <rPr>
            <b/>
            <sz val="9"/>
            <color indexed="81"/>
            <rFont val="Tahoma"/>
            <family val="2"/>
          </rPr>
          <t>F</t>
        </r>
        <r>
          <rPr>
            <b/>
            <vertAlign val="subscript"/>
            <sz val="9"/>
            <color indexed="81"/>
            <rFont val="Tahoma"/>
            <family val="2"/>
          </rPr>
          <t>P2</t>
        </r>
        <r>
          <rPr>
            <sz val="9"/>
            <color indexed="81"/>
            <rFont val="Tahoma"/>
            <family val="2"/>
          </rPr>
          <t xml:space="preserve"> can be changed by direct entry into the </t>
        </r>
        <r>
          <rPr>
            <b/>
            <sz val="9"/>
            <color indexed="81"/>
            <rFont val="Tahoma"/>
            <family val="2"/>
          </rPr>
          <t>F</t>
        </r>
        <r>
          <rPr>
            <b/>
            <vertAlign val="subscript"/>
            <sz val="9"/>
            <color indexed="81"/>
            <rFont val="Tahoma"/>
            <family val="2"/>
          </rPr>
          <t>P2</t>
        </r>
        <r>
          <rPr>
            <sz val="9"/>
            <color indexed="81"/>
            <rFont val="Tahoma"/>
            <family val="2"/>
          </rPr>
          <t xml:space="preserve"> cell.</t>
        </r>
      </text>
    </comment>
    <comment ref="E85" authorId="1" shapeId="0" xr:uid="{00000000-0006-0000-0000-00001B000000}">
      <text>
        <r>
          <rPr>
            <b/>
            <sz val="10"/>
            <color indexed="81"/>
            <rFont val="Tahoma"/>
            <family val="2"/>
          </rPr>
          <t>On-State Resistance (R</t>
        </r>
        <r>
          <rPr>
            <b/>
            <vertAlign val="subscript"/>
            <sz val="10"/>
            <color indexed="81"/>
            <rFont val="Tahoma"/>
            <family val="2"/>
          </rPr>
          <t>DS(on)</t>
        </r>
        <r>
          <rPr>
            <b/>
            <sz val="10"/>
            <color indexed="81"/>
            <rFont val="Tahoma"/>
            <family val="2"/>
          </rPr>
          <t xml:space="preserve">):
</t>
        </r>
        <r>
          <rPr>
            <sz val="10"/>
            <color indexed="81"/>
            <rFont val="Tahoma"/>
            <family val="2"/>
          </rPr>
          <t xml:space="preserve">Enter the </t>
        </r>
        <r>
          <rPr>
            <b/>
            <sz val="10"/>
            <color indexed="81"/>
            <rFont val="Tahoma"/>
            <family val="2"/>
          </rPr>
          <t>R</t>
        </r>
        <r>
          <rPr>
            <b/>
            <vertAlign val="subscript"/>
            <sz val="10"/>
            <color indexed="81"/>
            <rFont val="Tahoma"/>
            <family val="2"/>
          </rPr>
          <t>DS(on)</t>
        </r>
        <r>
          <rPr>
            <sz val="10"/>
            <color indexed="81"/>
            <rFont val="Tahoma"/>
            <family val="2"/>
          </rPr>
          <t xml:space="preserve"> of the high-side MOSFET here (V</t>
        </r>
        <r>
          <rPr>
            <vertAlign val="subscript"/>
            <sz val="10"/>
            <color indexed="81"/>
            <rFont val="Tahoma"/>
            <family val="2"/>
          </rPr>
          <t>GS</t>
        </r>
        <r>
          <rPr>
            <sz val="10"/>
            <color indexed="81"/>
            <rFont val="Tahoma"/>
            <family val="2"/>
          </rPr>
          <t xml:space="preserve"> = 7.5V).
High current designs (&gt;10A) will incur large conduction losses and, as such, demand MOSFETs with low </t>
        </r>
        <r>
          <rPr>
            <b/>
            <sz val="10"/>
            <color indexed="81"/>
            <rFont val="Tahoma"/>
            <family val="2"/>
          </rPr>
          <t>R</t>
        </r>
        <r>
          <rPr>
            <b/>
            <vertAlign val="subscript"/>
            <sz val="10"/>
            <color indexed="81"/>
            <rFont val="Tahoma"/>
            <family val="2"/>
          </rPr>
          <t>DS(on)</t>
        </r>
        <r>
          <rPr>
            <sz val="10"/>
            <color indexed="81"/>
            <rFont val="Tahoma"/>
            <family val="2"/>
          </rPr>
          <t xml:space="preserve"> usually at the expense of larger Q</t>
        </r>
        <r>
          <rPr>
            <vertAlign val="subscript"/>
            <sz val="10"/>
            <color indexed="81"/>
            <rFont val="Tahoma"/>
            <family val="2"/>
          </rPr>
          <t>G</t>
        </r>
        <r>
          <rPr>
            <sz val="10"/>
            <color indexed="81"/>
            <rFont val="Tahoma"/>
            <family val="2"/>
          </rPr>
          <t xml:space="preserve">.
MOSFET </t>
        </r>
        <r>
          <rPr>
            <b/>
            <sz val="10"/>
            <color indexed="81"/>
            <rFont val="Tahoma"/>
            <family val="2"/>
          </rPr>
          <t>R</t>
        </r>
        <r>
          <rPr>
            <b/>
            <vertAlign val="subscript"/>
            <sz val="10"/>
            <color indexed="81"/>
            <rFont val="Tahoma"/>
            <family val="2"/>
          </rPr>
          <t>DS(ON)</t>
        </r>
        <r>
          <rPr>
            <sz val="10"/>
            <color indexed="81"/>
            <rFont val="Tahoma"/>
            <family val="2"/>
          </rPr>
          <t xml:space="preserve"> has a positive temperature coefficient (resistance increases with increasing temperature). This temperature coefficient is accounted for in the efficiency and power dissipation calculations.</t>
        </r>
      </text>
    </comment>
    <comment ref="E86" authorId="1" shapeId="0" xr:uid="{00000000-0006-0000-0000-00001C000000}">
      <text>
        <r>
          <rPr>
            <b/>
            <sz val="10"/>
            <color indexed="81"/>
            <rFont val="Tahoma"/>
            <family val="2"/>
          </rPr>
          <t>Total Gate Charge (Q</t>
        </r>
        <r>
          <rPr>
            <b/>
            <vertAlign val="subscript"/>
            <sz val="10"/>
            <color indexed="81"/>
            <rFont val="Tahoma"/>
            <family val="2"/>
          </rPr>
          <t>g</t>
        </r>
        <r>
          <rPr>
            <b/>
            <sz val="10"/>
            <color indexed="81"/>
            <rFont val="Tahoma"/>
            <family val="2"/>
          </rPr>
          <t>):</t>
        </r>
        <r>
          <rPr>
            <sz val="10"/>
            <color indexed="81"/>
            <rFont val="Tahoma"/>
            <family val="2"/>
          </rPr>
          <t xml:space="preserve">
Enter the total gate charge of the high-side MOSFET here.</t>
        </r>
      </text>
    </comment>
    <comment ref="E87" authorId="1" shapeId="0" xr:uid="{00000000-0006-0000-0000-00001D000000}">
      <text>
        <r>
          <rPr>
            <b/>
            <sz val="10"/>
            <color indexed="81"/>
            <rFont val="Tahoma"/>
            <family val="2"/>
          </rPr>
          <t>Gate-Drain Charge (Q</t>
        </r>
        <r>
          <rPr>
            <b/>
            <vertAlign val="subscript"/>
            <sz val="10"/>
            <color indexed="81"/>
            <rFont val="Tahoma"/>
            <family val="2"/>
          </rPr>
          <t>GD</t>
        </r>
        <r>
          <rPr>
            <b/>
            <sz val="10"/>
            <color indexed="81"/>
            <rFont val="Tahoma"/>
            <family val="2"/>
          </rPr>
          <t xml:space="preserve">):
</t>
        </r>
        <r>
          <rPr>
            <sz val="10"/>
            <color indexed="81"/>
            <rFont val="Tahoma"/>
            <family val="2"/>
          </rPr>
          <t>Enter the Q</t>
        </r>
        <r>
          <rPr>
            <vertAlign val="subscript"/>
            <sz val="10"/>
            <color indexed="81"/>
            <rFont val="Tahoma"/>
            <family val="2"/>
          </rPr>
          <t>GD</t>
        </r>
        <r>
          <rPr>
            <sz val="10"/>
            <color indexed="81"/>
            <rFont val="Tahoma"/>
            <family val="2"/>
          </rPr>
          <t xml:space="preserve"> of the high-side MOSFET here.
MOSFET Q</t>
        </r>
        <r>
          <rPr>
            <vertAlign val="subscript"/>
            <sz val="10"/>
            <color indexed="81"/>
            <rFont val="Tahoma"/>
            <family val="2"/>
          </rPr>
          <t>GD</t>
        </r>
        <r>
          <rPr>
            <sz val="10"/>
            <color indexed="81"/>
            <rFont val="Tahoma"/>
            <family val="2"/>
          </rPr>
          <t xml:space="preserve"> will affect the turn-on and-off transition times. Slow transition times will result in a decrease in efficiency, especially at higher input voltages.</t>
        </r>
      </text>
    </comment>
    <comment ref="E88" authorId="1" shapeId="0" xr:uid="{00000000-0006-0000-0000-00001E000000}">
      <text>
        <r>
          <rPr>
            <b/>
            <sz val="10"/>
            <color indexed="81"/>
            <rFont val="Tahoma"/>
            <family val="2"/>
          </rPr>
          <t>Gate-Source Charge (Q</t>
        </r>
        <r>
          <rPr>
            <b/>
            <vertAlign val="subscript"/>
            <sz val="10"/>
            <color indexed="81"/>
            <rFont val="Tahoma"/>
            <family val="2"/>
          </rPr>
          <t>GS</t>
        </r>
        <r>
          <rPr>
            <b/>
            <sz val="10"/>
            <color indexed="81"/>
            <rFont val="Tahoma"/>
            <family val="2"/>
          </rPr>
          <t xml:space="preserve">):
</t>
        </r>
        <r>
          <rPr>
            <sz val="10"/>
            <color indexed="81"/>
            <rFont val="Tahoma"/>
            <family val="2"/>
          </rPr>
          <t xml:space="preserve">Enter the gate-source charge here. </t>
        </r>
      </text>
    </comment>
    <comment ref="E89" authorId="1" shapeId="0" xr:uid="{00000000-0006-0000-0000-00001F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capacitance of the high-side MOSFET at the relevant input voltage here. </t>
        </r>
      </text>
    </comment>
    <comment ref="E90" authorId="1" shapeId="0" xr:uid="{00000000-0006-0000-0000-000020000000}">
      <text>
        <r>
          <rPr>
            <b/>
            <sz val="10"/>
            <color indexed="81"/>
            <rFont val="Tahoma"/>
            <family val="2"/>
          </rPr>
          <t>Gate Resistance (R</t>
        </r>
        <r>
          <rPr>
            <b/>
            <vertAlign val="subscript"/>
            <sz val="10"/>
            <color indexed="81"/>
            <rFont val="Tahoma"/>
            <family val="2"/>
          </rPr>
          <t>G</t>
        </r>
        <r>
          <rPr>
            <b/>
            <sz val="10"/>
            <color indexed="81"/>
            <rFont val="Tahoma"/>
            <family val="2"/>
          </rPr>
          <t>):</t>
        </r>
        <r>
          <rPr>
            <sz val="10"/>
            <color indexed="81"/>
            <rFont val="Tahoma"/>
            <family val="2"/>
          </rPr>
          <t xml:space="preserve">
Enter the high-side MOSFET gate resistance here. </t>
        </r>
      </text>
    </comment>
    <comment ref="E91" authorId="1" shapeId="0" xr:uid="{00000000-0006-0000-0000-000021000000}">
      <text>
        <r>
          <rPr>
            <b/>
            <sz val="10"/>
            <color indexed="81"/>
            <rFont val="Tahoma"/>
            <family val="2"/>
          </rPr>
          <t>Forward Transconductance (g</t>
        </r>
        <r>
          <rPr>
            <b/>
            <vertAlign val="subscript"/>
            <sz val="10"/>
            <color indexed="81"/>
            <rFont val="Tahoma"/>
            <family val="2"/>
          </rPr>
          <t>FS</t>
        </r>
        <r>
          <rPr>
            <b/>
            <sz val="10"/>
            <color indexed="81"/>
            <rFont val="Tahoma"/>
            <family val="2"/>
          </rPr>
          <t xml:space="preserve">):
</t>
        </r>
        <r>
          <rPr>
            <sz val="10"/>
            <color indexed="81"/>
            <rFont val="Tahoma"/>
            <family val="2"/>
          </rPr>
          <t>Enter the forward transconductance rating of the high-side MOSFET here.</t>
        </r>
      </text>
    </comment>
    <comment ref="E92" authorId="1" shapeId="0" xr:uid="{00000000-0006-0000-0000-000022000000}">
      <text>
        <r>
          <rPr>
            <b/>
            <sz val="10"/>
            <color indexed="81"/>
            <rFont val="Tahoma"/>
            <family val="2"/>
          </rPr>
          <t>Gate to Source Threshold Voltage (V</t>
        </r>
        <r>
          <rPr>
            <b/>
            <vertAlign val="subscript"/>
            <sz val="10"/>
            <color indexed="81"/>
            <rFont val="Tahoma"/>
            <family val="2"/>
          </rPr>
          <t>GS(TH)</t>
        </r>
        <r>
          <rPr>
            <b/>
            <sz val="10"/>
            <color indexed="81"/>
            <rFont val="Tahoma"/>
            <family val="2"/>
          </rPr>
          <t xml:space="preserve">):
</t>
        </r>
        <r>
          <rPr>
            <sz val="10"/>
            <color indexed="81"/>
            <rFont val="Tahoma"/>
            <family val="2"/>
          </rPr>
          <t>Enter the MOSFET gate-source threshold voltage at rated current here. This can be taken as the plateau voltage in the V</t>
        </r>
        <r>
          <rPr>
            <vertAlign val="subscript"/>
            <sz val="10"/>
            <color indexed="81"/>
            <rFont val="Tahoma"/>
            <family val="2"/>
          </rPr>
          <t>GS</t>
        </r>
        <r>
          <rPr>
            <sz val="10"/>
            <color indexed="81"/>
            <rFont val="Tahoma"/>
            <family val="2"/>
          </rPr>
          <t>-Q</t>
        </r>
        <r>
          <rPr>
            <vertAlign val="subscript"/>
            <sz val="10"/>
            <color indexed="81"/>
            <rFont val="Tahoma"/>
            <family val="2"/>
          </rPr>
          <t>G</t>
        </r>
        <r>
          <rPr>
            <sz val="10"/>
            <color indexed="81"/>
            <rFont val="Tahoma"/>
            <family val="2"/>
          </rPr>
          <t xml:space="preserve"> curve in the MOSFET datasheet.
</t>
        </r>
      </text>
    </comment>
    <comment ref="E93" authorId="1" shapeId="0" xr:uid="{00000000-0006-0000-0000-000023000000}">
      <text>
        <r>
          <rPr>
            <b/>
            <sz val="10"/>
            <color indexed="81"/>
            <rFont val="Tahoma"/>
            <family val="2"/>
          </rPr>
          <t>Body Diode Forward Voltage (V</t>
        </r>
        <r>
          <rPr>
            <b/>
            <vertAlign val="subscript"/>
            <sz val="10"/>
            <color indexed="81"/>
            <rFont val="Tahoma"/>
            <family val="2"/>
          </rPr>
          <t>bd1</t>
        </r>
        <r>
          <rPr>
            <b/>
            <sz val="10"/>
            <color indexed="81"/>
            <rFont val="Tahoma"/>
            <family val="2"/>
          </rPr>
          <t xml:space="preserve">):
</t>
        </r>
        <r>
          <rPr>
            <sz val="10"/>
            <color indexed="81"/>
            <rFont val="Tahoma"/>
            <family val="2"/>
          </rPr>
          <t>A MOSFET has an inherent reverse body diode, and the voltage drop usually is specified at a rated current. The high-side MOSFET body diode contributes power loss during negative current events.</t>
        </r>
      </text>
    </comment>
    <comment ref="E94" authorId="1" shapeId="0" xr:uid="{00000000-0006-0000-0000-000024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97" authorId="1" shapeId="0" xr:uid="{00000000-0006-0000-0000-000025000000}">
      <text>
        <r>
          <rPr>
            <b/>
            <sz val="10"/>
            <color indexed="81"/>
            <rFont val="Tahoma"/>
            <family val="2"/>
          </rPr>
          <t>MOSFET On-State Resistance (R</t>
        </r>
        <r>
          <rPr>
            <b/>
            <vertAlign val="subscript"/>
            <sz val="10"/>
            <color indexed="81"/>
            <rFont val="Tahoma"/>
            <family val="2"/>
          </rPr>
          <t>DS(on)</t>
        </r>
        <r>
          <rPr>
            <b/>
            <sz val="10"/>
            <color indexed="81"/>
            <rFont val="Tahoma"/>
            <family val="2"/>
          </rPr>
          <t xml:space="preserve">):
</t>
        </r>
        <r>
          <rPr>
            <sz val="10"/>
            <color indexed="81"/>
            <rFont val="Tahoma"/>
            <family val="2"/>
          </rPr>
          <t>Enter the R</t>
        </r>
        <r>
          <rPr>
            <vertAlign val="subscript"/>
            <sz val="10"/>
            <color indexed="81"/>
            <rFont val="Tahoma"/>
            <family val="2"/>
          </rPr>
          <t>DS(on)</t>
        </r>
        <r>
          <rPr>
            <sz val="10"/>
            <color indexed="81"/>
            <rFont val="Tahoma"/>
            <family val="2"/>
          </rPr>
          <t xml:space="preserve"> of the low-side MOSFET here (V</t>
        </r>
        <r>
          <rPr>
            <vertAlign val="subscript"/>
            <sz val="10"/>
            <color indexed="81"/>
            <rFont val="Tahoma"/>
            <family val="2"/>
          </rPr>
          <t>GS</t>
        </r>
        <r>
          <rPr>
            <sz val="10"/>
            <color indexed="81"/>
            <rFont val="Tahoma"/>
            <family val="2"/>
          </rPr>
          <t xml:space="preserve"> = 7.5V).
High current designs (&gt;10A) can incur large conduction losses and, as such, demand MOSFETs with low R</t>
        </r>
        <r>
          <rPr>
            <vertAlign val="subscript"/>
            <sz val="10"/>
            <color indexed="81"/>
            <rFont val="Tahoma"/>
            <family val="2"/>
          </rPr>
          <t>DS(on)</t>
        </r>
        <r>
          <rPr>
            <sz val="10"/>
            <color indexed="81"/>
            <rFont val="Tahoma"/>
            <family val="2"/>
          </rPr>
          <t xml:space="preserve"> </t>
        </r>
        <r>
          <rPr>
            <sz val="10"/>
            <color indexed="81"/>
            <rFont val="Calibri"/>
            <family val="2"/>
          </rPr>
          <t xml:space="preserve">– </t>
        </r>
        <r>
          <rPr>
            <sz val="10"/>
            <color indexed="81"/>
            <rFont val="Tahoma"/>
            <family val="2"/>
          </rPr>
          <t>usually at the expense of larger Q</t>
        </r>
        <r>
          <rPr>
            <vertAlign val="subscript"/>
            <sz val="10"/>
            <color indexed="81"/>
            <rFont val="Tahoma"/>
            <family val="2"/>
          </rPr>
          <t>G</t>
        </r>
        <r>
          <rPr>
            <sz val="10"/>
            <color indexed="81"/>
            <rFont val="Tahoma"/>
            <family val="2"/>
          </rPr>
          <t>. MOSFET R</t>
        </r>
        <r>
          <rPr>
            <vertAlign val="subscript"/>
            <sz val="10"/>
            <color indexed="81"/>
            <rFont val="Tahoma"/>
            <family val="2"/>
          </rPr>
          <t>DS(on)</t>
        </r>
        <r>
          <rPr>
            <sz val="10"/>
            <color indexed="81"/>
            <rFont val="Tahoma"/>
            <family val="2"/>
          </rPr>
          <t xml:space="preserve"> temperature coefficient is accounted for in the efficiency and power dissipation calculations.  </t>
        </r>
      </text>
    </comment>
    <comment ref="E98" authorId="1" shapeId="0" xr:uid="{00000000-0006-0000-0000-000026000000}">
      <text>
        <r>
          <rPr>
            <b/>
            <sz val="10"/>
            <color indexed="81"/>
            <rFont val="Tahoma"/>
            <family val="2"/>
          </rPr>
          <t>Total Gate Charge (Q</t>
        </r>
        <r>
          <rPr>
            <b/>
            <vertAlign val="subscript"/>
            <sz val="10"/>
            <color indexed="81"/>
            <rFont val="Tahoma"/>
            <family val="2"/>
          </rPr>
          <t>G</t>
        </r>
        <r>
          <rPr>
            <b/>
            <sz val="10"/>
            <color indexed="81"/>
            <rFont val="Tahoma"/>
            <family val="2"/>
          </rPr>
          <t xml:space="preserve">):
</t>
        </r>
        <r>
          <rPr>
            <sz val="10"/>
            <color indexed="81"/>
            <rFont val="Tahoma"/>
            <family val="2"/>
          </rPr>
          <t>Enter the total gate charge of the low-side MOSFET here.</t>
        </r>
      </text>
    </comment>
    <comment ref="E99" authorId="1" shapeId="0" xr:uid="{00000000-0006-0000-0000-000027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output charge of the low-side MOSFET at the relevant input voltage here. </t>
        </r>
      </text>
    </comment>
    <comment ref="E100" authorId="1" shapeId="0" xr:uid="{00000000-0006-0000-0000-000028000000}">
      <text>
        <r>
          <rPr>
            <b/>
            <sz val="10"/>
            <color indexed="81"/>
            <rFont val="Tahoma"/>
            <family val="2"/>
          </rPr>
          <t>Output Charge (Q</t>
        </r>
        <r>
          <rPr>
            <b/>
            <vertAlign val="subscript"/>
            <sz val="10"/>
            <color indexed="81"/>
            <rFont val="Tahoma"/>
            <family val="2"/>
          </rPr>
          <t>OSS</t>
        </r>
        <r>
          <rPr>
            <b/>
            <sz val="10"/>
            <color indexed="81"/>
            <rFont val="Tahoma"/>
            <family val="2"/>
          </rPr>
          <t xml:space="preserve">):
</t>
        </r>
        <r>
          <rPr>
            <sz val="10"/>
            <color indexed="81"/>
            <rFont val="Tahoma"/>
            <family val="2"/>
          </rPr>
          <t xml:space="preserve">Enter the MOSFET's output capacitance at the relevant input voltage here. </t>
        </r>
      </text>
    </comment>
    <comment ref="E101" authorId="1" shapeId="0" xr:uid="{00000000-0006-0000-0000-000029000000}">
      <text>
        <r>
          <rPr>
            <b/>
            <sz val="9"/>
            <color indexed="81"/>
            <rFont val="Tahoma"/>
            <family val="2"/>
          </rPr>
          <t>Body Diode Voltage (V</t>
        </r>
        <r>
          <rPr>
            <b/>
            <vertAlign val="subscript"/>
            <sz val="9"/>
            <color indexed="81"/>
            <rFont val="Tahoma"/>
            <family val="2"/>
          </rPr>
          <t>sd</t>
        </r>
        <r>
          <rPr>
            <b/>
            <sz val="9"/>
            <color indexed="81"/>
            <rFont val="Tahoma"/>
            <family val="2"/>
          </rPr>
          <t xml:space="preserve">):
</t>
        </r>
        <r>
          <rPr>
            <sz val="9"/>
            <color indexed="81"/>
            <rFont val="Tahoma"/>
            <family val="2"/>
          </rPr>
          <t>The low-side MOSFET body diode can contribute substantial power loss related to (1) body diode conduction drop during the deadtime, and (2) diode reverse recovery current.</t>
        </r>
      </text>
    </comment>
    <comment ref="E102" authorId="1" shapeId="0" xr:uid="{00000000-0006-0000-0000-00002A000000}">
      <text>
        <r>
          <rPr>
            <b/>
            <sz val="10"/>
            <color indexed="81"/>
            <rFont val="Tahoma"/>
            <family val="2"/>
          </rPr>
          <t>Body Diode Recovery Charge (Q</t>
        </r>
        <r>
          <rPr>
            <b/>
            <vertAlign val="subscript"/>
            <sz val="10"/>
            <color indexed="81"/>
            <rFont val="Tahoma"/>
            <family val="2"/>
          </rPr>
          <t>RR</t>
        </r>
        <r>
          <rPr>
            <b/>
            <sz val="10"/>
            <color indexed="81"/>
            <rFont val="Tahoma"/>
            <family val="2"/>
          </rPr>
          <t xml:space="preserve">):
</t>
        </r>
        <r>
          <rPr>
            <sz val="10"/>
            <color indexed="81"/>
            <rFont val="Tahoma"/>
            <family val="2"/>
          </rPr>
          <t xml:space="preserve">Enter the reverse recovery charge of the low-side MOSFET body diode here. </t>
        </r>
      </text>
    </comment>
    <comment ref="E103" authorId="1" shapeId="0" xr:uid="{00000000-0006-0000-0000-00002B000000}">
      <text>
        <r>
          <rPr>
            <b/>
            <sz val="10"/>
            <color indexed="81"/>
            <rFont val="Tahoma"/>
            <family val="2"/>
          </rPr>
          <t>θ</t>
        </r>
        <r>
          <rPr>
            <b/>
            <vertAlign val="subscript"/>
            <sz val="10"/>
            <color indexed="81"/>
            <rFont val="Tahoma"/>
            <family val="2"/>
          </rPr>
          <t>JA</t>
        </r>
        <r>
          <rPr>
            <b/>
            <sz val="10"/>
            <color indexed="81"/>
            <rFont val="Tahoma"/>
            <family val="2"/>
          </rPr>
          <t xml:space="preserve">:
</t>
        </r>
        <r>
          <rPr>
            <sz val="10"/>
            <color indexed="81"/>
            <rFont val="Tahoma"/>
            <family val="2"/>
          </rPr>
          <t>θ</t>
        </r>
        <r>
          <rPr>
            <vertAlign val="subscript"/>
            <sz val="10"/>
            <color indexed="81"/>
            <rFont val="Tahoma"/>
            <family val="2"/>
          </rPr>
          <t>JA</t>
        </r>
        <r>
          <rPr>
            <sz val="10"/>
            <color indexed="81"/>
            <rFont val="Tahoma"/>
            <family val="2"/>
          </rPr>
          <t xml:space="preserve"> is the junction-to-ambient thermal resistance of the MOSFET. Higher θ</t>
        </r>
        <r>
          <rPr>
            <vertAlign val="subscript"/>
            <sz val="10"/>
            <color indexed="81"/>
            <rFont val="Tahoma"/>
            <family val="2"/>
          </rPr>
          <t>JA</t>
        </r>
        <r>
          <rPr>
            <sz val="10"/>
            <color indexed="81"/>
            <rFont val="Tahoma"/>
            <family val="2"/>
          </rPr>
          <t xml:space="preserve"> will lead to higher power loss and reduced efficiency. High current designs demand low θ</t>
        </r>
        <r>
          <rPr>
            <vertAlign val="subscript"/>
            <sz val="10"/>
            <color indexed="81"/>
            <rFont val="Tahoma"/>
            <family val="2"/>
          </rPr>
          <t>JA</t>
        </r>
        <r>
          <rPr>
            <sz val="10"/>
            <color indexed="81"/>
            <rFont val="Tahoma"/>
            <family val="2"/>
          </rPr>
          <t xml:space="preserve"> rating to help maintain low MOSFET operating junction temperature. What's imperative here is consciencious PCB design and layout to maximize heat removal from the MOSFET.</t>
        </r>
      </text>
    </comment>
    <comment ref="E105" authorId="1" shapeId="0" xr:uid="{00000000-0006-0000-0000-00002C000000}">
      <text>
        <r>
          <rPr>
            <b/>
            <sz val="10"/>
            <color indexed="81"/>
            <rFont val="Tahoma"/>
            <family val="2"/>
          </rPr>
          <t xml:space="preserve">Schottky Forward Voltage:
</t>
        </r>
        <r>
          <rPr>
            <sz val="10"/>
            <color indexed="81"/>
            <rFont val="Tahoma"/>
            <family val="2"/>
          </rPr>
          <t>If a Schottky diode is used, enter the forward voltage at the rated current here. If a Schottky diode is not used, enter "0" into this cell.</t>
        </r>
      </text>
    </comment>
    <comment ref="E106" authorId="1" shapeId="0" xr:uid="{00000000-0006-0000-0000-00002D000000}">
      <text>
        <r>
          <rPr>
            <b/>
            <sz val="10"/>
            <color indexed="81"/>
            <rFont val="Tahoma"/>
            <family val="2"/>
          </rPr>
          <t xml:space="preserve">Schottky Diode Reverse Recovery Charge:
</t>
        </r>
        <r>
          <rPr>
            <sz val="10"/>
            <color indexed="81"/>
            <rFont val="Tahoma"/>
            <family val="2"/>
          </rPr>
          <t>Enter the diode reverse recovery charge here. If a Schottky diode is not used, enter "0" into this cell.</t>
        </r>
      </text>
    </comment>
    <comment ref="F109" authorId="2" shapeId="0" xr:uid="{70B3F286-F84F-461D-9F74-21CCF1BCDAF1}">
      <text>
        <r>
          <rPr>
            <b/>
            <sz val="9"/>
            <color indexed="81"/>
            <rFont val="Tahoma"/>
            <family val="2"/>
          </rPr>
          <t>IC Power Loss:</t>
        </r>
        <r>
          <rPr>
            <sz val="9"/>
            <color indexed="81"/>
            <rFont val="Tahoma"/>
            <family val="2"/>
          </rPr>
          <t xml:space="preserve">
IC power loss estimate based on nominal input voltage and MOSFET gate drive requirements.</t>
        </r>
      </text>
    </comment>
    <comment ref="F110" authorId="2" shapeId="0" xr:uid="{710413E0-2AA9-48A8-934E-8C0025083D74}">
      <text>
        <r>
          <rPr>
            <b/>
            <sz val="9"/>
            <color indexed="81"/>
            <rFont val="Tahoma"/>
            <family val="2"/>
          </rPr>
          <t>IC Junction Temperature Rise:</t>
        </r>
        <r>
          <rPr>
            <sz val="9"/>
            <color indexed="81"/>
            <rFont val="Tahoma"/>
            <family val="2"/>
          </rPr>
          <t xml:space="preserve">
IC junction temperature based on power loss estimate.</t>
        </r>
      </text>
    </comment>
  </commentList>
</comments>
</file>

<file path=xl/sharedStrings.xml><?xml version="1.0" encoding="utf-8"?>
<sst xmlns="http://schemas.openxmlformats.org/spreadsheetml/2006/main" count="1379" uniqueCount="775">
  <si>
    <t>V</t>
  </si>
  <si>
    <t>Output Voltage</t>
  </si>
  <si>
    <t>A</t>
  </si>
  <si>
    <t>kHz</t>
  </si>
  <si>
    <t>Vin</t>
  </si>
  <si>
    <t>Vout</t>
  </si>
  <si>
    <t>Iout</t>
  </si>
  <si>
    <t>Fsw</t>
  </si>
  <si>
    <t>Value</t>
  </si>
  <si>
    <t>STD Units</t>
  </si>
  <si>
    <t>Hz</t>
  </si>
  <si>
    <t>uH</t>
  </si>
  <si>
    <t>Rdcr</t>
  </si>
  <si>
    <t>Notes</t>
  </si>
  <si>
    <t>Nominal input voltage</t>
  </si>
  <si>
    <t>Maximum output Current</t>
  </si>
  <si>
    <t>Nominal Operational Frequency</t>
  </si>
  <si>
    <t>ideal Duty Cycle</t>
  </si>
  <si>
    <t>Ideal 1- Duty Cycle</t>
  </si>
  <si>
    <t>Don1</t>
  </si>
  <si>
    <t>Doff1</t>
  </si>
  <si>
    <t>Don2</t>
  </si>
  <si>
    <t>Doff2</t>
  </si>
  <si>
    <t>index</t>
  </si>
  <si>
    <t>H</t>
  </si>
  <si>
    <t>Ohms</t>
  </si>
  <si>
    <t>Vripple1</t>
  </si>
  <si>
    <t>Choosen Initial Voltage ripple Value</t>
  </si>
  <si>
    <t>Minimum Output Capacitnace</t>
  </si>
  <si>
    <t>Coutmin</t>
  </si>
  <si>
    <t>uF</t>
  </si>
  <si>
    <t>Lout1</t>
  </si>
  <si>
    <t>Lout2</t>
  </si>
  <si>
    <t>Irripple1</t>
  </si>
  <si>
    <t>F</t>
  </si>
  <si>
    <t>Choosen Output Capacitor</t>
  </si>
  <si>
    <t>Cout</t>
  </si>
  <si>
    <t>Compensation</t>
  </si>
  <si>
    <t>iteration</t>
  </si>
  <si>
    <t>Fo</t>
  </si>
  <si>
    <t>LC Double Pole Location</t>
  </si>
  <si>
    <t>Fesr</t>
  </si>
  <si>
    <t>Q</t>
  </si>
  <si>
    <t>Quality Factor of LC output Filter</t>
  </si>
  <si>
    <t>Frequency</t>
  </si>
  <si>
    <t>Bode Plot Setup</t>
  </si>
  <si>
    <t>Output Filter</t>
  </si>
  <si>
    <t>Esr zero</t>
  </si>
  <si>
    <t>LC Double Pole</t>
  </si>
  <si>
    <t>V/V</t>
  </si>
  <si>
    <t>Origin Pole</t>
  </si>
  <si>
    <t>Kmidband</t>
  </si>
  <si>
    <t>Rfb1</t>
  </si>
  <si>
    <t>pF</t>
  </si>
  <si>
    <t>Cc1ea</t>
  </si>
  <si>
    <t>Cc2ea</t>
  </si>
  <si>
    <t>Rcea2</t>
  </si>
  <si>
    <t>Cc3ea</t>
  </si>
  <si>
    <t>Rcea1</t>
  </si>
  <si>
    <t>Rcea1_u</t>
  </si>
  <si>
    <t>Cc1ea_u</t>
  </si>
  <si>
    <t>Cc2ea_u</t>
  </si>
  <si>
    <t>Rcea2_u</t>
  </si>
  <si>
    <t>Cc3ea_u</t>
  </si>
  <si>
    <t>Fz1</t>
  </si>
  <si>
    <t>Fz2</t>
  </si>
  <si>
    <t>Fp1</t>
  </si>
  <si>
    <t>Fp2</t>
  </si>
  <si>
    <t>Gain</t>
  </si>
  <si>
    <t>Phase</t>
  </si>
  <si>
    <t>Pi</t>
  </si>
  <si>
    <t>Total Gain</t>
  </si>
  <si>
    <t>Total Phase</t>
  </si>
  <si>
    <t>Phase margin</t>
  </si>
  <si>
    <t>Vramp</t>
  </si>
  <si>
    <t>Vp-p</t>
  </si>
  <si>
    <t>Pwm</t>
  </si>
  <si>
    <t>Rfb2</t>
  </si>
  <si>
    <t>Vref</t>
  </si>
  <si>
    <t>Reference Voltage</t>
  </si>
  <si>
    <t>Ro</t>
  </si>
  <si>
    <t>Eadcg</t>
  </si>
  <si>
    <t>GBP</t>
  </si>
  <si>
    <t>A(s)</t>
  </si>
  <si>
    <t>xover</t>
  </si>
  <si>
    <t>phase margin</t>
  </si>
  <si>
    <t>Z1</t>
  </si>
  <si>
    <t>Z3</t>
  </si>
  <si>
    <t>Real</t>
  </si>
  <si>
    <t>Imag</t>
  </si>
  <si>
    <t>Num</t>
  </si>
  <si>
    <t>Den</t>
  </si>
  <si>
    <t>Total</t>
  </si>
  <si>
    <t>a</t>
  </si>
  <si>
    <t>b</t>
  </si>
  <si>
    <t>c</t>
  </si>
  <si>
    <t>d</t>
  </si>
  <si>
    <t>Z1 Real</t>
  </si>
  <si>
    <t>Z1 Imag</t>
  </si>
  <si>
    <t>Z3 Imag</t>
  </si>
  <si>
    <t>Z3 Real</t>
  </si>
  <si>
    <t>EAGain</t>
  </si>
  <si>
    <t>Ea Phase</t>
  </si>
  <si>
    <t>Ea Gain (db)</t>
  </si>
  <si>
    <t>Total Phase Margin</t>
  </si>
  <si>
    <t>Design Output</t>
  </si>
  <si>
    <t>EA MODELING</t>
  </si>
  <si>
    <t>Ea Gain BW</t>
  </si>
  <si>
    <t>Complex EA</t>
  </si>
  <si>
    <t>Actual EA Response</t>
  </si>
  <si>
    <t>Actual Total System Response</t>
  </si>
  <si>
    <t>XOVER SEARCH</t>
  </si>
  <si>
    <t>Step 2: Inductor</t>
  </si>
  <si>
    <t>Variable Name</t>
  </si>
  <si>
    <t>Resrmax</t>
  </si>
  <si>
    <t>mΩ</t>
  </si>
  <si>
    <t>kΩ</t>
  </si>
  <si>
    <t>TERMS OF USE</t>
  </si>
  <si>
    <t>Currents</t>
  </si>
  <si>
    <t>IQ</t>
  </si>
  <si>
    <t>Step</t>
  </si>
  <si>
    <t>Core</t>
  </si>
  <si>
    <t>Total Loss</t>
  </si>
  <si>
    <t>OUTPUT POWER</t>
  </si>
  <si>
    <t>EFF</t>
  </si>
  <si>
    <t>Design</t>
  </si>
  <si>
    <t>L</t>
  </si>
  <si>
    <t>Cin</t>
  </si>
  <si>
    <t>Components</t>
  </si>
  <si>
    <t>Top FET</t>
  </si>
  <si>
    <t>Bottom FET</t>
  </si>
  <si>
    <t>RdsonDRB</t>
  </si>
  <si>
    <t>RdsonDRT</t>
  </si>
  <si>
    <t>Deadtime</t>
  </si>
  <si>
    <t>mOhms</t>
  </si>
  <si>
    <t>mA</t>
  </si>
  <si>
    <t>nC</t>
  </si>
  <si>
    <t>S</t>
  </si>
  <si>
    <t>QgBot</t>
  </si>
  <si>
    <t>RdsonBot</t>
  </si>
  <si>
    <t>GfsTop</t>
  </si>
  <si>
    <t>QgTop</t>
  </si>
  <si>
    <t>RdsonTop</t>
  </si>
  <si>
    <t xml:space="preserve">INDUCTOR </t>
  </si>
  <si>
    <t>VsdBot</t>
  </si>
  <si>
    <t>QrrBot</t>
  </si>
  <si>
    <t>TrrBot</t>
  </si>
  <si>
    <t>ns</t>
  </si>
  <si>
    <t>Units</t>
  </si>
  <si>
    <t>Outputs</t>
  </si>
  <si>
    <t>Bottom FET/Diode</t>
  </si>
  <si>
    <t>Dprime</t>
  </si>
  <si>
    <t>RdsonTopTc</t>
  </si>
  <si>
    <t>RdsonBotTc</t>
  </si>
  <si>
    <t>ppm</t>
  </si>
  <si>
    <t>LTc</t>
  </si>
  <si>
    <t>Ta</t>
  </si>
  <si>
    <t>Irms</t>
  </si>
  <si>
    <t>RCoutEsr</t>
  </si>
  <si>
    <t>RCinEsr</t>
  </si>
  <si>
    <t>ThetaJaBot</t>
  </si>
  <si>
    <t>ThetaJaTop</t>
  </si>
  <si>
    <t>RDSON Loss</t>
  </si>
  <si>
    <t>Cin Esr   Loss</t>
  </si>
  <si>
    <t>Cout Esr Loss</t>
  </si>
  <si>
    <t>DCR    Loss</t>
  </si>
  <si>
    <t>Tr</t>
  </si>
  <si>
    <t>Tf</t>
  </si>
  <si>
    <t>RGateTop</t>
  </si>
  <si>
    <t>RGateBot</t>
  </si>
  <si>
    <t>VthTop</t>
  </si>
  <si>
    <t>Reverse Recovery Loss</t>
  </si>
  <si>
    <t>DeadTime Loss</t>
  </si>
  <si>
    <t>Switching Frequency</t>
  </si>
  <si>
    <t>Max Output Current</t>
  </si>
  <si>
    <t>Ambient Temperature</t>
  </si>
  <si>
    <t>Inductor Series Resistance Temp Co</t>
  </si>
  <si>
    <t>Input Capacitor Capacitance</t>
  </si>
  <si>
    <t>Input Capacitor Series Resistance</t>
  </si>
  <si>
    <t>Total Deadtime</t>
  </si>
  <si>
    <t>Gate Charge Of Top FET</t>
  </si>
  <si>
    <t>Gate Resistance</t>
  </si>
  <si>
    <t>Transconductance of Top FET</t>
  </si>
  <si>
    <t>Threshold Voltage of Top FET</t>
  </si>
  <si>
    <t>Junction to Ambient Resistance</t>
  </si>
  <si>
    <t>Drain To Source Resitance Temp Co</t>
  </si>
  <si>
    <t>Diode Forward Voltage of Bottom FET Body Diode</t>
  </si>
  <si>
    <t>Reverse Recovery Time of Body Diode</t>
  </si>
  <si>
    <t>Description</t>
  </si>
  <si>
    <t>Input Parameters</t>
  </si>
  <si>
    <t>Output Inductor Inductance Value</t>
  </si>
  <si>
    <t>Inductor Series Resistance at 25 Degrees C</t>
  </si>
  <si>
    <t>Drain To Source Resistance of Bottom FET Driver</t>
  </si>
  <si>
    <t>Drain to Source Resistance Temp Co</t>
  </si>
  <si>
    <t xml:space="preserve">Drain to Source Resistance of Top FET </t>
  </si>
  <si>
    <t>BUCK CONTROLLER POWER TOOL</t>
  </si>
  <si>
    <t>Reverse Recovery Charge of Body Diode</t>
  </si>
  <si>
    <t>IQ      Loss</t>
  </si>
  <si>
    <t>Enter the values of your design and FET datasheet specifications below. Note that thermal resistance ("Theta JA") will change when components are placed on the PCB</t>
  </si>
  <si>
    <t>Output Capacitor Capcitance</t>
  </si>
  <si>
    <t>Output Capacitor Series Resistance</t>
  </si>
  <si>
    <t>Input Value</t>
  </si>
  <si>
    <t>Top Driver</t>
  </si>
  <si>
    <t>Bottom Driver</t>
  </si>
  <si>
    <t>Drain to Source Resistance of pull up Top FET Driver</t>
  </si>
  <si>
    <t>Drain to Source Resistance of pull down Top FET Driver</t>
  </si>
  <si>
    <t>Part Power</t>
  </si>
  <si>
    <t>Power Dis</t>
  </si>
  <si>
    <t>W</t>
  </si>
  <si>
    <t>Controller</t>
  </si>
  <si>
    <t>Theta Ja</t>
  </si>
  <si>
    <t>Temp rise</t>
  </si>
  <si>
    <t>θJA=80</t>
  </si>
  <si>
    <t>θJA=100</t>
  </si>
  <si>
    <t>θJA=120</t>
  </si>
  <si>
    <t>θJA=140</t>
  </si>
  <si>
    <t>θJA=160</t>
  </si>
  <si>
    <t>θJA=180</t>
  </si>
  <si>
    <t>QgdTop</t>
  </si>
  <si>
    <t>Gate to Drain Charge</t>
  </si>
  <si>
    <t>Qg</t>
  </si>
  <si>
    <t>θJA=20</t>
  </si>
  <si>
    <t>θJA=30</t>
  </si>
  <si>
    <t>θJA=40</t>
  </si>
  <si>
    <t>θJA=50</t>
  </si>
  <si>
    <t>250kHz / 5-1.2V /25A</t>
  </si>
  <si>
    <t>250kHz / 12-5V / 30A</t>
  </si>
  <si>
    <t>500kHz / 5-1.2V / 15A</t>
  </si>
  <si>
    <t>1Mhz / 5-1.2V / 10A</t>
  </si>
  <si>
    <t>1Mhz / 12-1.2V/ 10A</t>
  </si>
  <si>
    <t>500kHz / 12-5V / 15A</t>
  </si>
  <si>
    <t>250kHz / 18-1.2V / 20A</t>
  </si>
  <si>
    <t>500kHz / 18-1.2V / 20A</t>
  </si>
  <si>
    <t>θJA=120°C/W - 160°C/W</t>
  </si>
  <si>
    <t>θJA=30°C/W - 50°C/W</t>
  </si>
  <si>
    <t>VspTop</t>
  </si>
  <si>
    <t>QgsTop</t>
  </si>
  <si>
    <t>Part Losses</t>
  </si>
  <si>
    <t>RdsonDRB2</t>
  </si>
  <si>
    <t>RdsonDRT2</t>
  </si>
  <si>
    <t>EFF_1 @ 25°C</t>
  </si>
  <si>
    <t>Efficiency</t>
  </si>
  <si>
    <t>Pdis</t>
  </si>
  <si>
    <t>Vin=10V</t>
  </si>
  <si>
    <t>Vout=5.1V</t>
  </si>
  <si>
    <t xml:space="preserve">L=3.3uH/30mOhm </t>
  </si>
  <si>
    <t>4394 Top and Bottom Fets</t>
  </si>
  <si>
    <t>Duty Cycle</t>
  </si>
  <si>
    <t>Current Ripple p-p</t>
  </si>
  <si>
    <t xml:space="preserve">IQ </t>
  </si>
  <si>
    <t>ThetaCa</t>
  </si>
  <si>
    <t>Core to Ambient Thermal Resistance</t>
  </si>
  <si>
    <t>IRMS</t>
  </si>
  <si>
    <t>Total Part Loss</t>
  </si>
  <si>
    <t>RESULSTS</t>
  </si>
  <si>
    <t xml:space="preserve">LOW SIDE FET Losses </t>
  </si>
  <si>
    <t xml:space="preserve">HIGH SIDE FET losses </t>
  </si>
  <si>
    <t>Top FET Temp Rise</t>
  </si>
  <si>
    <t>Bottom FET Temp Rise</t>
  </si>
  <si>
    <t>Quiescent Current Of Controller (Not Switching!)</t>
  </si>
  <si>
    <t>Top Feedback Resistor</t>
  </si>
  <si>
    <t>This along with Rcea1 will set a zero</t>
  </si>
  <si>
    <t>This pole is set at half the switching frequency</t>
  </si>
  <si>
    <t>This pole cancels the zero from the Output Cap ESR</t>
  </si>
  <si>
    <t>PI</t>
  </si>
  <si>
    <t>s</t>
  </si>
  <si>
    <t>Switch Point Voltage of Top FET</t>
  </si>
  <si>
    <t>ThetaJaCtrl</t>
  </si>
  <si>
    <t>Part Characteristics</t>
  </si>
  <si>
    <t>C</t>
  </si>
  <si>
    <t>Switching Current Loss</t>
  </si>
  <si>
    <t>Rfb2_u</t>
  </si>
  <si>
    <t>CoutEsr</t>
  </si>
  <si>
    <t>Ilimit</t>
  </si>
  <si>
    <t>Ω</t>
  </si>
  <si>
    <t>Step 3: Current Limit</t>
  </si>
  <si>
    <t>Step 4: Output Capacitor</t>
  </si>
  <si>
    <t>Step 5: Input Capacitor</t>
  </si>
  <si>
    <t>nF</t>
  </si>
  <si>
    <t>R1</t>
  </si>
  <si>
    <t>R2</t>
  </si>
  <si>
    <t>VIN</t>
  </si>
  <si>
    <t>A (rms)</t>
  </si>
  <si>
    <t>Icinrms</t>
  </si>
  <si>
    <t>Icoutrms</t>
  </si>
  <si>
    <t>= Input Box</t>
  </si>
  <si>
    <t>Excel Variables Names/Calculations</t>
  </si>
  <si>
    <t>Input capacitance</t>
  </si>
  <si>
    <t>Step 1: Operational Specs</t>
  </si>
  <si>
    <t>Ilimit2</t>
  </si>
  <si>
    <t>Step 6: Soft Start</t>
  </si>
  <si>
    <t>ms</t>
  </si>
  <si>
    <t>Tss</t>
  </si>
  <si>
    <t>Soft Start Time</t>
  </si>
  <si>
    <t>Iss</t>
  </si>
  <si>
    <t>Css</t>
  </si>
  <si>
    <t>Rfadj</t>
  </si>
  <si>
    <t>C1</t>
  </si>
  <si>
    <t>C2</t>
  </si>
  <si>
    <t>Ripple I</t>
  </si>
  <si>
    <t>%</t>
  </si>
  <si>
    <t xml:space="preserve">I1 </t>
  </si>
  <si>
    <t xml:space="preserve">I2 </t>
  </si>
  <si>
    <t>Part Number</t>
  </si>
  <si>
    <t>Cby</t>
  </si>
  <si>
    <t>Csb</t>
  </si>
  <si>
    <t>Rh</t>
  </si>
  <si>
    <t>Capacitors</t>
  </si>
  <si>
    <t>(pF)</t>
  </si>
  <si>
    <t>Standard Result</t>
  </si>
  <si>
    <t>Inputs</t>
  </si>
  <si>
    <t>Css_u</t>
  </si>
  <si>
    <t>Resistors</t>
  </si>
  <si>
    <t>Radj</t>
  </si>
  <si>
    <t>inputs</t>
  </si>
  <si>
    <t>Cb</t>
  </si>
  <si>
    <t>Rs1</t>
  </si>
  <si>
    <t>Rs2</t>
  </si>
  <si>
    <t>Rs3</t>
  </si>
  <si>
    <t>Rs4</t>
  </si>
  <si>
    <t xml:space="preserve">                </t>
  </si>
  <si>
    <t>Cdd</t>
  </si>
  <si>
    <t>Cc1</t>
  </si>
  <si>
    <t>Cc2</t>
  </si>
  <si>
    <t>Cc3</t>
  </si>
  <si>
    <t>Csby</t>
  </si>
  <si>
    <t>Rc1</t>
  </si>
  <si>
    <t>Rc2</t>
  </si>
  <si>
    <t>Other Input Variables</t>
  </si>
  <si>
    <t>Step 7: Other Components</t>
  </si>
  <si>
    <t>Step 8: Compensation</t>
  </si>
  <si>
    <r>
      <t>R</t>
    </r>
    <r>
      <rPr>
        <vertAlign val="subscript"/>
        <sz val="10"/>
        <rFont val="Arial"/>
        <family val="2"/>
      </rPr>
      <t>PG</t>
    </r>
  </si>
  <si>
    <r>
      <t>R</t>
    </r>
    <r>
      <rPr>
        <vertAlign val="subscript"/>
        <sz val="10"/>
        <rFont val="Arial"/>
        <family val="2"/>
      </rPr>
      <t>SB</t>
    </r>
  </si>
  <si>
    <t>CSBY</t>
  </si>
  <si>
    <t>Actual Open Loop System Response</t>
  </si>
  <si>
    <t>Comp To Output</t>
  </si>
  <si>
    <t>Total Phase margin</t>
  </si>
  <si>
    <t>Rfets</t>
  </si>
  <si>
    <t>cap loss eq res</t>
  </si>
  <si>
    <t>Fet loss eq res</t>
  </si>
  <si>
    <t>Diode loss eq res</t>
  </si>
  <si>
    <t>Sw cap</t>
  </si>
  <si>
    <t>Output to Comp 5V In @ 500kHz 0A Iout 25DegC</t>
  </si>
  <si>
    <t xml:space="preserve"> </t>
  </si>
  <si>
    <t>Resulting Poles/Zero/Q Locations</t>
  </si>
  <si>
    <t>Rc1ea</t>
  </si>
  <si>
    <t>Rc2ea</t>
  </si>
  <si>
    <t>Frequency of Ringing</t>
  </si>
  <si>
    <t>MHz</t>
  </si>
  <si>
    <t>STD UNITS</t>
  </si>
  <si>
    <t>UNITS</t>
  </si>
  <si>
    <t>SW capacitance</t>
  </si>
  <si>
    <t>Csnub</t>
  </si>
  <si>
    <t>Lpar</t>
  </si>
  <si>
    <t>nH</t>
  </si>
  <si>
    <t>Rsnub</t>
  </si>
  <si>
    <t>TL</t>
  </si>
  <si>
    <t>L/R Time Constant</t>
  </si>
  <si>
    <t>Blank out</t>
  </si>
  <si>
    <t>Sugested Cs</t>
  </si>
  <si>
    <t>Input from user =</t>
  </si>
  <si>
    <t>Constant</t>
  </si>
  <si>
    <t>Step 8: Efficiency</t>
  </si>
  <si>
    <t>Vripple</t>
  </si>
  <si>
    <t>Bottom Shotkey</t>
  </si>
  <si>
    <t>VfdSky</t>
  </si>
  <si>
    <t>QrrSky</t>
  </si>
  <si>
    <t>Ireverse</t>
  </si>
  <si>
    <t>Diode Forward Voltage</t>
  </si>
  <si>
    <t>Diode Reverse Recovery Charge</t>
  </si>
  <si>
    <t>Reverse Leakage Current</t>
  </si>
  <si>
    <t>Diod/eFET</t>
  </si>
  <si>
    <t>External Diode</t>
  </si>
  <si>
    <t>Total Inductor Loss/Diss</t>
  </si>
  <si>
    <t>Total Cout Loss/Diss</t>
  </si>
  <si>
    <t>Total Cin Loss/Diss</t>
  </si>
  <si>
    <t>Total Top FET Loss/Diss</t>
  </si>
  <si>
    <t xml:space="preserve">Dead Time Loss </t>
  </si>
  <si>
    <t>VsdTop</t>
  </si>
  <si>
    <t>Switching Current Diss</t>
  </si>
  <si>
    <t>Diode Forward Voltage of Top FET Body diode</t>
  </si>
  <si>
    <t>°C/W</t>
  </si>
  <si>
    <t>SCHEMATIC LABELS</t>
  </si>
  <si>
    <r>
      <t xml:space="preserve">Choosen Compensation Components from the </t>
    </r>
    <r>
      <rPr>
        <b/>
        <u/>
        <sz val="10"/>
        <color indexed="10"/>
        <rFont val="Arial"/>
        <family val="2"/>
      </rPr>
      <t>standard value sheet</t>
    </r>
  </si>
  <si>
    <t>\</t>
  </si>
  <si>
    <t>OUTPUT CURRENT</t>
  </si>
  <si>
    <t>Dmax</t>
  </si>
  <si>
    <t>Ipp</t>
  </si>
  <si>
    <t>Current (switching)</t>
  </si>
  <si>
    <t>Qrr Current</t>
  </si>
  <si>
    <t>Diode Current</t>
  </si>
  <si>
    <t>Std Units</t>
  </si>
  <si>
    <t>Part Power Disipation</t>
  </si>
  <si>
    <t>Total Application Switching IQ</t>
  </si>
  <si>
    <t xml:space="preserve">VIN </t>
  </si>
  <si>
    <t>CBOOT</t>
  </si>
  <si>
    <t>VDD</t>
  </si>
  <si>
    <t>SYNC</t>
  </si>
  <si>
    <t>EN</t>
  </si>
  <si>
    <t>PGOOD</t>
  </si>
  <si>
    <t>SS/TRACK</t>
  </si>
  <si>
    <t>FADJ</t>
  </si>
  <si>
    <t>GND</t>
  </si>
  <si>
    <t>COMP</t>
  </si>
  <si>
    <t>FB</t>
  </si>
  <si>
    <t>CS-</t>
  </si>
  <si>
    <t>CS+</t>
  </si>
  <si>
    <t>LG</t>
  </si>
  <si>
    <t>SW</t>
  </si>
  <si>
    <t>HG</t>
  </si>
  <si>
    <t>CIN</t>
  </si>
  <si>
    <t>DCR at hot</t>
  </si>
  <si>
    <t>Temp</t>
  </si>
  <si>
    <t>µH</t>
  </si>
  <si>
    <t>µF</t>
  </si>
  <si>
    <t>Cinmin</t>
  </si>
  <si>
    <t>Vinripple1</t>
  </si>
  <si>
    <t>CinEsrMax</t>
  </si>
  <si>
    <t>Vinripple2</t>
  </si>
  <si>
    <t>DCR</t>
  </si>
  <si>
    <t>Output =</t>
  </si>
  <si>
    <t>Calculated Inductor value for 30% ripple</t>
  </si>
  <si>
    <t>Duty Cycle with DCR accounted for</t>
  </si>
  <si>
    <t>1-Duty Cycle with DCR accounted for</t>
  </si>
  <si>
    <t>OTP</t>
  </si>
  <si>
    <t>D+</t>
  </si>
  <si>
    <t>D-</t>
  </si>
  <si>
    <t>RS</t>
  </si>
  <si>
    <t>Bottom Schottky</t>
  </si>
  <si>
    <t>Rotp</t>
  </si>
  <si>
    <t>Step 2: Filter Inductor</t>
  </si>
  <si>
    <t>This component will first set the midband gain</t>
  </si>
  <si>
    <t>Error Amplifier Finite DC Gain (AOL)</t>
  </si>
  <si>
    <t>Error Amplifier Gain Bandwidth Product (GBW)</t>
  </si>
  <si>
    <t>Cout ESR Zero Location</t>
  </si>
  <si>
    <t>EA Gain (dB)</t>
  </si>
  <si>
    <t>EA Phase</t>
  </si>
  <si>
    <t>EA Gain</t>
  </si>
  <si>
    <t>EA Gain BW</t>
  </si>
  <si>
    <t>Midband Gain For the Error Amplifier</t>
  </si>
  <si>
    <t>Load Cap current during soft start</t>
  </si>
  <si>
    <t>Step 1: Operating Specifications</t>
  </si>
  <si>
    <t>°C</t>
  </si>
  <si>
    <t>Std Values</t>
  </si>
  <si>
    <t>Compensation Components</t>
  </si>
  <si>
    <t>Actual P/Z Frequencies</t>
  </si>
  <si>
    <r>
      <t>A</t>
    </r>
    <r>
      <rPr>
        <vertAlign val="subscript"/>
        <sz val="10"/>
        <rFont val="Arial"/>
        <family val="2"/>
      </rPr>
      <t>pk-pk</t>
    </r>
  </si>
  <si>
    <r>
      <t>mV</t>
    </r>
    <r>
      <rPr>
        <b/>
        <vertAlign val="subscript"/>
        <sz val="10"/>
        <rFont val="Arial"/>
        <family val="2"/>
      </rPr>
      <t>pk-pk</t>
    </r>
  </si>
  <si>
    <r>
      <t>R</t>
    </r>
    <r>
      <rPr>
        <b/>
        <vertAlign val="subscript"/>
        <sz val="10"/>
        <rFont val="Arial"/>
        <family val="2"/>
      </rPr>
      <t>C1</t>
    </r>
  </si>
  <si>
    <r>
      <t>kHz (F</t>
    </r>
    <r>
      <rPr>
        <b/>
        <vertAlign val="subscript"/>
        <sz val="10"/>
        <rFont val="Arial"/>
        <family val="2"/>
      </rPr>
      <t>Z1</t>
    </r>
    <r>
      <rPr>
        <b/>
        <sz val="10"/>
        <rFont val="Arial"/>
        <family val="2"/>
      </rPr>
      <t>)</t>
    </r>
  </si>
  <si>
    <r>
      <t>C</t>
    </r>
    <r>
      <rPr>
        <b/>
        <vertAlign val="subscript"/>
        <sz val="10"/>
        <rFont val="Arial"/>
        <family val="2"/>
      </rPr>
      <t>C1</t>
    </r>
  </si>
  <si>
    <r>
      <t>kHz (F</t>
    </r>
    <r>
      <rPr>
        <b/>
        <vertAlign val="subscript"/>
        <sz val="10"/>
        <rFont val="Arial"/>
        <family val="2"/>
      </rPr>
      <t>Z2</t>
    </r>
    <r>
      <rPr>
        <b/>
        <sz val="10"/>
        <rFont val="Arial"/>
        <family val="2"/>
      </rPr>
      <t>)</t>
    </r>
  </si>
  <si>
    <r>
      <t>C</t>
    </r>
    <r>
      <rPr>
        <b/>
        <vertAlign val="subscript"/>
        <sz val="10"/>
        <rFont val="Arial"/>
        <family val="2"/>
      </rPr>
      <t>C2</t>
    </r>
  </si>
  <si>
    <r>
      <t>kHz (F</t>
    </r>
    <r>
      <rPr>
        <b/>
        <vertAlign val="subscript"/>
        <sz val="10"/>
        <rFont val="Arial"/>
        <family val="2"/>
      </rPr>
      <t>P1</t>
    </r>
    <r>
      <rPr>
        <b/>
        <sz val="10"/>
        <rFont val="Arial"/>
        <family val="2"/>
      </rPr>
      <t>)</t>
    </r>
  </si>
  <si>
    <r>
      <t>R</t>
    </r>
    <r>
      <rPr>
        <b/>
        <vertAlign val="subscript"/>
        <sz val="10"/>
        <rFont val="Arial"/>
        <family val="2"/>
      </rPr>
      <t>C2</t>
    </r>
  </si>
  <si>
    <r>
      <t>kHz (F</t>
    </r>
    <r>
      <rPr>
        <b/>
        <vertAlign val="subscript"/>
        <sz val="10"/>
        <rFont val="Arial"/>
        <family val="2"/>
      </rPr>
      <t>P2</t>
    </r>
    <r>
      <rPr>
        <b/>
        <sz val="10"/>
        <rFont val="Arial"/>
        <family val="2"/>
      </rPr>
      <t>)</t>
    </r>
  </si>
  <si>
    <r>
      <t>C</t>
    </r>
    <r>
      <rPr>
        <b/>
        <vertAlign val="subscript"/>
        <sz val="10"/>
        <rFont val="Arial"/>
        <family val="2"/>
      </rPr>
      <t>C3</t>
    </r>
  </si>
  <si>
    <r>
      <t>mV</t>
    </r>
    <r>
      <rPr>
        <vertAlign val="subscript"/>
        <sz val="10"/>
        <rFont val="Arial"/>
        <family val="2"/>
      </rPr>
      <t>pk-pk</t>
    </r>
  </si>
  <si>
    <t>Efficiency / Power Loss Analyzer</t>
  </si>
  <si>
    <t>Step 7: Compensation Design</t>
  </si>
  <si>
    <t>Calculated /</t>
  </si>
  <si>
    <t xml:space="preserve">Recommended Filter Inductance </t>
  </si>
  <si>
    <t xml:space="preserve">Inductor DCR </t>
  </si>
  <si>
    <t xml:space="preserve">Required Current Limit Setpoint </t>
  </si>
  <si>
    <t xml:space="preserve">Output Voltage Ripple Specification </t>
  </si>
  <si>
    <t xml:space="preserve">Minimum Ideal Output Capacitance </t>
  </si>
  <si>
    <t xml:space="preserve">Maximum Permitted ESR </t>
  </si>
  <si>
    <t xml:space="preserve">Output Capacitor ESR </t>
  </si>
  <si>
    <t xml:space="preserve">Resulting Output Voltage Ripple </t>
  </si>
  <si>
    <t xml:space="preserve">Output Capacitor Ripple Current </t>
  </si>
  <si>
    <t xml:space="preserve">Input Voltage Ripple Specification </t>
  </si>
  <si>
    <t xml:space="preserve">Minimum Ideal Input Capacitance </t>
  </si>
  <si>
    <t xml:space="preserve">Input Capacitor ESR </t>
  </si>
  <si>
    <t xml:space="preserve">Resulting Input Voltage Ripple </t>
  </si>
  <si>
    <t xml:space="preserve">Input Capacitor Ripple Current </t>
  </si>
  <si>
    <t xml:space="preserve">LC Complex Pole Frequency </t>
  </si>
  <si>
    <t xml:space="preserve">ESR Zero Frequency </t>
  </si>
  <si>
    <t xml:space="preserve">Appropriate Midband Gain </t>
  </si>
  <si>
    <t>About</t>
  </si>
  <si>
    <t>xx</t>
  </si>
  <si>
    <t>Current limit setpoint after standard components are selected</t>
  </si>
  <si>
    <t>Output Cap rms current</t>
  </si>
  <si>
    <t>Max ESR before ripple exceeds Vripple1</t>
  </si>
  <si>
    <t>Chosen ESR</t>
  </si>
  <si>
    <t>Input capacitance series resistance (ESR)</t>
  </si>
  <si>
    <t xml:space="preserve">Desired Crossover Frequency </t>
  </si>
  <si>
    <r>
      <t>VIN</t>
    </r>
    <r>
      <rPr>
        <vertAlign val="subscript"/>
        <sz val="10"/>
        <rFont val="Arial"/>
        <family val="2"/>
      </rPr>
      <t>UVLO_ON</t>
    </r>
  </si>
  <si>
    <r>
      <t>VIN</t>
    </r>
    <r>
      <rPr>
        <vertAlign val="subscript"/>
        <sz val="10"/>
        <rFont val="Arial"/>
        <family val="2"/>
      </rPr>
      <t>UVLO_OFF</t>
    </r>
  </si>
  <si>
    <t>Rising UVLO/EN Threshold</t>
  </si>
  <si>
    <t>Falling UVLO/EN Threshold</t>
  </si>
  <si>
    <t>Falling UVLO/EN Falling</t>
  </si>
  <si>
    <t xml:space="preserve">Rising UVLO/EN Hysteresis </t>
  </si>
  <si>
    <t>UVLO/EN Current Hysteresis</t>
  </si>
  <si>
    <t>kΩ</t>
  </si>
  <si>
    <r>
      <t>VIN</t>
    </r>
    <r>
      <rPr>
        <vertAlign val="subscript"/>
        <sz val="10"/>
        <rFont val="Arial"/>
        <family val="2"/>
      </rPr>
      <t>UVLO_ON_ACTUAL</t>
    </r>
  </si>
  <si>
    <r>
      <t>VIN</t>
    </r>
    <r>
      <rPr>
        <vertAlign val="subscript"/>
        <sz val="10"/>
        <rFont val="Arial"/>
        <family val="2"/>
      </rPr>
      <t>UVLO_OFF_ACTUAL</t>
    </r>
  </si>
  <si>
    <t>Size</t>
  </si>
  <si>
    <t>MFR</t>
  </si>
  <si>
    <t>Std</t>
  </si>
  <si>
    <t>See description</t>
  </si>
  <si>
    <t>TI</t>
  </si>
  <si>
    <t>0603</t>
  </si>
  <si>
    <r>
      <t>C</t>
    </r>
    <r>
      <rPr>
        <vertAlign val="subscript"/>
        <sz val="10"/>
        <rFont val="Arial"/>
        <family val="2"/>
      </rPr>
      <t>C1</t>
    </r>
  </si>
  <si>
    <r>
      <t>C</t>
    </r>
    <r>
      <rPr>
        <vertAlign val="subscript"/>
        <sz val="10"/>
        <rFont val="Arial"/>
        <family val="2"/>
      </rPr>
      <t>C2</t>
    </r>
  </si>
  <si>
    <r>
      <t>C</t>
    </r>
    <r>
      <rPr>
        <vertAlign val="subscript"/>
        <sz val="10"/>
        <rFont val="Arial"/>
        <family val="2"/>
      </rPr>
      <t>C3</t>
    </r>
  </si>
  <si>
    <r>
      <t>C</t>
    </r>
    <r>
      <rPr>
        <vertAlign val="subscript"/>
        <sz val="10"/>
        <rFont val="Arial"/>
        <family val="2"/>
      </rPr>
      <t>IN</t>
    </r>
  </si>
  <si>
    <r>
      <t>C</t>
    </r>
    <r>
      <rPr>
        <vertAlign val="subscript"/>
        <sz val="10"/>
        <rFont val="Arial"/>
        <family val="2"/>
      </rPr>
      <t>OUT</t>
    </r>
  </si>
  <si>
    <r>
      <t>C</t>
    </r>
    <r>
      <rPr>
        <vertAlign val="subscript"/>
        <sz val="10"/>
        <rFont val="Arial"/>
        <family val="2"/>
      </rPr>
      <t>SS</t>
    </r>
  </si>
  <si>
    <r>
      <t>C</t>
    </r>
    <r>
      <rPr>
        <vertAlign val="subscript"/>
        <sz val="10"/>
        <rFont val="Arial"/>
        <family val="2"/>
      </rPr>
      <t>VIN</t>
    </r>
  </si>
  <si>
    <t>Ref Des</t>
  </si>
  <si>
    <t>Count</t>
  </si>
  <si>
    <t>Various</t>
  </si>
  <si>
    <r>
      <t>Q</t>
    </r>
    <r>
      <rPr>
        <vertAlign val="subscript"/>
        <sz val="10"/>
        <rFont val="Arial"/>
        <family val="2"/>
      </rPr>
      <t>1</t>
    </r>
  </si>
  <si>
    <r>
      <t>Q</t>
    </r>
    <r>
      <rPr>
        <vertAlign val="subscript"/>
        <sz val="10"/>
        <rFont val="Arial"/>
        <family val="2"/>
      </rPr>
      <t>2</t>
    </r>
  </si>
  <si>
    <r>
      <t>R</t>
    </r>
    <r>
      <rPr>
        <vertAlign val="subscript"/>
        <sz val="10"/>
        <rFont val="Arial"/>
        <family val="2"/>
      </rPr>
      <t>C1</t>
    </r>
  </si>
  <si>
    <r>
      <t>R</t>
    </r>
    <r>
      <rPr>
        <vertAlign val="subscript"/>
        <sz val="10"/>
        <rFont val="Arial"/>
        <family val="2"/>
      </rPr>
      <t>C2</t>
    </r>
  </si>
  <si>
    <r>
      <t>R</t>
    </r>
    <r>
      <rPr>
        <vertAlign val="subscript"/>
        <sz val="10"/>
        <rFont val="Arial"/>
        <family val="2"/>
      </rPr>
      <t>UV1</t>
    </r>
  </si>
  <si>
    <r>
      <t>R</t>
    </r>
    <r>
      <rPr>
        <vertAlign val="subscript"/>
        <sz val="10"/>
        <rFont val="Arial"/>
        <family val="2"/>
      </rPr>
      <t>UV2</t>
    </r>
  </si>
  <si>
    <r>
      <t>R</t>
    </r>
    <r>
      <rPr>
        <vertAlign val="subscript"/>
        <sz val="10"/>
        <rFont val="Arial"/>
        <family val="2"/>
      </rPr>
      <t>VIN</t>
    </r>
  </si>
  <si>
    <r>
      <t>R</t>
    </r>
    <r>
      <rPr>
        <vertAlign val="subscript"/>
        <sz val="10"/>
        <rFont val="Arial"/>
        <family val="2"/>
      </rPr>
      <t>S</t>
    </r>
  </si>
  <si>
    <r>
      <t>R</t>
    </r>
    <r>
      <rPr>
        <vertAlign val="subscript"/>
        <sz val="10"/>
        <rFont val="Arial"/>
        <family val="2"/>
      </rPr>
      <t>PGOOD</t>
    </r>
  </si>
  <si>
    <r>
      <t>R</t>
    </r>
    <r>
      <rPr>
        <vertAlign val="subscript"/>
        <sz val="10"/>
        <rFont val="Arial"/>
        <family val="2"/>
      </rPr>
      <t>FB1</t>
    </r>
  </si>
  <si>
    <r>
      <t>R</t>
    </r>
    <r>
      <rPr>
        <vertAlign val="subscript"/>
        <sz val="10"/>
        <rFont val="Arial"/>
        <family val="2"/>
      </rPr>
      <t>FB2</t>
    </r>
  </si>
  <si>
    <r>
      <t>U</t>
    </r>
    <r>
      <rPr>
        <b/>
        <vertAlign val="subscript"/>
        <sz val="10"/>
        <rFont val="Arial"/>
        <family val="2"/>
      </rPr>
      <t>1</t>
    </r>
  </si>
  <si>
    <t>Rpgood</t>
  </si>
  <si>
    <t>20kΩ</t>
  </si>
  <si>
    <t>Cd</t>
  </si>
  <si>
    <t>Ruv1</t>
  </si>
  <si>
    <t>Ruv2</t>
  </si>
  <si>
    <t># of input caps</t>
  </si>
  <si>
    <t>Capacitance per component (Cin)</t>
  </si>
  <si>
    <t>Capacitance per component (Cout)</t>
  </si>
  <si>
    <t># of output caps</t>
  </si>
  <si>
    <r>
      <t>High-Side MOSFET (Q</t>
    </r>
    <r>
      <rPr>
        <b/>
        <vertAlign val="subscript"/>
        <sz val="10"/>
        <color rgb="FF0000FF"/>
        <rFont val="Arial"/>
        <family val="2"/>
      </rPr>
      <t>1</t>
    </r>
    <r>
      <rPr>
        <b/>
        <sz val="10"/>
        <color rgb="FF0000FF"/>
        <rFont val="Arial"/>
        <family val="2"/>
      </rPr>
      <t>) Specifications</t>
    </r>
  </si>
  <si>
    <r>
      <t>Low-Side MOSFET (Q</t>
    </r>
    <r>
      <rPr>
        <b/>
        <vertAlign val="subscript"/>
        <sz val="10"/>
        <color rgb="FF0000FF"/>
        <rFont val="Arial"/>
        <family val="2"/>
      </rPr>
      <t>2</t>
    </r>
    <r>
      <rPr>
        <b/>
        <sz val="10"/>
        <color rgb="FF0000FF"/>
        <rFont val="Arial"/>
        <family val="2"/>
      </rPr>
      <t>) Specifications</t>
    </r>
  </si>
  <si>
    <r>
      <t>F</t>
    </r>
    <r>
      <rPr>
        <b/>
        <vertAlign val="subscript"/>
        <sz val="10"/>
        <rFont val="Arial"/>
        <family val="2"/>
      </rPr>
      <t>P1</t>
    </r>
    <r>
      <rPr>
        <b/>
        <sz val="10"/>
        <rFont val="Arial"/>
        <family val="2"/>
      </rPr>
      <t xml:space="preserve">  </t>
    </r>
  </si>
  <si>
    <r>
      <t>F</t>
    </r>
    <r>
      <rPr>
        <b/>
        <vertAlign val="subscript"/>
        <sz val="10"/>
        <rFont val="Arial"/>
        <family val="2"/>
      </rPr>
      <t>P2</t>
    </r>
    <r>
      <rPr>
        <b/>
        <sz val="10"/>
        <rFont val="Arial"/>
        <family val="2"/>
      </rPr>
      <t xml:space="preserve">  </t>
    </r>
  </si>
  <si>
    <r>
      <t>F</t>
    </r>
    <r>
      <rPr>
        <b/>
        <vertAlign val="subscript"/>
        <sz val="10"/>
        <rFont val="Arial"/>
        <family val="2"/>
      </rPr>
      <t xml:space="preserve">Z1  </t>
    </r>
  </si>
  <si>
    <r>
      <t>F</t>
    </r>
    <r>
      <rPr>
        <b/>
        <vertAlign val="subscript"/>
        <sz val="10"/>
        <rFont val="Arial"/>
        <family val="2"/>
      </rPr>
      <t xml:space="preserve">Z2  </t>
    </r>
  </si>
  <si>
    <t>Ω</t>
  </si>
  <si>
    <t>** Inductor saturation current should be higher than the current limit setpoint at all operating temperatures **</t>
  </si>
  <si>
    <r>
      <rPr>
        <b/>
        <u/>
        <sz val="10"/>
        <rFont val="Arial"/>
        <family val="2"/>
      </rPr>
      <t>NOTES</t>
    </r>
    <r>
      <rPr>
        <b/>
        <sz val="10"/>
        <rFont val="Arial"/>
        <family val="2"/>
      </rPr>
      <t>:</t>
    </r>
  </si>
  <si>
    <t>Series resistance due to FETs</t>
  </si>
  <si>
    <t>Chosen Inductor Value</t>
  </si>
  <si>
    <t>Ripple Current after Chosen inductor (p-p)</t>
  </si>
  <si>
    <t>Chosen Crossover</t>
  </si>
  <si>
    <t>Output Resistance</t>
  </si>
  <si>
    <t>This zero is set at or below the double pole location</t>
  </si>
  <si>
    <r>
      <t>Inductor Ripple Current as a % of Max I</t>
    </r>
    <r>
      <rPr>
        <vertAlign val="subscript"/>
        <sz val="10"/>
        <rFont val="Arial"/>
        <family val="2"/>
      </rPr>
      <t>OUT</t>
    </r>
    <r>
      <rPr>
        <sz val="10"/>
        <rFont val="Arial"/>
        <family val="2"/>
      </rPr>
      <t xml:space="preserve"> </t>
    </r>
  </si>
  <si>
    <r>
      <t>On-State Resistance, R</t>
    </r>
    <r>
      <rPr>
        <b/>
        <vertAlign val="subscript"/>
        <sz val="10"/>
        <rFont val="Arial"/>
        <family val="2"/>
      </rPr>
      <t>DS(on)</t>
    </r>
    <r>
      <rPr>
        <b/>
        <sz val="10"/>
        <rFont val="Arial"/>
        <family val="2"/>
      </rPr>
      <t xml:space="preserve"> </t>
    </r>
  </si>
  <si>
    <r>
      <t>Total Gate Charge, Q</t>
    </r>
    <r>
      <rPr>
        <b/>
        <vertAlign val="subscript"/>
        <sz val="10"/>
        <rFont val="Arial"/>
        <family val="2"/>
      </rPr>
      <t>G</t>
    </r>
    <r>
      <rPr>
        <b/>
        <sz val="10"/>
        <rFont val="Arial"/>
        <family val="2"/>
      </rPr>
      <t xml:space="preserve"> </t>
    </r>
  </si>
  <si>
    <r>
      <t>Gate-Drain Charge, Q</t>
    </r>
    <r>
      <rPr>
        <b/>
        <vertAlign val="subscript"/>
        <sz val="10"/>
        <rFont val="Arial"/>
        <family val="2"/>
      </rPr>
      <t>GD</t>
    </r>
    <r>
      <rPr>
        <b/>
        <sz val="10"/>
        <rFont val="Arial"/>
        <family val="2"/>
      </rPr>
      <t xml:space="preserve"> </t>
    </r>
  </si>
  <si>
    <r>
      <t>Gate-Source Charge, Q</t>
    </r>
    <r>
      <rPr>
        <b/>
        <vertAlign val="subscript"/>
        <sz val="10"/>
        <rFont val="Arial"/>
        <family val="2"/>
      </rPr>
      <t>GS</t>
    </r>
    <r>
      <rPr>
        <b/>
        <sz val="10"/>
        <rFont val="Arial"/>
        <family val="2"/>
      </rPr>
      <t xml:space="preserve"> </t>
    </r>
  </si>
  <si>
    <r>
      <t>Gate Resistance, R</t>
    </r>
    <r>
      <rPr>
        <b/>
        <vertAlign val="subscript"/>
        <sz val="10"/>
        <rFont val="Arial"/>
        <family val="2"/>
      </rPr>
      <t>G</t>
    </r>
    <r>
      <rPr>
        <b/>
        <sz val="10"/>
        <rFont val="Arial"/>
        <family val="2"/>
      </rPr>
      <t xml:space="preserve"> </t>
    </r>
  </si>
  <si>
    <r>
      <t>Transconductance, g</t>
    </r>
    <r>
      <rPr>
        <b/>
        <vertAlign val="subscript"/>
        <sz val="10"/>
        <rFont val="Arial"/>
        <family val="2"/>
      </rPr>
      <t>FS</t>
    </r>
    <r>
      <rPr>
        <b/>
        <sz val="10"/>
        <rFont val="Arial"/>
        <family val="2"/>
      </rPr>
      <t xml:space="preserve"> </t>
    </r>
  </si>
  <si>
    <r>
      <t>Thermal Resistance, θ</t>
    </r>
    <r>
      <rPr>
        <b/>
        <vertAlign val="subscript"/>
        <sz val="10"/>
        <rFont val="Arial"/>
        <family val="2"/>
      </rPr>
      <t>JA</t>
    </r>
    <r>
      <rPr>
        <b/>
        <sz val="10"/>
        <rFont val="Arial"/>
        <family val="2"/>
      </rPr>
      <t xml:space="preserve"> </t>
    </r>
  </si>
  <si>
    <r>
      <t>Body Diode Recovery Charge, Q</t>
    </r>
    <r>
      <rPr>
        <b/>
        <vertAlign val="subscript"/>
        <sz val="10"/>
        <rFont val="Arial"/>
        <family val="2"/>
      </rPr>
      <t>RR</t>
    </r>
    <r>
      <rPr>
        <b/>
        <sz val="10"/>
        <rFont val="Arial"/>
        <family val="2"/>
      </rPr>
      <t xml:space="preserve"> </t>
    </r>
  </si>
  <si>
    <r>
      <t>Schottky Diode Recovery Charge, Q</t>
    </r>
    <r>
      <rPr>
        <b/>
        <vertAlign val="subscript"/>
        <sz val="10"/>
        <rFont val="Arial"/>
        <family val="2"/>
      </rPr>
      <t>RR2</t>
    </r>
    <r>
      <rPr>
        <b/>
        <sz val="10"/>
        <rFont val="Arial"/>
        <family val="2"/>
      </rPr>
      <t xml:space="preserve"> </t>
    </r>
  </si>
  <si>
    <r>
      <t>Body Diode Forward Voltage, V</t>
    </r>
    <r>
      <rPr>
        <b/>
        <vertAlign val="subscript"/>
        <sz val="10"/>
        <rFont val="Arial"/>
        <family val="2"/>
      </rPr>
      <t>BD2</t>
    </r>
    <r>
      <rPr>
        <b/>
        <sz val="10"/>
        <rFont val="Arial"/>
        <family val="2"/>
      </rPr>
      <t xml:space="preserve"> </t>
    </r>
  </si>
  <si>
    <r>
      <t>Schottky Diode Forward Voltage, V</t>
    </r>
    <r>
      <rPr>
        <b/>
        <vertAlign val="subscript"/>
        <sz val="10"/>
        <rFont val="Arial"/>
        <family val="2"/>
      </rPr>
      <t>SD</t>
    </r>
    <r>
      <rPr>
        <b/>
        <sz val="10"/>
        <rFont val="Arial"/>
        <family val="2"/>
      </rPr>
      <t xml:space="preserve"> </t>
    </r>
  </si>
  <si>
    <r>
      <t>Body Diode Forward Voltage, V</t>
    </r>
    <r>
      <rPr>
        <b/>
        <vertAlign val="subscript"/>
        <sz val="10"/>
        <rFont val="Arial"/>
        <family val="2"/>
      </rPr>
      <t>BD1</t>
    </r>
    <r>
      <rPr>
        <b/>
        <sz val="10"/>
        <rFont val="Arial"/>
        <family val="2"/>
      </rPr>
      <t xml:space="preserve"> </t>
    </r>
  </si>
  <si>
    <t>Peak-to-Peak Ramp Voltage of PWM</t>
  </si>
  <si>
    <t>%/°C</t>
  </si>
  <si>
    <t>1nF</t>
  </si>
  <si>
    <r>
      <t>Step 3: R</t>
    </r>
    <r>
      <rPr>
        <b/>
        <vertAlign val="subscript"/>
        <sz val="12"/>
        <color indexed="12"/>
        <rFont val="Arial"/>
        <family val="2"/>
      </rPr>
      <t>DS(on)</t>
    </r>
    <r>
      <rPr>
        <b/>
        <sz val="12"/>
        <color indexed="12"/>
        <rFont val="Arial"/>
        <family val="2"/>
      </rPr>
      <t xml:space="preserve"> or Shunt-Based Current Limit</t>
    </r>
  </si>
  <si>
    <r>
      <t>Maximum Output Current, I</t>
    </r>
    <r>
      <rPr>
        <b/>
        <vertAlign val="subscript"/>
        <sz val="10"/>
        <color theme="1"/>
        <rFont val="Arial"/>
        <family val="2"/>
      </rPr>
      <t>OUT</t>
    </r>
    <r>
      <rPr>
        <b/>
        <sz val="10"/>
        <color theme="1"/>
        <rFont val="Arial"/>
        <family val="2"/>
      </rPr>
      <t xml:space="preserve"> </t>
    </r>
  </si>
  <si>
    <r>
      <t>Output Voltage, V</t>
    </r>
    <r>
      <rPr>
        <b/>
        <vertAlign val="subscript"/>
        <sz val="10"/>
        <color theme="1"/>
        <rFont val="Arial"/>
        <family val="2"/>
      </rPr>
      <t>OUT</t>
    </r>
    <r>
      <rPr>
        <b/>
        <sz val="10"/>
        <color theme="1"/>
        <rFont val="Arial"/>
        <family val="2"/>
      </rPr>
      <t xml:space="preserve"> </t>
    </r>
  </si>
  <si>
    <r>
      <t>Inductance, L</t>
    </r>
    <r>
      <rPr>
        <b/>
        <vertAlign val="subscript"/>
        <sz val="10"/>
        <color theme="1"/>
        <rFont val="Arial"/>
        <family val="2"/>
      </rPr>
      <t>F</t>
    </r>
    <r>
      <rPr>
        <b/>
        <sz val="10"/>
        <color theme="1"/>
        <rFont val="Arial"/>
        <family val="2"/>
      </rPr>
      <t xml:space="preserve"> </t>
    </r>
  </si>
  <si>
    <r>
      <t>Frequency Set Resistor, R</t>
    </r>
    <r>
      <rPr>
        <vertAlign val="subscript"/>
        <sz val="10"/>
        <rFont val="Arial"/>
        <family val="2"/>
      </rPr>
      <t>RT</t>
    </r>
    <r>
      <rPr>
        <sz val="10"/>
        <rFont val="Arial"/>
        <family val="2"/>
      </rPr>
      <t xml:space="preserve"> </t>
    </r>
  </si>
  <si>
    <r>
      <t>Min Inductor Sat Current, I</t>
    </r>
    <r>
      <rPr>
        <vertAlign val="subscript"/>
        <sz val="10"/>
        <rFont val="Arial"/>
        <family val="2"/>
      </rPr>
      <t>L(SAT)</t>
    </r>
  </si>
  <si>
    <r>
      <t>Pk-to-Pk Ripple Current at V</t>
    </r>
    <r>
      <rPr>
        <vertAlign val="subscript"/>
        <sz val="10"/>
        <rFont val="Arial"/>
        <family val="2"/>
      </rPr>
      <t>IN(nom)</t>
    </r>
    <r>
      <rPr>
        <sz val="10"/>
        <rFont val="Arial"/>
        <family val="2"/>
      </rPr>
      <t xml:space="preserve">, </t>
    </r>
    <r>
      <rPr>
        <sz val="10"/>
        <rFont val="Symbol"/>
        <family val="1"/>
        <charset val="2"/>
      </rPr>
      <t>D</t>
    </r>
    <r>
      <rPr>
        <sz val="10"/>
        <rFont val="Arial"/>
        <family val="2"/>
      </rPr>
      <t>I</t>
    </r>
    <r>
      <rPr>
        <vertAlign val="subscript"/>
        <sz val="10"/>
        <rFont val="Arial"/>
        <family val="2"/>
      </rPr>
      <t>L</t>
    </r>
  </si>
  <si>
    <r>
      <t>Input Voltage ‒ Min, V</t>
    </r>
    <r>
      <rPr>
        <b/>
        <vertAlign val="subscript"/>
        <sz val="10"/>
        <color theme="1"/>
        <rFont val="Arial"/>
        <family val="2"/>
      </rPr>
      <t>IN(min)</t>
    </r>
    <r>
      <rPr>
        <b/>
        <sz val="10"/>
        <color theme="1"/>
        <rFont val="Arial"/>
        <family val="2"/>
      </rPr>
      <t xml:space="preserve"> </t>
    </r>
  </si>
  <si>
    <r>
      <t>Input Voltage ‒ Nom, V</t>
    </r>
    <r>
      <rPr>
        <b/>
        <vertAlign val="subscript"/>
        <sz val="10"/>
        <color theme="1"/>
        <rFont val="Arial"/>
        <family val="2"/>
      </rPr>
      <t>IN(nom)</t>
    </r>
    <r>
      <rPr>
        <b/>
        <sz val="10"/>
        <color theme="1"/>
        <rFont val="Arial"/>
        <family val="2"/>
      </rPr>
      <t xml:space="preserve"> </t>
    </r>
  </si>
  <si>
    <r>
      <t>Input Voltage ‒ Max, V</t>
    </r>
    <r>
      <rPr>
        <b/>
        <vertAlign val="subscript"/>
        <sz val="10"/>
        <color theme="1"/>
        <rFont val="Arial"/>
        <family val="2"/>
      </rPr>
      <t>IN(max)</t>
    </r>
    <r>
      <rPr>
        <b/>
        <sz val="10"/>
        <color theme="1"/>
        <rFont val="Arial"/>
        <family val="2"/>
      </rPr>
      <t xml:space="preserve"> </t>
    </r>
  </si>
  <si>
    <t>1 = Yes, 2 = No</t>
  </si>
  <si>
    <t>R_RT</t>
  </si>
  <si>
    <t>Vinmax</t>
  </si>
  <si>
    <t>Vinmin</t>
  </si>
  <si>
    <t>Doff_Vinmax</t>
  </si>
  <si>
    <t>Don_Vinmax</t>
  </si>
  <si>
    <t>Min input voltage</t>
  </si>
  <si>
    <t>Max input voltage</t>
  </si>
  <si>
    <t>Chosen current limit level - valley current</t>
  </si>
  <si>
    <t>Current Limit Current Source - Rdson sensing</t>
  </si>
  <si>
    <t>Current Limit Current Source - shunt sensing</t>
  </si>
  <si>
    <t>Rshunt</t>
  </si>
  <si>
    <t>Standard value current limit set resistor</t>
  </si>
  <si>
    <t>Ideal Rset for the chosen current limit</t>
  </si>
  <si>
    <r>
      <t>Current Limit Set Resistor, R</t>
    </r>
    <r>
      <rPr>
        <vertAlign val="subscript"/>
        <sz val="10"/>
        <rFont val="Arial"/>
        <family val="2"/>
      </rPr>
      <t>ILIM</t>
    </r>
    <r>
      <rPr>
        <sz val="10"/>
        <rFont val="Arial"/>
        <family val="2"/>
      </rPr>
      <t xml:space="preserve"> </t>
    </r>
  </si>
  <si>
    <t>Power dissipation in the shunt</t>
  </si>
  <si>
    <t>Rilim_shunt_ideal</t>
  </si>
  <si>
    <t>Ilim1</t>
  </si>
  <si>
    <t>Ilim2</t>
  </si>
  <si>
    <t>Rilim_Rdson_ideal</t>
  </si>
  <si>
    <t>Rilim_Rdson</t>
  </si>
  <si>
    <t>Rilim_shunt</t>
  </si>
  <si>
    <r>
      <t>Power Loss in R</t>
    </r>
    <r>
      <rPr>
        <vertAlign val="subscript"/>
        <sz val="10"/>
        <color theme="1"/>
        <rFont val="Arial"/>
        <family val="2"/>
      </rPr>
      <t>S</t>
    </r>
    <r>
      <rPr>
        <sz val="10"/>
        <color theme="1"/>
        <rFont val="Arial"/>
        <family val="2"/>
      </rPr>
      <t xml:space="preserve"> at Full Load, Max V</t>
    </r>
    <r>
      <rPr>
        <vertAlign val="subscript"/>
        <sz val="10"/>
        <color theme="1"/>
        <rFont val="Arial"/>
        <family val="2"/>
      </rPr>
      <t>IN</t>
    </r>
  </si>
  <si>
    <r>
      <t>UVLO Upper Resistor, R</t>
    </r>
    <r>
      <rPr>
        <vertAlign val="subscript"/>
        <sz val="10"/>
        <rFont val="Arial"/>
        <family val="2"/>
      </rPr>
      <t>UV1</t>
    </r>
  </si>
  <si>
    <r>
      <t>UVLO Lower Resistor, R</t>
    </r>
    <r>
      <rPr>
        <vertAlign val="subscript"/>
        <sz val="10"/>
        <rFont val="Arial"/>
        <family val="2"/>
      </rPr>
      <t>UV2</t>
    </r>
  </si>
  <si>
    <r>
      <t>Upper Feedback Resistor, R</t>
    </r>
    <r>
      <rPr>
        <b/>
        <vertAlign val="subscript"/>
        <sz val="10"/>
        <rFont val="Arial"/>
        <family val="2"/>
      </rPr>
      <t xml:space="preserve">FB1 </t>
    </r>
  </si>
  <si>
    <r>
      <t>Lower Feedback Resistor, R</t>
    </r>
    <r>
      <rPr>
        <vertAlign val="subscript"/>
        <sz val="10"/>
        <rFont val="Arial"/>
        <family val="2"/>
      </rPr>
      <t>FB2</t>
    </r>
    <r>
      <rPr>
        <sz val="10"/>
        <rFont val="Arial"/>
        <family val="2"/>
      </rPr>
      <t xml:space="preserve"> </t>
    </r>
  </si>
  <si>
    <t>Rilim</t>
  </si>
  <si>
    <r>
      <t>R</t>
    </r>
    <r>
      <rPr>
        <vertAlign val="subscript"/>
        <sz val="10"/>
        <rFont val="Arial"/>
        <family val="2"/>
      </rPr>
      <t>DS(on)</t>
    </r>
    <r>
      <rPr>
        <sz val="10"/>
        <rFont val="Arial"/>
        <family val="2"/>
      </rPr>
      <t xml:space="preserve"> sensing</t>
    </r>
  </si>
  <si>
    <t>Shunt sensing</t>
  </si>
  <si>
    <r>
      <t>Shunt, R</t>
    </r>
    <r>
      <rPr>
        <b/>
        <vertAlign val="subscript"/>
        <sz val="10"/>
        <color theme="1"/>
        <rFont val="Arial"/>
        <family val="2"/>
      </rPr>
      <t>S</t>
    </r>
  </si>
  <si>
    <r>
      <t>L</t>
    </r>
    <r>
      <rPr>
        <vertAlign val="subscript"/>
        <sz val="10"/>
        <rFont val="Arial"/>
        <family val="2"/>
      </rPr>
      <t>F</t>
    </r>
  </si>
  <si>
    <t>Ilsat</t>
  </si>
  <si>
    <r>
      <t>C</t>
    </r>
    <r>
      <rPr>
        <vertAlign val="subscript"/>
        <sz val="10"/>
        <rFont val="Arial"/>
        <family val="2"/>
      </rPr>
      <t>VCC</t>
    </r>
  </si>
  <si>
    <r>
      <t>C</t>
    </r>
    <r>
      <rPr>
        <vertAlign val="subscript"/>
        <sz val="10"/>
        <rFont val="Arial"/>
        <family val="2"/>
      </rPr>
      <t>BOOT</t>
    </r>
  </si>
  <si>
    <r>
      <t>R</t>
    </r>
    <r>
      <rPr>
        <vertAlign val="subscript"/>
        <sz val="10"/>
        <rFont val="Arial"/>
        <family val="2"/>
      </rPr>
      <t>ILIM</t>
    </r>
  </si>
  <si>
    <r>
      <t>R</t>
    </r>
    <r>
      <rPr>
        <vertAlign val="subscript"/>
        <sz val="10"/>
        <rFont val="Arial"/>
        <family val="2"/>
      </rPr>
      <t>RT</t>
    </r>
  </si>
  <si>
    <t>DC Current Limit Setpoint</t>
  </si>
  <si>
    <t xml:space="preserve">     kHz</t>
  </si>
  <si>
    <t>Step 6: Soft-start, UVLO</t>
  </si>
  <si>
    <t>Input Voltage UVLO Turn-On</t>
  </si>
  <si>
    <t>Input Voltage UVLO Turn-Off</t>
  </si>
  <si>
    <r>
      <t>Soft-Start Time, t</t>
    </r>
    <r>
      <rPr>
        <b/>
        <vertAlign val="subscript"/>
        <sz val="10"/>
        <color theme="1"/>
        <rFont val="Arial"/>
        <family val="2"/>
      </rPr>
      <t>SS</t>
    </r>
    <r>
      <rPr>
        <b/>
        <sz val="10"/>
        <color theme="1"/>
        <rFont val="Arial"/>
        <family val="2"/>
      </rPr>
      <t xml:space="preserve"> </t>
    </r>
  </si>
  <si>
    <r>
      <t>Soft-Start Capacitance, C</t>
    </r>
    <r>
      <rPr>
        <vertAlign val="subscript"/>
        <sz val="10"/>
        <rFont val="Arial"/>
        <family val="2"/>
      </rPr>
      <t>SS</t>
    </r>
    <r>
      <rPr>
        <sz val="10"/>
        <rFont val="Arial"/>
        <family val="2"/>
      </rPr>
      <t xml:space="preserve"> </t>
    </r>
  </si>
  <si>
    <t>Vcc</t>
  </si>
  <si>
    <t>Shunt</t>
  </si>
  <si>
    <t>Shunt Loss (if applicable)</t>
  </si>
  <si>
    <r>
      <t>m</t>
    </r>
    <r>
      <rPr>
        <sz val="10"/>
        <rFont val="Symbol"/>
        <family val="1"/>
        <charset val="2"/>
      </rPr>
      <t>W</t>
    </r>
  </si>
  <si>
    <t>ppm/°C</t>
  </si>
  <si>
    <t>Subregulated VCC rail</t>
  </si>
  <si>
    <r>
      <t>Free-running Switching Frequency, F</t>
    </r>
    <r>
      <rPr>
        <b/>
        <vertAlign val="subscript"/>
        <sz val="10"/>
        <color theme="1"/>
        <rFont val="Arial"/>
        <family val="2"/>
      </rPr>
      <t>SW</t>
    </r>
  </si>
  <si>
    <r>
      <t>SYNC Frequency (if used), F</t>
    </r>
    <r>
      <rPr>
        <b/>
        <vertAlign val="subscript"/>
        <sz val="10"/>
        <color theme="1"/>
        <rFont val="Arial"/>
        <family val="2"/>
      </rPr>
      <t>SW-SYNC</t>
    </r>
  </si>
  <si>
    <t>VQFN-20</t>
  </si>
  <si>
    <t>6.3V</t>
  </si>
  <si>
    <t>Vout&lt;=8V</t>
  </si>
  <si>
    <t>10V</t>
  </si>
  <si>
    <t>Vout&lt;=12V</t>
  </si>
  <si>
    <t>16V</t>
  </si>
  <si>
    <t>Vout&lt;=20V</t>
  </si>
  <si>
    <t>25V</t>
  </si>
  <si>
    <t>50V</t>
  </si>
  <si>
    <t>Cout Voltage Rating</t>
  </si>
  <si>
    <t>0402</t>
  </si>
  <si>
    <t>1.0 x 0.5</t>
  </si>
  <si>
    <t>1.6 x 0.8</t>
  </si>
  <si>
    <t>0805</t>
  </si>
  <si>
    <t>2.0 x 1.25</t>
  </si>
  <si>
    <t>1206</t>
  </si>
  <si>
    <t>3.2 x 1.6</t>
  </si>
  <si>
    <t>1210</t>
  </si>
  <si>
    <t>3.2 x 2.5</t>
  </si>
  <si>
    <t>Component Size</t>
  </si>
  <si>
    <t>3mm x 3mm</t>
  </si>
  <si>
    <t>3.0 x 3.0</t>
  </si>
  <si>
    <t>4mm x 4mm</t>
  </si>
  <si>
    <t>4.0 x 4.0</t>
  </si>
  <si>
    <t>5mm x 5mm</t>
  </si>
  <si>
    <t>5.0 x 5.0</t>
  </si>
  <si>
    <t>6mm x 6mm</t>
  </si>
  <si>
    <t>6.0 x 6.0</t>
  </si>
  <si>
    <t>7mm x 7mm</t>
  </si>
  <si>
    <t>7.0 x 7.0</t>
  </si>
  <si>
    <t>Inductor Size</t>
  </si>
  <si>
    <t>Vout&lt;=42V</t>
  </si>
  <si>
    <t>Vout&lt;60V</t>
  </si>
  <si>
    <t>100V</t>
  </si>
  <si>
    <t>Current Sensing</t>
  </si>
  <si>
    <t>MOSFET package</t>
  </si>
  <si>
    <t>8mm x 8mm</t>
  </si>
  <si>
    <t>8.0 x 8.0</t>
  </si>
  <si>
    <t>10mm x 10mm</t>
  </si>
  <si>
    <t>10.0 x 10.0</t>
  </si>
  <si>
    <t>12mm x 12mm</t>
  </si>
  <si>
    <t>12.0 x 12.0</t>
  </si>
  <si>
    <t>Cin Voltage Rating</t>
  </si>
  <si>
    <t>Vin(max)&lt;=8V</t>
  </si>
  <si>
    <t>Vin(max)&lt;=12V</t>
  </si>
  <si>
    <t>Vin(max)&lt;=20V</t>
  </si>
  <si>
    <t>Vin(max)&lt;=42V</t>
  </si>
  <si>
    <t>Vin(max)&lt;100V</t>
  </si>
  <si>
    <t>Footprint (mm)</t>
  </si>
  <si>
    <r>
      <t>Area (mm</t>
    </r>
    <r>
      <rPr>
        <b/>
        <vertAlign val="superscript"/>
        <sz val="10"/>
        <color theme="0"/>
        <rFont val="Arial"/>
        <family val="2"/>
      </rPr>
      <t>2</t>
    </r>
    <r>
      <rPr>
        <b/>
        <sz val="10"/>
        <color theme="0"/>
        <rFont val="Arial"/>
        <family val="2"/>
      </rPr>
      <t>)</t>
    </r>
  </si>
  <si>
    <t>Total Solution Size (buffered by 25%)</t>
  </si>
  <si>
    <r>
      <t>mm</t>
    </r>
    <r>
      <rPr>
        <b/>
        <vertAlign val="superscript"/>
        <sz val="12"/>
        <color rgb="FFFF0000"/>
        <rFont val="Arial"/>
        <family val="2"/>
      </rPr>
      <t>2</t>
    </r>
    <r>
      <rPr>
        <b/>
        <sz val="12"/>
        <color rgb="FFFF0000"/>
        <rFont val="Arial"/>
        <family val="2"/>
      </rPr>
      <t xml:space="preserve">  =</t>
    </r>
  </si>
  <si>
    <r>
      <t>in</t>
    </r>
    <r>
      <rPr>
        <b/>
        <vertAlign val="superscript"/>
        <sz val="12"/>
        <color rgb="FFFF0000"/>
        <rFont val="Arial"/>
        <family val="2"/>
      </rPr>
      <t>2</t>
    </r>
  </si>
  <si>
    <t>5.0 x 6.0</t>
  </si>
  <si>
    <t>3.3 x 3.3</t>
  </si>
  <si>
    <t>15.0 x 10.0</t>
  </si>
  <si>
    <t>SON 5 x 6</t>
  </si>
  <si>
    <t>SON 3 x 3</t>
  </si>
  <si>
    <t>DPAK, TO-252</t>
  </si>
  <si>
    <t>D2PAK, TO-263</t>
  </si>
  <si>
    <t>10.0 x 6.6</t>
  </si>
  <si>
    <t>Don_Vinmin</t>
  </si>
  <si>
    <t>Doff_Vinmin</t>
  </si>
  <si>
    <t>Don2_Vinmin</t>
  </si>
  <si>
    <t>Doff2_Vinmin</t>
  </si>
  <si>
    <t>Don2_Vinmax</t>
  </si>
  <si>
    <t>Doff2_Vinmax</t>
  </si>
  <si>
    <t>Toff at Vin-min</t>
  </si>
  <si>
    <t>Ton at Vin-max</t>
  </si>
  <si>
    <t>Full-load/high line efficiency</t>
  </si>
  <si>
    <t>Half-load/mid-line efficiency</t>
  </si>
  <si>
    <t>Vout_actual</t>
  </si>
  <si>
    <t>Actual VOUT</t>
  </si>
  <si>
    <t>** Tie SYNCIN to VCC and GND for CCM and DCM operation, respectively **</t>
  </si>
  <si>
    <t>Cilim</t>
  </si>
  <si>
    <t>Cilim_ideal</t>
  </si>
  <si>
    <t>&gt; specify shunt on schematic</t>
  </si>
  <si>
    <t>&gt; specify ILIM cap</t>
  </si>
  <si>
    <t>Choose cap for 6ns time constant</t>
  </si>
  <si>
    <t>Calculated Lower Feedback Resistor</t>
  </si>
  <si>
    <t>Lower Feedback Resistor</t>
  </si>
  <si>
    <r>
      <t>Actual Output Voltage, V</t>
    </r>
    <r>
      <rPr>
        <vertAlign val="subscript"/>
        <sz val="10"/>
        <color theme="1"/>
        <rFont val="Arial"/>
        <family val="2"/>
      </rPr>
      <t>OUT</t>
    </r>
    <r>
      <rPr>
        <sz val="10"/>
        <color theme="1"/>
        <rFont val="Arial"/>
        <family val="2"/>
      </rPr>
      <t xml:space="preserve"> </t>
    </r>
  </si>
  <si>
    <t>VIN_range</t>
  </si>
  <si>
    <r>
      <t>Wide V</t>
    </r>
    <r>
      <rPr>
        <b/>
        <vertAlign val="subscript"/>
        <sz val="16"/>
        <rFont val="Arial"/>
        <family val="2"/>
      </rPr>
      <t>IN</t>
    </r>
    <r>
      <rPr>
        <b/>
        <sz val="16"/>
        <rFont val="Arial"/>
        <family val="2"/>
      </rPr>
      <t>, High Efficiency Synchronous Buck Regulator BOM</t>
    </r>
  </si>
  <si>
    <t>Fsw_freerunning</t>
  </si>
  <si>
    <t>Free-running switching frequency</t>
  </si>
  <si>
    <r>
      <t xml:space="preserve">** Effective output capacitance should be appropriately </t>
    </r>
    <r>
      <rPr>
        <b/>
        <sz val="10"/>
        <rFont val="Arial"/>
        <family val="2"/>
      </rPr>
      <t>derated</t>
    </r>
    <r>
      <rPr>
        <sz val="10"/>
        <rFont val="Arial"/>
        <family val="2"/>
      </rPr>
      <t xml:space="preserve"> for applied voltage and temperature, particularly with </t>
    </r>
    <r>
      <rPr>
        <b/>
        <sz val="10"/>
        <rFont val="Arial"/>
        <family val="2"/>
      </rPr>
      <t>ceramics</t>
    </r>
    <r>
      <rPr>
        <sz val="10"/>
        <rFont val="Arial"/>
        <family val="2"/>
      </rPr>
      <t xml:space="preserve"> **</t>
    </r>
  </si>
  <si>
    <t>3.5 x 4.5 x 1.0</t>
  </si>
  <si>
    <t>Cout Capacitance</t>
  </si>
  <si>
    <t>Quantity: 1</t>
  </si>
  <si>
    <t>Quantity: 2</t>
  </si>
  <si>
    <r>
      <t>C</t>
    </r>
    <r>
      <rPr>
        <vertAlign val="subscript"/>
        <sz val="10"/>
        <rFont val="Arial"/>
        <family val="2"/>
      </rPr>
      <t>S</t>
    </r>
  </si>
  <si>
    <r>
      <t>Output Charge, Q</t>
    </r>
    <r>
      <rPr>
        <b/>
        <vertAlign val="subscript"/>
        <sz val="10"/>
        <rFont val="Arial"/>
        <family val="2"/>
      </rPr>
      <t>OSS</t>
    </r>
    <r>
      <rPr>
        <b/>
        <sz val="10"/>
        <rFont val="Arial"/>
        <family val="2"/>
      </rPr>
      <t xml:space="preserve"> </t>
    </r>
  </si>
  <si>
    <r>
      <rPr>
        <sz val="10"/>
        <rFont val="Symbol"/>
        <family val="1"/>
        <charset val="2"/>
      </rPr>
      <t>°</t>
    </r>
    <r>
      <rPr>
        <sz val="10"/>
        <rFont val="Arial"/>
        <family val="2"/>
      </rPr>
      <t>C</t>
    </r>
  </si>
  <si>
    <r>
      <rPr>
        <sz val="10"/>
        <rFont val="Symbol"/>
        <family val="1"/>
        <charset val="2"/>
      </rPr>
      <t>°</t>
    </r>
    <r>
      <rPr>
        <sz val="10"/>
        <rFont val="Arial"/>
        <family val="2"/>
      </rPr>
      <t>C/W</t>
    </r>
  </si>
  <si>
    <t>Gate to Source Charge</t>
  </si>
  <si>
    <t>QossBot</t>
  </si>
  <si>
    <t>Output Charge Of Bottom FET</t>
  </si>
  <si>
    <t>Gate Charge Of Bottom FET</t>
  </si>
  <si>
    <r>
      <t>Output Capacitance, C</t>
    </r>
    <r>
      <rPr>
        <b/>
        <vertAlign val="subscript"/>
        <sz val="10"/>
        <rFont val="Arial"/>
        <family val="2"/>
      </rPr>
      <t>OSS</t>
    </r>
    <r>
      <rPr>
        <b/>
        <sz val="10"/>
        <rFont val="Arial"/>
        <family val="2"/>
      </rPr>
      <t xml:space="preserve"> </t>
    </r>
  </si>
  <si>
    <t>Output Capacitance Of Bottom FET</t>
  </si>
  <si>
    <t>CossBot</t>
  </si>
  <si>
    <t>CossTop</t>
  </si>
  <si>
    <t>Output Capacitance of High-side FET</t>
  </si>
  <si>
    <t>Gate Resistance of High-side FET</t>
  </si>
  <si>
    <t>MOSFET Output Capacitance Loss</t>
  </si>
  <si>
    <t>Step 4: Output Capacitance</t>
  </si>
  <si>
    <t>Step 5: Input Capacitance</t>
  </si>
  <si>
    <t xml:space="preserve"> If the SYNC feature is not required, connect SYNCIN to GND</t>
  </si>
  <si>
    <t xml:space="preserve"> or VCC for DCM or CCM operation, respectively</t>
  </si>
  <si>
    <t xml:space="preserve"> Pole &amp; Zero Placement</t>
  </si>
  <si>
    <t>Antiparallel Schottky Diode (if applicable)</t>
  </si>
  <si>
    <r>
      <t>Total Output Capacitance (Derated), C</t>
    </r>
    <r>
      <rPr>
        <b/>
        <vertAlign val="subscript"/>
        <sz val="10"/>
        <rFont val="Arial"/>
        <family val="2"/>
      </rPr>
      <t>OUT</t>
    </r>
    <r>
      <rPr>
        <b/>
        <sz val="10"/>
        <rFont val="Arial"/>
        <family val="2"/>
      </rPr>
      <t xml:space="preserve"> </t>
    </r>
  </si>
  <si>
    <r>
      <t>Total Input Capacitance (Derated), C</t>
    </r>
    <r>
      <rPr>
        <b/>
        <vertAlign val="subscript"/>
        <sz val="10"/>
        <color theme="1"/>
        <rFont val="Arial"/>
        <family val="2"/>
      </rPr>
      <t>IN</t>
    </r>
    <r>
      <rPr>
        <b/>
        <sz val="10"/>
        <color theme="1"/>
        <rFont val="Arial"/>
        <family val="2"/>
      </rPr>
      <t xml:space="preserve"> </t>
    </r>
  </si>
  <si>
    <t>Vout&lt;5V</t>
  </si>
  <si>
    <t>SW node voltage at Q1 turn-on</t>
  </si>
  <si>
    <t>Peak Inductor Current</t>
  </si>
  <si>
    <t>Valley Inductor Current</t>
  </si>
  <si>
    <t>Transitional Loss (not including capacitive loss)</t>
  </si>
  <si>
    <t>** Specify Inductor Core Loss **</t>
  </si>
  <si>
    <t>Total Bottom FET Diss/Loss</t>
  </si>
  <si>
    <t>LM5146-Q1</t>
  </si>
  <si>
    <t>LM5146-Q1-EVM12V</t>
  </si>
  <si>
    <t>x</t>
  </si>
  <si>
    <t xml:space="preserve">                          LM(2)5145/46-Q1 DC-DC Controller Design Tool</t>
  </si>
  <si>
    <t xml:space="preserve"> LM(2)5145/6/-Q1 Quickstart Calculator</t>
  </si>
  <si>
    <t>VARIANT</t>
  </si>
  <si>
    <t>VIN-MAX</t>
  </si>
  <si>
    <t>VOUT-MAX</t>
  </si>
  <si>
    <t>LM5145</t>
  </si>
  <si>
    <t>LM5145-Q1</t>
  </si>
  <si>
    <t>LM25145</t>
  </si>
  <si>
    <t>LM5146</t>
  </si>
  <si>
    <t>VIN-MIN</t>
  </si>
  <si>
    <t>LM5145EVM-HD-20A PCB Layout</t>
  </si>
  <si>
    <t>Top</t>
  </si>
  <si>
    <t>Layer</t>
  </si>
  <si>
    <t>Layer 2</t>
  </si>
  <si>
    <t>Layer 3</t>
  </si>
  <si>
    <t>Bottom</t>
  </si>
  <si>
    <t>No External VCC</t>
  </si>
  <si>
    <t>Ext_VCC</t>
  </si>
  <si>
    <t>Step 9: IC Power Loss</t>
  </si>
  <si>
    <t>IC Power Dissipation</t>
  </si>
  <si>
    <t>IC Junction Temperature Rise (est)</t>
  </si>
  <si>
    <t>External VCC Applied</t>
  </si>
  <si>
    <r>
      <t>Gate-Source Plateau Voltage, V</t>
    </r>
    <r>
      <rPr>
        <b/>
        <vertAlign val="subscript"/>
        <sz val="10"/>
        <rFont val="Arial"/>
        <family val="2"/>
      </rPr>
      <t>GS(MP)</t>
    </r>
    <r>
      <rPr>
        <b/>
        <sz val="10"/>
        <rFont val="Arial"/>
        <family val="2"/>
      </rPr>
      <t xml:space="preserve"> </t>
    </r>
  </si>
  <si>
    <t>CSD18563Q5D</t>
  </si>
  <si>
    <r>
      <t>Estimate Core Loss at V</t>
    </r>
    <r>
      <rPr>
        <b/>
        <vertAlign val="subscript"/>
        <sz val="10"/>
        <rFont val="Arial"/>
        <family val="2"/>
      </rPr>
      <t>IN(nom)</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</si>
</sst>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5">
    <numFmt numFmtId="176" formatCode="_(* #,##0.00_);_(* \(#,##0.00\);_(* &quot;-&quot;??_);_(@_)"/>
    <numFmt numFmtId="177" formatCode="0.00000"/>
    <numFmt numFmtId="178" formatCode="0.0000"/>
    <numFmt numFmtId="179" formatCode="0.000"/>
    <numFmt numFmtId="180" formatCode="0.0"/>
    <numFmt numFmtId="181" formatCode="0.000E+00"/>
    <numFmt numFmtId="182" formatCode="0.00000000"/>
    <numFmt numFmtId="183" formatCode="0.000000000"/>
    <numFmt numFmtId="184" formatCode="#0.0#"/>
    <numFmt numFmtId="185" formatCode="General&quot;nF&quot;"/>
    <numFmt numFmtId="186" formatCode="General&quot;k&quot;"/>
    <numFmt numFmtId="187" formatCode="General&quot;pF&quot;"/>
    <numFmt numFmtId="188" formatCode="General&quot;µF&quot;"/>
    <numFmt numFmtId="189" formatCode="General&quot;µH&quot;"/>
    <numFmt numFmtId="190" formatCode="&quot;MOSFET, N-CH, 100V, &quot;General&quot;mΩ&quot;"/>
    <numFmt numFmtId="191" formatCode="General&quot;mΩ&quot;"/>
    <numFmt numFmtId="192" formatCode="&quot;Capacitor, Ceramic, &quot;General&quot;pF, 50V, NP0, 5%&quot;"/>
    <numFmt numFmtId="193" formatCode="&quot;Capacitor, Ceramic, &quot;General&quot;pF, 16V, X7R, 10%&quot;"/>
    <numFmt numFmtId="194" formatCode="&quot;Capacitor, Ceramic, &quot;General&quot;µF, 25V, X7R, 20%&quot;"/>
    <numFmt numFmtId="195" formatCode="&quot;Capacitor, Ceramic, &quot;General&quot;nF, 16V, X7R, 10%&quot;"/>
    <numFmt numFmtId="196" formatCode="&quot;Capacitor, Ceramic, &quot;General&quot;µF, 50V, X7R, 20%&quot;"/>
    <numFmt numFmtId="197" formatCode="&quot;Resistor, Chip, &quot;General&quot;kΩ, 1/16W, 1%&quot;"/>
    <numFmt numFmtId="198" formatCode="&quot;Resistor, Chip, &quot;General&quot;Ω, 1/16W, 1%&quot;"/>
    <numFmt numFmtId="199" formatCode="&quot;Resistor, &quot;General&quot;mΩ, 1/4W, 1%&quot;"/>
    <numFmt numFmtId="200" formatCode="&quot;MOSFET, N-CH, 80V/100V, &quot;General&quot;mΩ&quot;"/>
  </numFmts>
  <fonts count="107" x14ac:knownFonts="1">
    <font>
      <sz val="10"/>
      <name val="Arial"/>
    </font>
    <font>
      <sz val="11"/>
      <color theme="1"/>
      <name val="ＭＳ Ｐゴシック"/>
      <family val="2"/>
      <scheme val="minor"/>
    </font>
    <font>
      <sz val="10"/>
      <name val="Arial"/>
      <family val="2"/>
    </font>
    <font>
      <b/>
      <sz val="10"/>
      <name val="Arial"/>
      <family val="2"/>
    </font>
    <font>
      <b/>
      <sz val="22"/>
      <color indexed="44"/>
      <name val="Arial"/>
      <family val="2"/>
    </font>
    <font>
      <sz val="8"/>
      <name val="Arial"/>
      <family val="2"/>
    </font>
    <font>
      <i/>
      <sz val="10"/>
      <name val="Arial"/>
      <family val="2"/>
    </font>
    <font>
      <b/>
      <i/>
      <sz val="10"/>
      <name val="Arial"/>
      <family val="2"/>
    </font>
    <font>
      <sz val="10"/>
      <name val="Arial"/>
      <family val="2"/>
    </font>
    <font>
      <b/>
      <sz val="20"/>
      <color indexed="44"/>
      <name val="Arial"/>
      <family val="2"/>
    </font>
    <font>
      <vertAlign val="subscript"/>
      <sz val="10"/>
      <name val="Arial"/>
      <family val="2"/>
    </font>
    <font>
      <u/>
      <sz val="10"/>
      <color indexed="12"/>
      <name val="Arial"/>
      <family val="2"/>
    </font>
    <font>
      <b/>
      <sz val="16"/>
      <name val="Arial"/>
      <family val="2"/>
    </font>
    <font>
      <sz val="10"/>
      <color indexed="44"/>
      <name val="Arial"/>
      <family val="2"/>
    </font>
    <font>
      <b/>
      <sz val="28"/>
      <color indexed="44"/>
      <name val="Arial"/>
      <family val="2"/>
    </font>
    <font>
      <b/>
      <sz val="10"/>
      <color indexed="44"/>
      <name val="Arial"/>
      <family val="2"/>
    </font>
    <font>
      <sz val="10"/>
      <color indexed="8"/>
      <name val="Arial"/>
      <family val="2"/>
    </font>
    <font>
      <b/>
      <sz val="24"/>
      <color indexed="44"/>
      <name val="Arial"/>
      <family val="2"/>
    </font>
    <font>
      <sz val="10"/>
      <name val="Calibri"/>
      <family val="2"/>
    </font>
    <font>
      <b/>
      <sz val="10"/>
      <name val="Calibri"/>
      <family val="2"/>
    </font>
    <font>
      <sz val="10"/>
      <color indexed="55"/>
      <name val="Calibri"/>
      <family val="2"/>
    </font>
    <font>
      <sz val="10"/>
      <color indexed="8"/>
      <name val="Arial"/>
      <family val="2"/>
    </font>
    <font>
      <b/>
      <sz val="10"/>
      <color indexed="9"/>
      <name val="Calibri"/>
      <family val="2"/>
    </font>
    <font>
      <b/>
      <sz val="12"/>
      <color indexed="48"/>
      <name val="Arial"/>
      <family val="2"/>
    </font>
    <font>
      <b/>
      <sz val="12"/>
      <color indexed="12"/>
      <name val="Arial"/>
      <family val="2"/>
    </font>
    <font>
      <sz val="10"/>
      <color indexed="23"/>
      <name val="Calibri"/>
      <family val="2"/>
    </font>
    <font>
      <b/>
      <sz val="12"/>
      <color indexed="9"/>
      <name val="Calibri"/>
      <family val="2"/>
    </font>
    <font>
      <sz val="12"/>
      <name val="Calibri"/>
      <family val="2"/>
    </font>
    <font>
      <b/>
      <sz val="22"/>
      <color indexed="9"/>
      <name val="Calibri"/>
      <family val="2"/>
    </font>
    <font>
      <b/>
      <u/>
      <sz val="10"/>
      <color indexed="10"/>
      <name val="Arial"/>
      <family val="2"/>
    </font>
    <font>
      <sz val="10"/>
      <color indexed="56"/>
      <name val="Calibri"/>
      <family val="2"/>
    </font>
    <font>
      <sz val="10"/>
      <color indexed="8"/>
      <name val="Arial"/>
      <family val="2"/>
    </font>
    <font>
      <b/>
      <sz val="14"/>
      <color indexed="9"/>
      <name val="Calibri"/>
      <family val="2"/>
    </font>
    <font>
      <sz val="11"/>
      <color indexed="81"/>
      <name val="Tahoma"/>
      <family val="2"/>
    </font>
    <font>
      <b/>
      <i/>
      <sz val="14"/>
      <color indexed="12"/>
      <name val="Calibri"/>
      <family val="2"/>
    </font>
    <font>
      <b/>
      <sz val="8"/>
      <color indexed="81"/>
      <name val="Tahoma"/>
      <family val="2"/>
    </font>
    <font>
      <b/>
      <sz val="9"/>
      <color indexed="81"/>
      <name val="Tahoma"/>
      <family val="2"/>
    </font>
    <font>
      <sz val="8"/>
      <color indexed="81"/>
      <name val="Tahoma"/>
      <family val="2"/>
    </font>
    <font>
      <b/>
      <sz val="10"/>
      <color indexed="81"/>
      <name val="Tahoma"/>
      <family val="2"/>
    </font>
    <font>
      <sz val="9"/>
      <color indexed="81"/>
      <name val="Tahoma"/>
      <family val="2"/>
    </font>
    <font>
      <b/>
      <u/>
      <sz val="8"/>
      <color indexed="81"/>
      <name val="Tahoma"/>
      <family val="2"/>
    </font>
    <font>
      <b/>
      <u/>
      <sz val="9"/>
      <color indexed="81"/>
      <name val="Tahoma"/>
      <family val="2"/>
    </font>
    <font>
      <sz val="11"/>
      <color indexed="10"/>
      <name val="Tahoma"/>
      <family val="2"/>
    </font>
    <font>
      <b/>
      <sz val="11"/>
      <color indexed="10"/>
      <name val="Tahoma"/>
      <family val="2"/>
    </font>
    <font>
      <b/>
      <sz val="9"/>
      <color indexed="10"/>
      <name val="Tahoma"/>
      <family val="2"/>
    </font>
    <font>
      <sz val="10"/>
      <color indexed="81"/>
      <name val="Tahoma"/>
      <family val="2"/>
    </font>
    <font>
      <sz val="9"/>
      <color indexed="39"/>
      <name val="Tahoma"/>
      <family val="2"/>
    </font>
    <font>
      <b/>
      <sz val="9"/>
      <color indexed="39"/>
      <name val="Tahoma"/>
      <family val="2"/>
    </font>
    <font>
      <b/>
      <vertAlign val="subscript"/>
      <sz val="9"/>
      <color indexed="81"/>
      <name val="Tahoma"/>
      <family val="2"/>
    </font>
    <font>
      <vertAlign val="subscript"/>
      <sz val="9"/>
      <color indexed="81"/>
      <name val="Tahoma"/>
      <family val="2"/>
    </font>
    <font>
      <b/>
      <vertAlign val="subscript"/>
      <sz val="10"/>
      <color indexed="81"/>
      <name val="Tahoma"/>
      <family val="2"/>
    </font>
    <font>
      <vertAlign val="subscript"/>
      <sz val="10"/>
      <color indexed="81"/>
      <name val="Tahoma"/>
      <family val="2"/>
    </font>
    <font>
      <sz val="10"/>
      <color indexed="81"/>
      <name val="Calibri"/>
      <family val="2"/>
    </font>
    <font>
      <b/>
      <vertAlign val="subscript"/>
      <sz val="9"/>
      <color indexed="39"/>
      <name val="Tahoma"/>
      <family val="2"/>
    </font>
    <font>
      <b/>
      <vertAlign val="subscript"/>
      <sz val="9"/>
      <color indexed="10"/>
      <name val="Tahoma"/>
      <family val="2"/>
    </font>
    <font>
      <b/>
      <u/>
      <sz val="11"/>
      <color indexed="10"/>
      <name val="Tahoma"/>
      <family val="2"/>
    </font>
    <font>
      <b/>
      <vertAlign val="subscript"/>
      <sz val="10"/>
      <name val="Arial"/>
      <family val="2"/>
    </font>
    <font>
      <sz val="10"/>
      <color indexed="23"/>
      <name val="Arial"/>
      <family val="2"/>
    </font>
    <font>
      <sz val="10"/>
      <color indexed="55"/>
      <name val="Arial"/>
      <family val="2"/>
    </font>
    <font>
      <b/>
      <i/>
      <sz val="10"/>
      <color indexed="55"/>
      <name val="Arial"/>
      <family val="2"/>
    </font>
    <font>
      <b/>
      <i/>
      <sz val="14"/>
      <color indexed="12"/>
      <name val="Arial"/>
      <family val="2"/>
    </font>
    <font>
      <b/>
      <sz val="10"/>
      <color indexed="8"/>
      <name val="Arial"/>
      <family val="2"/>
    </font>
    <font>
      <b/>
      <sz val="14"/>
      <color indexed="9"/>
      <name val="Arial"/>
      <family val="2"/>
    </font>
    <font>
      <b/>
      <sz val="10"/>
      <color rgb="FFFF0000"/>
      <name val="Arial"/>
      <family val="2"/>
    </font>
    <font>
      <b/>
      <i/>
      <sz val="10"/>
      <color indexed="23"/>
      <name val="Arial"/>
      <family val="2"/>
    </font>
    <font>
      <sz val="12"/>
      <name val="Arial"/>
      <family val="2"/>
    </font>
    <font>
      <sz val="10"/>
      <color theme="1"/>
      <name val="Arial"/>
      <family val="2"/>
    </font>
    <font>
      <b/>
      <sz val="10"/>
      <color theme="1"/>
      <name val="Arial"/>
      <family val="2"/>
    </font>
    <font>
      <b/>
      <vertAlign val="subscript"/>
      <sz val="10"/>
      <color theme="1"/>
      <name val="Arial"/>
      <family val="2"/>
    </font>
    <font>
      <b/>
      <sz val="10"/>
      <color rgb="FF0000FF"/>
      <name val="Arial"/>
      <family val="2"/>
    </font>
    <font>
      <sz val="10"/>
      <color rgb="FF0000FF"/>
      <name val="Arial"/>
      <family val="2"/>
    </font>
    <font>
      <sz val="10"/>
      <color rgb="FF0000FF"/>
      <name val="Calibri"/>
      <family val="2"/>
    </font>
    <font>
      <b/>
      <vertAlign val="subscript"/>
      <sz val="10"/>
      <color rgb="FF0000FF"/>
      <name val="Arial"/>
      <family val="2"/>
    </font>
    <font>
      <b/>
      <sz val="12"/>
      <color rgb="FF003366"/>
      <name val="Calibri"/>
      <family val="2"/>
    </font>
    <font>
      <sz val="10"/>
      <name val="Symbol"/>
      <family val="1"/>
      <charset val="2"/>
    </font>
    <font>
      <b/>
      <sz val="10"/>
      <color indexed="9"/>
      <name val="Arial"/>
      <family val="2"/>
    </font>
    <font>
      <b/>
      <sz val="12"/>
      <color rgb="FF0000FF"/>
      <name val="Arial"/>
      <family val="2"/>
    </font>
    <font>
      <b/>
      <u/>
      <sz val="10"/>
      <name val="Arial"/>
      <family val="2"/>
    </font>
    <font>
      <u/>
      <sz val="9"/>
      <color indexed="12"/>
      <name val="Tahoma"/>
      <family val="2"/>
    </font>
    <font>
      <u/>
      <sz val="10"/>
      <color theme="0" tint="-0.499984740745262"/>
      <name val="Arial"/>
      <family val="2"/>
    </font>
    <font>
      <b/>
      <vertAlign val="subscript"/>
      <sz val="12"/>
      <color indexed="12"/>
      <name val="Arial"/>
      <family val="2"/>
    </font>
    <font>
      <vertAlign val="subscript"/>
      <sz val="10"/>
      <color theme="1"/>
      <name val="Arial"/>
      <family val="2"/>
    </font>
    <font>
      <b/>
      <sz val="10"/>
      <color rgb="FFC00000"/>
      <name val="Arial"/>
      <family val="2"/>
    </font>
    <font>
      <b/>
      <vertAlign val="subscript"/>
      <sz val="16"/>
      <name val="Arial"/>
      <family val="2"/>
    </font>
    <font>
      <b/>
      <sz val="10"/>
      <color theme="0"/>
      <name val="Arial"/>
      <family val="2"/>
    </font>
    <font>
      <sz val="10"/>
      <color theme="0"/>
      <name val="Arial"/>
      <family val="2"/>
    </font>
    <font>
      <b/>
      <sz val="10"/>
      <color rgb="FF33CC33"/>
      <name val="Arial"/>
      <family val="2"/>
    </font>
    <font>
      <b/>
      <vertAlign val="superscript"/>
      <sz val="10"/>
      <color theme="0"/>
      <name val="Arial"/>
      <family val="2"/>
    </font>
    <font>
      <b/>
      <sz val="12"/>
      <color rgb="FFFF0000"/>
      <name val="Arial"/>
      <family val="2"/>
    </font>
    <font>
      <b/>
      <vertAlign val="superscript"/>
      <sz val="12"/>
      <color rgb="FFFF0000"/>
      <name val="Arial"/>
      <family val="2"/>
    </font>
    <font>
      <sz val="10"/>
      <color rgb="FFFF0000"/>
      <name val="Arial"/>
      <family val="2"/>
    </font>
    <font>
      <sz val="9"/>
      <name val="Arial"/>
      <family val="2"/>
    </font>
    <font>
      <b/>
      <sz val="12"/>
      <name val="Arial"/>
      <family val="2"/>
    </font>
    <font>
      <b/>
      <sz val="22"/>
      <color rgb="FFFF0000"/>
      <name val="Calibri"/>
      <family val="2"/>
    </font>
    <font>
      <sz val="10"/>
      <color rgb="FFFF0000"/>
      <name val="Calibri"/>
      <family val="2"/>
    </font>
    <font>
      <b/>
      <sz val="10"/>
      <color rgb="FFFF0000"/>
      <name val="Calibri"/>
      <family val="2"/>
    </font>
    <font>
      <b/>
      <sz val="22"/>
      <name val="Calibri"/>
      <family val="2"/>
    </font>
    <font>
      <u/>
      <sz val="10"/>
      <name val="Arial"/>
      <family val="2"/>
    </font>
    <font>
      <sz val="10"/>
      <color theme="0"/>
      <name val="Calibri"/>
      <family val="2"/>
    </font>
    <font>
      <b/>
      <sz val="12"/>
      <color theme="0"/>
      <name val="Calibri"/>
      <family val="2"/>
    </font>
    <font>
      <b/>
      <sz val="11"/>
      <color indexed="81"/>
      <name val="Tahoma"/>
      <family val="2"/>
    </font>
    <font>
      <b/>
      <sz val="9"/>
      <color rgb="FF000000"/>
      <name val="Arial"/>
      <family val="2"/>
    </font>
    <font>
      <sz val="36"/>
      <color rgb="FFFF0000"/>
      <name val="Arial"/>
      <family val="2"/>
    </font>
    <font>
      <sz val="16"/>
      <color theme="0"/>
      <name val="Arial"/>
      <family val="2"/>
    </font>
    <font>
      <sz val="28"/>
      <color theme="0"/>
      <name val="Arial"/>
      <family val="2"/>
    </font>
    <font>
      <sz val="10"/>
      <name val="Arial"/>
      <family val="2"/>
    </font>
    <font>
      <sz val="6"/>
      <name val="ＭＳ Ｐゴシック"/>
      <family val="3"/>
      <charset val="128"/>
    </font>
  </fonts>
  <fills count="26">
    <fill>
      <patternFill patternType="none"/>
    </fill>
    <fill>
      <patternFill patternType="gray125"/>
    </fill>
    <fill>
      <patternFill patternType="solid">
        <fgColor indexed="44"/>
        <bgColor indexed="64"/>
      </patternFill>
    </fill>
    <fill>
      <patternFill patternType="solid">
        <fgColor indexed="8"/>
        <bgColor indexed="64"/>
      </patternFill>
    </fill>
    <fill>
      <patternFill patternType="solid">
        <fgColor indexed="22"/>
        <bgColor indexed="64"/>
      </patternFill>
    </fill>
    <fill>
      <patternFill patternType="solid">
        <fgColor indexed="55"/>
        <bgColor indexed="64"/>
      </patternFill>
    </fill>
    <fill>
      <patternFill patternType="solid">
        <fgColor indexed="45"/>
        <bgColor indexed="64"/>
      </patternFill>
    </fill>
    <fill>
      <patternFill patternType="solid">
        <fgColor indexed="46"/>
        <bgColor indexed="64"/>
      </patternFill>
    </fill>
    <fill>
      <patternFill patternType="solid">
        <fgColor indexed="11"/>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52"/>
        <bgColor indexed="64"/>
      </patternFill>
    </fill>
    <fill>
      <patternFill patternType="solid">
        <fgColor indexed="50"/>
        <bgColor indexed="64"/>
      </patternFill>
    </fill>
    <fill>
      <patternFill patternType="solid">
        <fgColor indexed="47"/>
        <bgColor indexed="64"/>
      </patternFill>
    </fill>
    <fill>
      <patternFill patternType="solid">
        <fgColor indexed="56"/>
        <bgColor indexed="64"/>
      </patternFill>
    </fill>
    <fill>
      <patternFill patternType="solid">
        <fgColor indexed="23"/>
        <bgColor indexed="64"/>
      </patternFill>
    </fill>
    <fill>
      <patternFill patternType="solid">
        <fgColor indexed="53"/>
        <bgColor indexed="64"/>
      </patternFill>
    </fill>
    <fill>
      <patternFill patternType="solid">
        <fgColor theme="0"/>
        <bgColor indexed="64"/>
      </patternFill>
    </fill>
    <fill>
      <patternFill patternType="solid">
        <fgColor rgb="FFFF0000"/>
        <bgColor indexed="64"/>
      </patternFill>
    </fill>
    <fill>
      <patternFill patternType="solid">
        <fgColor theme="1"/>
        <bgColor indexed="64"/>
      </patternFill>
    </fill>
    <fill>
      <patternFill patternType="solid">
        <fgColor rgb="FFFFFF00"/>
        <bgColor indexed="64"/>
      </patternFill>
    </fill>
    <fill>
      <patternFill patternType="solid">
        <fgColor indexed="43"/>
        <bgColor indexed="64"/>
      </patternFill>
    </fill>
    <fill>
      <patternFill patternType="solid">
        <fgColor rgb="FFFFFF99"/>
        <bgColor indexed="64"/>
      </patternFill>
    </fill>
    <fill>
      <patternFill patternType="solid">
        <fgColor theme="0" tint="-0.499984740745262"/>
        <bgColor indexed="64"/>
      </patternFill>
    </fill>
  </fills>
  <borders count="6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55"/>
      </top>
      <bottom/>
      <diagonal/>
    </border>
    <border>
      <left/>
      <right/>
      <top/>
      <bottom style="medium">
        <color indexed="55"/>
      </bottom>
      <diagonal/>
    </border>
    <border>
      <left/>
      <right style="medium">
        <color indexed="55"/>
      </right>
      <top style="medium">
        <color indexed="55"/>
      </top>
      <bottom/>
      <diagonal/>
    </border>
    <border>
      <left/>
      <right style="medium">
        <color indexed="55"/>
      </right>
      <top/>
      <bottom/>
      <diagonal/>
    </border>
    <border>
      <left/>
      <right style="medium">
        <color indexed="55"/>
      </right>
      <top/>
      <bottom style="medium">
        <color indexed="55"/>
      </bottom>
      <diagonal/>
    </border>
    <border>
      <left style="medium">
        <color indexed="55"/>
      </left>
      <right/>
      <top style="medium">
        <color indexed="55"/>
      </top>
      <bottom/>
      <diagonal/>
    </border>
    <border>
      <left style="medium">
        <color indexed="55"/>
      </left>
      <right/>
      <top/>
      <bottom/>
      <diagonal/>
    </border>
    <border>
      <left style="medium">
        <color indexed="55"/>
      </left>
      <right/>
      <top/>
      <bottom style="medium">
        <color indexed="55"/>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auto="1"/>
      </left>
      <right/>
      <top style="medium">
        <color indexed="64"/>
      </top>
      <bottom style="medium">
        <color indexed="64"/>
      </bottom>
      <diagonal/>
    </border>
    <border>
      <left/>
      <right/>
      <top style="medium">
        <color auto="1"/>
      </top>
      <bottom style="medium">
        <color auto="1"/>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auto="1"/>
      </left>
      <right/>
      <top/>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style="medium">
        <color indexed="64"/>
      </bottom>
      <diagonal/>
    </border>
  </borders>
  <cellStyleXfs count="6">
    <xf numFmtId="0" fontId="0" fillId="0" borderId="0"/>
    <xf numFmtId="0" fontId="11" fillId="0" borderId="0" applyNumberFormat="0" applyFill="0" applyBorder="0" applyAlignment="0" applyProtection="0">
      <alignment vertical="top"/>
      <protection locked="0"/>
    </xf>
    <xf numFmtId="0" fontId="2" fillId="0" borderId="0"/>
    <xf numFmtId="0" fontId="1" fillId="0" borderId="0"/>
    <xf numFmtId="176" fontId="1" fillId="0" borderId="0" applyFont="0" applyFill="0" applyBorder="0" applyAlignment="0" applyProtection="0"/>
    <xf numFmtId="176" fontId="105" fillId="0" borderId="0" applyFont="0" applyFill="0" applyBorder="0" applyAlignment="0" applyProtection="0"/>
  </cellStyleXfs>
  <cellXfs count="568">
    <xf numFmtId="0" fontId="0" fillId="0" borderId="0" xfId="0"/>
    <xf numFmtId="0" fontId="7" fillId="0" borderId="0" xfId="0" applyFont="1"/>
    <xf numFmtId="0" fontId="3" fillId="0" borderId="0" xfId="0" applyFont="1"/>
    <xf numFmtId="0" fontId="8" fillId="0" borderId="0" xfId="0" applyFont="1"/>
    <xf numFmtId="2" fontId="0" fillId="0" borderId="0" xfId="0" applyNumberFormat="1"/>
    <xf numFmtId="0" fontId="0" fillId="2" borderId="0" xfId="0" applyFill="1"/>
    <xf numFmtId="0" fontId="0" fillId="3" borderId="0" xfId="0" applyFill="1"/>
    <xf numFmtId="0" fontId="3" fillId="2" borderId="0" xfId="0" applyFont="1" applyFill="1"/>
    <xf numFmtId="0" fontId="12" fillId="2" borderId="0" xfId="0" applyFont="1" applyFill="1"/>
    <xf numFmtId="181" fontId="0" fillId="0" borderId="0" xfId="0" applyNumberFormat="1"/>
    <xf numFmtId="10" fontId="0" fillId="0" borderId="0" xfId="0" applyNumberFormat="1"/>
    <xf numFmtId="0" fontId="15" fillId="3" borderId="0" xfId="0" applyFont="1" applyFill="1" applyAlignment="1">
      <alignment horizontal="right"/>
    </xf>
    <xf numFmtId="0" fontId="15" fillId="3" borderId="0" xfId="0" applyFont="1" applyFill="1"/>
    <xf numFmtId="0" fontId="7" fillId="4" borderId="1" xfId="0" applyFont="1" applyFill="1" applyBorder="1"/>
    <xf numFmtId="0" fontId="7" fillId="4" borderId="2" xfId="0" applyFont="1" applyFill="1" applyBorder="1"/>
    <xf numFmtId="0" fontId="0" fillId="4" borderId="3" xfId="0" applyFill="1" applyBorder="1"/>
    <xf numFmtId="0" fontId="16" fillId="4" borderId="3" xfId="0" applyFont="1" applyFill="1" applyBorder="1"/>
    <xf numFmtId="181" fontId="7" fillId="4" borderId="2" xfId="0" applyNumberFormat="1" applyFont="1" applyFill="1" applyBorder="1" applyAlignment="1">
      <alignment horizontal="center"/>
    </xf>
    <xf numFmtId="0" fontId="0" fillId="4" borderId="2" xfId="0" applyFill="1" applyBorder="1"/>
    <xf numFmtId="0" fontId="17" fillId="3" borderId="4" xfId="0" applyFont="1" applyFill="1" applyBorder="1"/>
    <xf numFmtId="0" fontId="3" fillId="2" borderId="5" xfId="0" applyFont="1" applyFill="1" applyBorder="1" applyAlignment="1">
      <alignment horizontal="center" vertical="top" wrapText="1"/>
    </xf>
    <xf numFmtId="0" fontId="3" fillId="2" borderId="6" xfId="0" applyFont="1" applyFill="1" applyBorder="1" applyAlignment="1">
      <alignment horizontal="center" vertical="top" wrapText="1"/>
    </xf>
    <xf numFmtId="0" fontId="3" fillId="2" borderId="7" xfId="0" applyFont="1" applyFill="1" applyBorder="1" applyAlignment="1">
      <alignment horizontal="center" vertical="top" wrapText="1"/>
    </xf>
    <xf numFmtId="181" fontId="3" fillId="2" borderId="6" xfId="0" applyNumberFormat="1" applyFont="1" applyFill="1" applyBorder="1" applyAlignment="1">
      <alignment horizontal="center" vertical="top" wrapText="1"/>
    </xf>
    <xf numFmtId="0" fontId="3" fillId="5" borderId="8" xfId="0" applyFont="1" applyFill="1" applyBorder="1"/>
    <xf numFmtId="0" fontId="3" fillId="5" borderId="9" xfId="0" applyFont="1" applyFill="1" applyBorder="1"/>
    <xf numFmtId="0" fontId="3" fillId="5" borderId="10" xfId="0" applyFont="1" applyFill="1" applyBorder="1"/>
    <xf numFmtId="0" fontId="3" fillId="5" borderId="11" xfId="0" applyFont="1" applyFill="1" applyBorder="1"/>
    <xf numFmtId="0" fontId="8" fillId="0" borderId="0" xfId="0" applyFont="1" applyProtection="1">
      <protection locked="0"/>
    </xf>
    <xf numFmtId="0" fontId="0" fillId="0" borderId="0" xfId="0" applyProtection="1">
      <protection locked="0"/>
    </xf>
    <xf numFmtId="0" fontId="0" fillId="6" borderId="12" xfId="0" applyFill="1" applyBorder="1"/>
    <xf numFmtId="0" fontId="0" fillId="0" borderId="11" xfId="0" applyBorder="1"/>
    <xf numFmtId="0" fontId="0" fillId="6" borderId="11" xfId="0" applyFill="1" applyBorder="1"/>
    <xf numFmtId="0" fontId="0" fillId="4" borderId="11" xfId="0" applyFill="1" applyBorder="1"/>
    <xf numFmtId="0" fontId="3" fillId="5" borderId="0" xfId="0" applyFont="1" applyFill="1"/>
    <xf numFmtId="0" fontId="0" fillId="6" borderId="0" xfId="0" applyFill="1"/>
    <xf numFmtId="0" fontId="0" fillId="0" borderId="13" xfId="0" applyBorder="1"/>
    <xf numFmtId="0" fontId="8" fillId="2" borderId="0" xfId="0" applyFont="1" applyFill="1"/>
    <xf numFmtId="0" fontId="0" fillId="6" borderId="13" xfId="0" applyFill="1" applyBorder="1"/>
    <xf numFmtId="0" fontId="0" fillId="4" borderId="0" xfId="0" applyFill="1"/>
    <xf numFmtId="11" fontId="0" fillId="0" borderId="0" xfId="0" applyNumberFormat="1"/>
    <xf numFmtId="0" fontId="13" fillId="3" borderId="0" xfId="0" applyFont="1" applyFill="1"/>
    <xf numFmtId="0" fontId="0" fillId="4" borderId="12" xfId="0" applyFill="1" applyBorder="1"/>
    <xf numFmtId="0" fontId="0" fillId="4" borderId="14" xfId="0" applyFill="1" applyBorder="1"/>
    <xf numFmtId="0" fontId="3" fillId="4" borderId="11" xfId="0" applyFont="1" applyFill="1" applyBorder="1"/>
    <xf numFmtId="0" fontId="0" fillId="6" borderId="8" xfId="0" applyFill="1" applyBorder="1"/>
    <xf numFmtId="0" fontId="0" fillId="4" borderId="8" xfId="0" applyFill="1" applyBorder="1"/>
    <xf numFmtId="0" fontId="3" fillId="5" borderId="4" xfId="0" applyFont="1" applyFill="1" applyBorder="1"/>
    <xf numFmtId="0" fontId="0" fillId="2" borderId="14" xfId="0" applyFill="1" applyBorder="1"/>
    <xf numFmtId="0" fontId="0" fillId="2" borderId="13" xfId="0" applyFill="1" applyBorder="1"/>
    <xf numFmtId="0" fontId="0" fillId="2" borderId="12" xfId="0" applyFill="1" applyBorder="1"/>
    <xf numFmtId="0" fontId="0" fillId="8" borderId="0" xfId="0" applyFill="1"/>
    <xf numFmtId="0" fontId="0" fillId="9" borderId="0" xfId="0" applyFill="1"/>
    <xf numFmtId="0" fontId="0" fillId="11" borderId="0" xfId="0" applyFill="1"/>
    <xf numFmtId="0" fontId="0" fillId="0" borderId="0" xfId="0" applyAlignment="1">
      <alignment horizontal="right"/>
    </xf>
    <xf numFmtId="0" fontId="18" fillId="0" borderId="0" xfId="0" applyFont="1"/>
    <xf numFmtId="0" fontId="3" fillId="0" borderId="0" xfId="0" applyFont="1" applyAlignment="1">
      <alignment horizontal="center"/>
    </xf>
    <xf numFmtId="184" fontId="21" fillId="0" borderId="0" xfId="0" applyNumberFormat="1" applyFont="1" applyAlignment="1">
      <alignment horizontal="center"/>
    </xf>
    <xf numFmtId="184" fontId="8" fillId="0" borderId="0" xfId="0" applyNumberFormat="1" applyFont="1" applyAlignment="1">
      <alignment horizontal="center"/>
    </xf>
    <xf numFmtId="184" fontId="8" fillId="0" borderId="0" xfId="0" applyNumberFormat="1" applyFont="1" applyAlignment="1" applyProtection="1">
      <alignment horizontal="center"/>
      <protection locked="0"/>
    </xf>
    <xf numFmtId="11" fontId="7" fillId="0" borderId="0" xfId="0" applyNumberFormat="1" applyFont="1"/>
    <xf numFmtId="184" fontId="0" fillId="0" borderId="0" xfId="0" applyNumberFormat="1"/>
    <xf numFmtId="0" fontId="0" fillId="12" borderId="0" xfId="0" applyFill="1"/>
    <xf numFmtId="180" fontId="0" fillId="0" borderId="0" xfId="0" applyNumberFormat="1"/>
    <xf numFmtId="0" fontId="3" fillId="4" borderId="0" xfId="0" applyFont="1" applyFill="1" applyAlignment="1">
      <alignment horizontal="center"/>
    </xf>
    <xf numFmtId="0" fontId="3" fillId="13" borderId="0" xfId="0" applyFont="1" applyFill="1" applyAlignment="1">
      <alignment horizontal="center"/>
    </xf>
    <xf numFmtId="0" fontId="3" fillId="14" borderId="0" xfId="0" applyFont="1" applyFill="1" applyAlignment="1">
      <alignment horizontal="center"/>
    </xf>
    <xf numFmtId="181" fontId="7" fillId="4" borderId="1" xfId="0" applyNumberFormat="1" applyFont="1" applyFill="1" applyBorder="1" applyAlignment="1">
      <alignment horizontal="center"/>
    </xf>
    <xf numFmtId="0" fontId="0" fillId="4" borderId="18" xfId="0" applyFill="1" applyBorder="1"/>
    <xf numFmtId="0" fontId="7" fillId="4" borderId="3" xfId="0" applyFont="1" applyFill="1" applyBorder="1"/>
    <xf numFmtId="0" fontId="7" fillId="4" borderId="19" xfId="0" applyFont="1" applyFill="1" applyBorder="1" applyAlignment="1">
      <alignment horizontal="left"/>
    </xf>
    <xf numFmtId="0" fontId="7" fillId="4" borderId="20" xfId="0" applyFont="1" applyFill="1" applyBorder="1" applyAlignment="1">
      <alignment horizontal="left"/>
    </xf>
    <xf numFmtId="0" fontId="0" fillId="4" borderId="20" xfId="0" applyFill="1" applyBorder="1"/>
    <xf numFmtId="0" fontId="0" fillId="4" borderId="21" xfId="0" applyFill="1" applyBorder="1"/>
    <xf numFmtId="0" fontId="3" fillId="7" borderId="7" xfId="0" applyFont="1" applyFill="1" applyBorder="1" applyAlignment="1">
      <alignment horizontal="center" vertical="top" wrapText="1"/>
    </xf>
    <xf numFmtId="181" fontId="3" fillId="2" borderId="5" xfId="0" applyNumberFormat="1" applyFont="1" applyFill="1" applyBorder="1" applyAlignment="1">
      <alignment horizontal="center" vertical="top" wrapText="1"/>
    </xf>
    <xf numFmtId="0" fontId="3" fillId="2" borderId="22" xfId="0" applyFont="1" applyFill="1" applyBorder="1" applyAlignment="1">
      <alignment horizontal="center" vertical="top" wrapText="1"/>
    </xf>
    <xf numFmtId="0" fontId="3" fillId="7" borderId="23" xfId="0" applyFont="1" applyFill="1" applyBorder="1" applyAlignment="1">
      <alignment horizontal="center" vertical="top" wrapText="1"/>
    </xf>
    <xf numFmtId="0" fontId="3" fillId="7" borderId="24" xfId="0" applyFont="1" applyFill="1" applyBorder="1" applyAlignment="1">
      <alignment horizontal="center" vertical="top" wrapText="1"/>
    </xf>
    <xf numFmtId="0" fontId="3" fillId="2" borderId="25" xfId="0" applyFont="1" applyFill="1" applyBorder="1" applyAlignment="1">
      <alignment horizontal="center" vertical="top" wrapText="1"/>
    </xf>
    <xf numFmtId="0" fontId="3" fillId="2" borderId="26" xfId="0" applyFont="1" applyFill="1" applyBorder="1" applyAlignment="1">
      <alignment horizontal="center" vertical="top" wrapText="1"/>
    </xf>
    <xf numFmtId="0" fontId="3" fillId="2" borderId="27" xfId="0" applyFont="1" applyFill="1" applyBorder="1" applyAlignment="1">
      <alignment horizontal="center" vertical="top" wrapText="1"/>
    </xf>
    <xf numFmtId="0" fontId="3" fillId="7" borderId="28" xfId="0" applyFont="1" applyFill="1" applyBorder="1" applyAlignment="1">
      <alignment horizontal="center" vertical="top" wrapText="1"/>
    </xf>
    <xf numFmtId="0" fontId="3" fillId="15" borderId="5" xfId="0" applyFont="1" applyFill="1" applyBorder="1" applyAlignment="1">
      <alignment horizontal="center" vertical="top" wrapText="1"/>
    </xf>
    <xf numFmtId="2" fontId="3" fillId="15" borderId="6" xfId="0" applyNumberFormat="1" applyFont="1" applyFill="1" applyBorder="1" applyAlignment="1">
      <alignment horizontal="center" vertical="top" wrapText="1"/>
    </xf>
    <xf numFmtId="184" fontId="18" fillId="3" borderId="0" xfId="0" applyNumberFormat="1" applyFont="1" applyFill="1" applyAlignment="1">
      <alignment horizontal="center"/>
    </xf>
    <xf numFmtId="184" fontId="27" fillId="3" borderId="0" xfId="0" applyNumberFormat="1" applyFont="1" applyFill="1" applyAlignment="1">
      <alignment horizontal="center"/>
    </xf>
    <xf numFmtId="0" fontId="0" fillId="0" borderId="29" xfId="0" applyBorder="1"/>
    <xf numFmtId="0" fontId="0" fillId="0" borderId="30" xfId="0" applyBorder="1"/>
    <xf numFmtId="0" fontId="8" fillId="0" borderId="29" xfId="0" applyFont="1" applyBorder="1"/>
    <xf numFmtId="0" fontId="0" fillId="14" borderId="0" xfId="0" applyFill="1"/>
    <xf numFmtId="0" fontId="0" fillId="0" borderId="31" xfId="0" applyBorder="1"/>
    <xf numFmtId="0" fontId="0" fillId="0" borderId="32" xfId="0" applyBorder="1"/>
    <xf numFmtId="0" fontId="0" fillId="0" borderId="33" xfId="0" applyBorder="1"/>
    <xf numFmtId="0" fontId="0" fillId="0" borderId="2" xfId="0" applyBorder="1"/>
    <xf numFmtId="0" fontId="0" fillId="0" borderId="3" xfId="0" applyBorder="1"/>
    <xf numFmtId="0" fontId="7" fillId="0" borderId="29" xfId="0" applyFont="1" applyBorder="1"/>
    <xf numFmtId="0" fontId="7" fillId="13" borderId="0" xfId="0" applyFont="1" applyFill="1"/>
    <xf numFmtId="0" fontId="8" fillId="13" borderId="0" xfId="0" applyFont="1" applyFill="1"/>
    <xf numFmtId="0" fontId="3" fillId="0" borderId="29" xfId="0" applyFont="1" applyBorder="1"/>
    <xf numFmtId="0" fontId="3" fillId="0" borderId="31" xfId="0" applyFont="1" applyBorder="1"/>
    <xf numFmtId="0" fontId="7" fillId="13" borderId="32" xfId="0" applyFont="1" applyFill="1" applyBorder="1"/>
    <xf numFmtId="11" fontId="0" fillId="14" borderId="0" xfId="0" applyNumberFormat="1" applyFill="1"/>
    <xf numFmtId="0" fontId="0" fillId="13" borderId="0" xfId="0" applyFill="1"/>
    <xf numFmtId="1" fontId="3" fillId="13" borderId="0" xfId="0" applyNumberFormat="1" applyFont="1" applyFill="1" applyAlignment="1">
      <alignment horizontal="right"/>
    </xf>
    <xf numFmtId="0" fontId="3" fillId="13" borderId="0" xfId="0" applyFont="1" applyFill="1"/>
    <xf numFmtId="11" fontId="0" fillId="13" borderId="0" xfId="0" applyNumberFormat="1" applyFill="1"/>
    <xf numFmtId="180" fontId="0" fillId="13" borderId="32" xfId="0" applyNumberFormat="1" applyFill="1" applyBorder="1"/>
    <xf numFmtId="0" fontId="7" fillId="0" borderId="31" xfId="0" applyFont="1" applyBorder="1"/>
    <xf numFmtId="0" fontId="0" fillId="4" borderId="32" xfId="0" applyFill="1" applyBorder="1"/>
    <xf numFmtId="183" fontId="0" fillId="13" borderId="0" xfId="0" applyNumberFormat="1" applyFill="1"/>
    <xf numFmtId="0" fontId="0" fillId="0" borderId="32" xfId="0" applyBorder="1" applyAlignment="1">
      <alignment horizontal="right"/>
    </xf>
    <xf numFmtId="0" fontId="0" fillId="5" borderId="0" xfId="0" applyFill="1"/>
    <xf numFmtId="11" fontId="7" fillId="0" borderId="32" xfId="0" applyNumberFormat="1" applyFont="1" applyBorder="1"/>
    <xf numFmtId="11" fontId="0" fillId="4" borderId="0" xfId="0" applyNumberFormat="1" applyFill="1"/>
    <xf numFmtId="0" fontId="0" fillId="2" borderId="0" xfId="0" applyFill="1" applyProtection="1">
      <protection locked="0"/>
    </xf>
    <xf numFmtId="0" fontId="0" fillId="2" borderId="11" xfId="0" applyFill="1" applyBorder="1" applyProtection="1">
      <protection locked="0"/>
    </xf>
    <xf numFmtId="0" fontId="0" fillId="10" borderId="0" xfId="0" applyFill="1"/>
    <xf numFmtId="0" fontId="0" fillId="4" borderId="13" xfId="0" applyFill="1" applyBorder="1"/>
    <xf numFmtId="0" fontId="0" fillId="7" borderId="11" xfId="0" applyFill="1" applyBorder="1"/>
    <xf numFmtId="0" fontId="16" fillId="7" borderId="11" xfId="0" applyFont="1" applyFill="1" applyBorder="1"/>
    <xf numFmtId="0" fontId="8" fillId="7" borderId="11" xfId="0" applyFont="1" applyFill="1" applyBorder="1"/>
    <xf numFmtId="0" fontId="8" fillId="10" borderId="11" xfId="0" applyFont="1" applyFill="1" applyBorder="1"/>
    <xf numFmtId="0" fontId="18" fillId="3" borderId="0" xfId="0" applyFont="1" applyFill="1"/>
    <xf numFmtId="0" fontId="19" fillId="10" borderId="0" xfId="0" applyFont="1" applyFill="1"/>
    <xf numFmtId="0" fontId="18" fillId="10" borderId="0" xfId="0" applyFont="1" applyFill="1" applyAlignment="1">
      <alignment horizontal="right"/>
    </xf>
    <xf numFmtId="0" fontId="19" fillId="10" borderId="0" xfId="0" applyFont="1" applyFill="1" applyAlignment="1">
      <alignment horizontal="right"/>
    </xf>
    <xf numFmtId="0" fontId="18" fillId="10" borderId="0" xfId="0" applyFont="1" applyFill="1"/>
    <xf numFmtId="0" fontId="27" fillId="16" borderId="20" xfId="0" applyFont="1" applyFill="1" applyBorder="1"/>
    <xf numFmtId="0" fontId="27" fillId="16" borderId="21" xfId="0" applyFont="1" applyFill="1" applyBorder="1"/>
    <xf numFmtId="0" fontId="27" fillId="3" borderId="0" xfId="0" applyFont="1" applyFill="1"/>
    <xf numFmtId="0" fontId="18" fillId="10" borderId="0" xfId="0" applyFont="1" applyFill="1" applyAlignment="1">
      <alignment horizontal="center"/>
    </xf>
    <xf numFmtId="0" fontId="18" fillId="10" borderId="0" xfId="0" applyFont="1" applyFill="1" applyAlignment="1">
      <alignment horizontal="left"/>
    </xf>
    <xf numFmtId="0" fontId="23" fillId="0" borderId="0" xfId="0" applyFont="1"/>
    <xf numFmtId="0" fontId="0" fillId="0" borderId="1" xfId="0" applyBorder="1"/>
    <xf numFmtId="0" fontId="7" fillId="0" borderId="1" xfId="0" applyFont="1" applyBorder="1"/>
    <xf numFmtId="0" fontId="3" fillId="0" borderId="1" xfId="0" applyFont="1" applyBorder="1"/>
    <xf numFmtId="2" fontId="7" fillId="4" borderId="2" xfId="0" applyNumberFormat="1" applyFont="1" applyFill="1" applyBorder="1"/>
    <xf numFmtId="0" fontId="0" fillId="0" borderId="2" xfId="0" applyBorder="1" applyAlignment="1">
      <alignment horizontal="right"/>
    </xf>
    <xf numFmtId="0" fontId="24" fillId="0" borderId="0" xfId="0" applyFont="1"/>
    <xf numFmtId="0" fontId="0" fillId="17" borderId="0" xfId="0" applyFill="1"/>
    <xf numFmtId="2" fontId="0" fillId="18" borderId="0" xfId="0" applyNumberFormat="1" applyFill="1"/>
    <xf numFmtId="0" fontId="31" fillId="0" borderId="0" xfId="0" applyFont="1"/>
    <xf numFmtId="0" fontId="31" fillId="4" borderId="0" xfId="0" applyFont="1" applyFill="1"/>
    <xf numFmtId="0" fontId="23" fillId="0" borderId="39" xfId="0" applyFont="1" applyBorder="1"/>
    <xf numFmtId="0" fontId="0" fillId="0" borderId="34" xfId="0" applyBorder="1"/>
    <xf numFmtId="0" fontId="0" fillId="0" borderId="36" xfId="0" applyBorder="1"/>
    <xf numFmtId="0" fontId="8" fillId="0" borderId="40" xfId="0" applyFont="1" applyBorder="1"/>
    <xf numFmtId="0" fontId="0" fillId="0" borderId="37" xfId="0" applyBorder="1"/>
    <xf numFmtId="0" fontId="31" fillId="0" borderId="40" xfId="0" applyFont="1" applyBorder="1"/>
    <xf numFmtId="0" fontId="31" fillId="0" borderId="41" xfId="0" applyFont="1" applyBorder="1"/>
    <xf numFmtId="0" fontId="31" fillId="0" borderId="35" xfId="0" applyFont="1" applyBorder="1"/>
    <xf numFmtId="0" fontId="0" fillId="0" borderId="35" xfId="0" applyBorder="1"/>
    <xf numFmtId="0" fontId="0" fillId="0" borderId="38" xfId="0" applyBorder="1"/>
    <xf numFmtId="0" fontId="31" fillId="18" borderId="0" xfId="0" applyFont="1" applyFill="1"/>
    <xf numFmtId="0" fontId="0" fillId="18" borderId="0" xfId="0" applyFill="1"/>
    <xf numFmtId="0" fontId="31" fillId="18" borderId="35" xfId="0" applyFont="1" applyFill="1" applyBorder="1"/>
    <xf numFmtId="0" fontId="8" fillId="0" borderId="32" xfId="0" applyFont="1" applyBorder="1"/>
    <xf numFmtId="0" fontId="8" fillId="14" borderId="0" xfId="0" applyFont="1" applyFill="1"/>
    <xf numFmtId="0" fontId="18" fillId="10" borderId="30" xfId="0" applyFont="1" applyFill="1" applyBorder="1"/>
    <xf numFmtId="0" fontId="20" fillId="10" borderId="0" xfId="0" applyFont="1" applyFill="1"/>
    <xf numFmtId="2" fontId="18" fillId="10" borderId="0" xfId="0" applyNumberFormat="1" applyFont="1" applyFill="1"/>
    <xf numFmtId="179" fontId="18" fillId="10" borderId="0" xfId="0" applyNumberFormat="1" applyFont="1" applyFill="1"/>
    <xf numFmtId="182" fontId="18" fillId="10" borderId="0" xfId="0" applyNumberFormat="1" applyFont="1" applyFill="1"/>
    <xf numFmtId="178" fontId="18" fillId="10" borderId="0" xfId="0" applyNumberFormat="1" applyFont="1" applyFill="1"/>
    <xf numFmtId="2" fontId="7" fillId="4" borderId="0" xfId="0" applyNumberFormat="1" applyFont="1" applyFill="1"/>
    <xf numFmtId="180" fontId="0" fillId="13" borderId="0" xfId="0" applyNumberFormat="1" applyFill="1"/>
    <xf numFmtId="0" fontId="11" fillId="0" borderId="0" xfId="1" applyAlignment="1" applyProtection="1"/>
    <xf numFmtId="2" fontId="31" fillId="13" borderId="0" xfId="0" applyNumberFormat="1" applyFont="1" applyFill="1"/>
    <xf numFmtId="179" fontId="31" fillId="18" borderId="0" xfId="0" applyNumberFormat="1" applyFont="1" applyFill="1"/>
    <xf numFmtId="0" fontId="18" fillId="19" borderId="0" xfId="0" applyFont="1" applyFill="1"/>
    <xf numFmtId="0" fontId="2" fillId="0" borderId="0" xfId="0" applyFont="1"/>
    <xf numFmtId="2" fontId="2" fillId="0" borderId="0" xfId="0" quotePrefix="1" applyNumberFormat="1" applyFont="1"/>
    <xf numFmtId="0" fontId="0" fillId="0" borderId="0" xfId="0" applyAlignment="1">
      <alignment horizontal="left"/>
    </xf>
    <xf numFmtId="0" fontId="2" fillId="0" borderId="2" xfId="0" applyFont="1" applyBorder="1"/>
    <xf numFmtId="0" fontId="2" fillId="0" borderId="32" xfId="0" applyFont="1" applyBorder="1"/>
    <xf numFmtId="0" fontId="34" fillId="10" borderId="0" xfId="0" applyFont="1" applyFill="1"/>
    <xf numFmtId="0" fontId="22" fillId="22" borderId="0" xfId="0" applyFont="1" applyFill="1" applyAlignment="1">
      <alignment vertical="center"/>
    </xf>
    <xf numFmtId="0" fontId="0" fillId="21" borderId="0" xfId="0" applyFill="1"/>
    <xf numFmtId="0" fontId="25" fillId="10" borderId="0" xfId="0" applyFont="1" applyFill="1" applyAlignment="1">
      <alignment horizontal="right"/>
    </xf>
    <xf numFmtId="0" fontId="3" fillId="10" borderId="0" xfId="0" applyFont="1" applyFill="1" applyAlignment="1">
      <alignment horizontal="right"/>
    </xf>
    <xf numFmtId="0" fontId="2" fillId="10" borderId="0" xfId="0" applyFont="1" applyFill="1" applyAlignment="1">
      <alignment horizontal="right"/>
    </xf>
    <xf numFmtId="0" fontId="2" fillId="10" borderId="32" xfId="0" applyFont="1" applyFill="1" applyBorder="1" applyAlignment="1">
      <alignment horizontal="right"/>
    </xf>
    <xf numFmtId="0" fontId="2" fillId="10" borderId="29" xfId="0" applyFont="1" applyFill="1" applyBorder="1"/>
    <xf numFmtId="0" fontId="2" fillId="10" borderId="0" xfId="0" applyFont="1" applyFill="1"/>
    <xf numFmtId="0" fontId="3" fillId="22" borderId="0" xfId="0" applyFont="1" applyFill="1" applyProtection="1">
      <protection locked="0"/>
    </xf>
    <xf numFmtId="0" fontId="58" fillId="10" borderId="0" xfId="0" applyFont="1" applyFill="1"/>
    <xf numFmtId="1" fontId="3" fillId="22" borderId="0" xfId="0" applyNumberFormat="1" applyFont="1" applyFill="1" applyProtection="1">
      <protection locked="0"/>
    </xf>
    <xf numFmtId="0" fontId="59" fillId="10" borderId="0" xfId="0" applyFont="1" applyFill="1"/>
    <xf numFmtId="0" fontId="6" fillId="10" borderId="0" xfId="0" applyFont="1" applyFill="1" applyAlignment="1">
      <alignment horizontal="right"/>
    </xf>
    <xf numFmtId="0" fontId="57" fillId="10" borderId="0" xfId="0" applyFont="1" applyFill="1"/>
    <xf numFmtId="0" fontId="60" fillId="10" borderId="0" xfId="0" applyFont="1" applyFill="1"/>
    <xf numFmtId="0" fontId="3" fillId="10" borderId="0" xfId="0" applyFont="1" applyFill="1"/>
    <xf numFmtId="180" fontId="3" fillId="10" borderId="0" xfId="0" applyNumberFormat="1" applyFont="1" applyFill="1"/>
    <xf numFmtId="0" fontId="2" fillId="19" borderId="0" xfId="0" applyFont="1" applyFill="1"/>
    <xf numFmtId="0" fontId="3" fillId="10" borderId="29" xfId="0" applyFont="1" applyFill="1" applyBorder="1"/>
    <xf numFmtId="0" fontId="60" fillId="19" borderId="0" xfId="0" applyFont="1" applyFill="1"/>
    <xf numFmtId="1" fontId="57" fillId="10" borderId="0" xfId="0" applyNumberFormat="1" applyFont="1" applyFill="1" applyAlignment="1">
      <alignment horizontal="right"/>
    </xf>
    <xf numFmtId="0" fontId="62" fillId="16" borderId="20" xfId="0" applyFont="1" applyFill="1" applyBorder="1"/>
    <xf numFmtId="0" fontId="60" fillId="10" borderId="0" xfId="0" applyFont="1" applyFill="1" applyAlignment="1">
      <alignment vertical="center"/>
    </xf>
    <xf numFmtId="0" fontId="7" fillId="10" borderId="0" xfId="0" applyFont="1" applyFill="1" applyAlignment="1">
      <alignment horizontal="right"/>
    </xf>
    <xf numFmtId="180" fontId="7" fillId="10" borderId="0" xfId="0" applyNumberFormat="1" applyFont="1" applyFill="1"/>
    <xf numFmtId="0" fontId="7" fillId="10" borderId="0" xfId="0" applyFont="1" applyFill="1"/>
    <xf numFmtId="180" fontId="3" fillId="19" borderId="0" xfId="0" applyNumberFormat="1" applyFont="1" applyFill="1" applyAlignment="1">
      <alignment horizontal="right" vertical="center"/>
    </xf>
    <xf numFmtId="180" fontId="2" fillId="19" borderId="0" xfId="0" applyNumberFormat="1" applyFont="1" applyFill="1" applyAlignment="1">
      <alignment horizontal="right"/>
    </xf>
    <xf numFmtId="0" fontId="2" fillId="19" borderId="0" xfId="0" applyFont="1" applyFill="1" applyAlignment="1">
      <alignment horizontal="left"/>
    </xf>
    <xf numFmtId="1" fontId="3" fillId="19" borderId="0" xfId="0" applyNumberFormat="1" applyFont="1" applyFill="1" applyAlignment="1">
      <alignment horizontal="right" vertical="center"/>
    </xf>
    <xf numFmtId="1" fontId="2" fillId="19" borderId="0" xfId="0" applyNumberFormat="1" applyFont="1" applyFill="1" applyAlignment="1">
      <alignment horizontal="right"/>
    </xf>
    <xf numFmtId="1" fontId="3" fillId="19" borderId="0" xfId="0" applyNumberFormat="1" applyFont="1" applyFill="1" applyAlignment="1" applyProtection="1">
      <alignment horizontal="right" vertical="center"/>
      <protection locked="0" hidden="1"/>
    </xf>
    <xf numFmtId="0" fontId="3" fillId="10" borderId="0" xfId="0" applyFont="1" applyFill="1" applyAlignment="1">
      <alignment horizontal="left"/>
    </xf>
    <xf numFmtId="0" fontId="63" fillId="10" borderId="0" xfId="0" applyFont="1" applyFill="1"/>
    <xf numFmtId="0" fontId="2" fillId="10" borderId="0" xfId="0" applyFont="1" applyFill="1" applyAlignment="1">
      <alignment horizontal="left"/>
    </xf>
    <xf numFmtId="0" fontId="61" fillId="22" borderId="0" xfId="0" applyFont="1" applyFill="1" applyAlignment="1" applyProtection="1">
      <alignment horizontal="right"/>
      <protection locked="0" hidden="1"/>
    </xf>
    <xf numFmtId="0" fontId="65" fillId="16" borderId="20" xfId="0" applyFont="1" applyFill="1" applyBorder="1"/>
    <xf numFmtId="0" fontId="24" fillId="10" borderId="29" xfId="0" applyFont="1" applyFill="1" applyBorder="1"/>
    <xf numFmtId="2" fontId="2" fillId="10" borderId="0" xfId="0" applyNumberFormat="1" applyFont="1" applyFill="1"/>
    <xf numFmtId="180" fontId="2" fillId="10" borderId="0" xfId="0" applyNumberFormat="1" applyFont="1" applyFill="1"/>
    <xf numFmtId="1" fontId="2" fillId="10" borderId="0" xfId="0" applyNumberFormat="1" applyFont="1" applyFill="1"/>
    <xf numFmtId="1" fontId="2" fillId="10" borderId="0" xfId="0" applyNumberFormat="1" applyFont="1" applyFill="1" applyAlignment="1">
      <alignment horizontal="right"/>
    </xf>
    <xf numFmtId="0" fontId="67" fillId="10" borderId="0" xfId="0" applyFont="1" applyFill="1" applyAlignment="1">
      <alignment horizontal="right"/>
    </xf>
    <xf numFmtId="1" fontId="67" fillId="22" borderId="0" xfId="0" applyNumberFormat="1" applyFont="1" applyFill="1" applyAlignment="1" applyProtection="1">
      <alignment horizontal="right"/>
      <protection locked="0"/>
    </xf>
    <xf numFmtId="0" fontId="67" fillId="22" borderId="0" xfId="0" applyFont="1" applyFill="1" applyProtection="1">
      <protection locked="0"/>
    </xf>
    <xf numFmtId="180" fontId="67" fillId="22" borderId="0" xfId="0" applyNumberFormat="1" applyFont="1" applyFill="1" applyAlignment="1" applyProtection="1">
      <alignment horizontal="right" vertical="center"/>
      <protection locked="0" hidden="1"/>
    </xf>
    <xf numFmtId="1" fontId="67" fillId="22" borderId="0" xfId="0" applyNumberFormat="1" applyFont="1" applyFill="1" applyAlignment="1" applyProtection="1">
      <alignment horizontal="right" vertical="center"/>
      <protection locked="0" hidden="1"/>
    </xf>
    <xf numFmtId="0" fontId="2" fillId="10" borderId="2" xfId="0" applyFont="1" applyFill="1" applyBorder="1"/>
    <xf numFmtId="0" fontId="2" fillId="10" borderId="2" xfId="0" applyFont="1" applyFill="1" applyBorder="1" applyAlignment="1">
      <alignment horizontal="right"/>
    </xf>
    <xf numFmtId="0" fontId="67" fillId="10" borderId="2" xfId="0" applyFont="1" applyFill="1" applyBorder="1" applyAlignment="1">
      <alignment horizontal="right"/>
    </xf>
    <xf numFmtId="0" fontId="3" fillId="22" borderId="2" xfId="0" applyFont="1" applyFill="1" applyBorder="1" applyProtection="1">
      <protection locked="0"/>
    </xf>
    <xf numFmtId="0" fontId="3" fillId="10" borderId="3" xfId="0" applyFont="1" applyFill="1" applyBorder="1"/>
    <xf numFmtId="0" fontId="3" fillId="10" borderId="30" xfId="0" applyFont="1" applyFill="1" applyBorder="1"/>
    <xf numFmtId="0" fontId="2" fillId="10" borderId="31" xfId="0" applyFont="1" applyFill="1" applyBorder="1"/>
    <xf numFmtId="0" fontId="2" fillId="10" borderId="32" xfId="0" applyFont="1" applyFill="1" applyBorder="1"/>
    <xf numFmtId="0" fontId="2" fillId="10" borderId="33" xfId="0" applyFont="1" applyFill="1" applyBorder="1"/>
    <xf numFmtId="0" fontId="2" fillId="10" borderId="3" xfId="0" applyFont="1" applyFill="1" applyBorder="1"/>
    <xf numFmtId="0" fontId="2" fillId="10" borderId="30" xfId="0" applyFont="1" applyFill="1" applyBorder="1"/>
    <xf numFmtId="180" fontId="2" fillId="10" borderId="32" xfId="0" applyNumberFormat="1" applyFont="1" applyFill="1" applyBorder="1"/>
    <xf numFmtId="0" fontId="3" fillId="10" borderId="2" xfId="0" applyFont="1" applyFill="1" applyBorder="1"/>
    <xf numFmtId="0" fontId="3" fillId="10" borderId="2" xfId="0" applyFont="1" applyFill="1" applyBorder="1" applyAlignment="1">
      <alignment horizontal="right"/>
    </xf>
    <xf numFmtId="1" fontId="3" fillId="22" borderId="2" xfId="0" applyNumberFormat="1" applyFont="1" applyFill="1" applyBorder="1" applyProtection="1">
      <protection locked="0"/>
    </xf>
    <xf numFmtId="0" fontId="67" fillId="19" borderId="2" xfId="0" applyFont="1" applyFill="1" applyBorder="1" applyAlignment="1">
      <alignment horizontal="right"/>
    </xf>
    <xf numFmtId="0" fontId="3" fillId="10" borderId="30" xfId="0" applyFont="1" applyFill="1" applyBorder="1" applyAlignment="1">
      <alignment horizontal="left"/>
    </xf>
    <xf numFmtId="180" fontId="2" fillId="10" borderId="2" xfId="0" applyNumberFormat="1" applyFont="1" applyFill="1" applyBorder="1"/>
    <xf numFmtId="0" fontId="2" fillId="19" borderId="42" xfId="0" applyFont="1" applyFill="1" applyBorder="1" applyAlignment="1">
      <alignment horizontal="left"/>
    </xf>
    <xf numFmtId="0" fontId="61" fillId="22" borderId="42" xfId="0" applyFont="1" applyFill="1" applyBorder="1" applyAlignment="1" applyProtection="1">
      <alignment horizontal="right"/>
      <protection locked="0" hidden="1"/>
    </xf>
    <xf numFmtId="0" fontId="61" fillId="10" borderId="43" xfId="0" applyFont="1" applyFill="1" applyBorder="1" applyAlignment="1">
      <alignment horizontal="left"/>
    </xf>
    <xf numFmtId="0" fontId="61" fillId="10" borderId="30" xfId="0" applyFont="1" applyFill="1" applyBorder="1" applyAlignment="1">
      <alignment horizontal="left"/>
    </xf>
    <xf numFmtId="180" fontId="3" fillId="10" borderId="44" xfId="0" applyNumberFormat="1" applyFont="1" applyFill="1" applyBorder="1" applyAlignment="1">
      <alignment horizontal="right"/>
    </xf>
    <xf numFmtId="180" fontId="3" fillId="10" borderId="29" xfId="0" applyNumberFormat="1" applyFont="1" applyFill="1" applyBorder="1" applyAlignment="1">
      <alignment horizontal="right"/>
    </xf>
    <xf numFmtId="0" fontId="3" fillId="10" borderId="44" xfId="0" applyFont="1" applyFill="1" applyBorder="1" applyAlignment="1">
      <alignment horizontal="center"/>
    </xf>
    <xf numFmtId="0" fontId="3" fillId="10" borderId="29" xfId="0" applyFont="1" applyFill="1" applyBorder="1" applyAlignment="1">
      <alignment horizontal="center"/>
    </xf>
    <xf numFmtId="0" fontId="3" fillId="10" borderId="44" xfId="0" applyFont="1" applyFill="1" applyBorder="1"/>
    <xf numFmtId="0" fontId="3" fillId="10" borderId="42" xfId="0" applyFont="1" applyFill="1" applyBorder="1"/>
    <xf numFmtId="0" fontId="2" fillId="10" borderId="42" xfId="0" applyFont="1" applyFill="1" applyBorder="1"/>
    <xf numFmtId="0" fontId="2" fillId="10" borderId="43" xfId="0" applyFont="1" applyFill="1" applyBorder="1"/>
    <xf numFmtId="0" fontId="2" fillId="10" borderId="42" xfId="0" applyFont="1" applyFill="1" applyBorder="1" applyAlignment="1">
      <alignment vertical="center"/>
    </xf>
    <xf numFmtId="0" fontId="2" fillId="10" borderId="46" xfId="0" applyFont="1" applyFill="1" applyBorder="1"/>
    <xf numFmtId="0" fontId="3" fillId="10" borderId="46" xfId="0" applyFont="1" applyFill="1" applyBorder="1" applyAlignment="1">
      <alignment horizontal="right"/>
    </xf>
    <xf numFmtId="0" fontId="2" fillId="10" borderId="47" xfId="0" applyFont="1" applyFill="1" applyBorder="1"/>
    <xf numFmtId="0" fontId="2" fillId="19" borderId="46" xfId="0" applyFont="1" applyFill="1" applyBorder="1" applyAlignment="1">
      <alignment horizontal="left"/>
    </xf>
    <xf numFmtId="0" fontId="61" fillId="22" borderId="46" xfId="0" applyFont="1" applyFill="1" applyBorder="1" applyAlignment="1" applyProtection="1">
      <alignment horizontal="right"/>
      <protection locked="0" hidden="1"/>
    </xf>
    <xf numFmtId="0" fontId="61" fillId="10" borderId="47" xfId="0" applyFont="1" applyFill="1" applyBorder="1" applyAlignment="1">
      <alignment horizontal="left"/>
    </xf>
    <xf numFmtId="0" fontId="64" fillId="10" borderId="45" xfId="0" applyFont="1" applyFill="1" applyBorder="1" applyAlignment="1">
      <alignment horizontal="left"/>
    </xf>
    <xf numFmtId="0" fontId="64" fillId="10" borderId="47" xfId="0" applyFont="1" applyFill="1" applyBorder="1"/>
    <xf numFmtId="0" fontId="3" fillId="10" borderId="43" xfId="0" applyFont="1" applyFill="1" applyBorder="1" applyAlignment="1">
      <alignment horizontal="left"/>
    </xf>
    <xf numFmtId="180" fontId="2" fillId="10" borderId="42" xfId="0" applyNumberFormat="1" applyFont="1" applyFill="1" applyBorder="1" applyAlignment="1">
      <alignment horizontal="left" vertical="center"/>
    </xf>
    <xf numFmtId="1" fontId="2" fillId="10" borderId="0" xfId="0" applyNumberFormat="1" applyFont="1" applyFill="1" applyAlignment="1">
      <alignment horizontal="left" vertical="center"/>
    </xf>
    <xf numFmtId="1" fontId="2" fillId="10" borderId="46" xfId="0" applyNumberFormat="1" applyFont="1" applyFill="1" applyBorder="1" applyAlignment="1">
      <alignment horizontal="left" vertical="center"/>
    </xf>
    <xf numFmtId="1" fontId="3" fillId="19" borderId="46" xfId="0" applyNumberFormat="1" applyFont="1" applyFill="1" applyBorder="1" applyAlignment="1">
      <alignment horizontal="right" vertical="center"/>
    </xf>
    <xf numFmtId="1" fontId="67" fillId="22" borderId="46" xfId="0" applyNumberFormat="1" applyFont="1" applyFill="1" applyBorder="1" applyAlignment="1" applyProtection="1">
      <alignment horizontal="right" vertical="center"/>
      <protection locked="0" hidden="1"/>
    </xf>
    <xf numFmtId="0" fontId="3" fillId="10" borderId="47" xfId="0" applyFont="1" applyFill="1" applyBorder="1" applyAlignment="1">
      <alignment horizontal="left"/>
    </xf>
    <xf numFmtId="0" fontId="24" fillId="10" borderId="29" xfId="0" applyFont="1" applyFill="1" applyBorder="1" applyAlignment="1">
      <alignment vertical="center"/>
    </xf>
    <xf numFmtId="0" fontId="2" fillId="10" borderId="44" xfId="0" applyFont="1" applyFill="1" applyBorder="1"/>
    <xf numFmtId="0" fontId="2" fillId="19" borderId="29" xfId="0" applyFont="1" applyFill="1" applyBorder="1"/>
    <xf numFmtId="1" fontId="3" fillId="19" borderId="29" xfId="0" applyNumberFormat="1" applyFont="1" applyFill="1" applyBorder="1" applyAlignment="1">
      <alignment horizontal="right" vertical="center"/>
    </xf>
    <xf numFmtId="0" fontId="3" fillId="10" borderId="31" xfId="0" applyFont="1" applyFill="1" applyBorder="1" applyAlignment="1">
      <alignment horizontal="center"/>
    </xf>
    <xf numFmtId="0" fontId="62" fillId="16" borderId="48" xfId="0" applyFont="1" applyFill="1" applyBorder="1"/>
    <xf numFmtId="0" fontId="18" fillId="3" borderId="29" xfId="0" applyFont="1" applyFill="1" applyBorder="1"/>
    <xf numFmtId="0" fontId="18" fillId="19" borderId="29" xfId="0" applyFont="1" applyFill="1" applyBorder="1"/>
    <xf numFmtId="0" fontId="18" fillId="19" borderId="42" xfId="0" applyFont="1" applyFill="1" applyBorder="1"/>
    <xf numFmtId="0" fontId="18" fillId="19" borderId="31" xfId="0" applyFont="1" applyFill="1" applyBorder="1"/>
    <xf numFmtId="0" fontId="18" fillId="19" borderId="46" xfId="0" applyFont="1" applyFill="1" applyBorder="1"/>
    <xf numFmtId="180" fontId="3" fillId="19" borderId="42" xfId="0" applyNumberFormat="1" applyFont="1" applyFill="1" applyBorder="1" applyAlignment="1">
      <alignment horizontal="right" vertical="center"/>
    </xf>
    <xf numFmtId="180" fontId="67" fillId="22" borderId="42" xfId="0" applyNumberFormat="1" applyFont="1" applyFill="1" applyBorder="1" applyAlignment="1" applyProtection="1">
      <alignment horizontal="right" vertical="center"/>
      <protection locked="0" hidden="1"/>
    </xf>
    <xf numFmtId="0" fontId="2" fillId="19" borderId="0" xfId="0" applyFont="1" applyFill="1" applyAlignment="1" applyProtection="1">
      <alignment horizontal="right"/>
      <protection locked="0"/>
    </xf>
    <xf numFmtId="0" fontId="3" fillId="0" borderId="43" xfId="0" applyFont="1" applyBorder="1" applyAlignment="1">
      <alignment horizontal="left"/>
    </xf>
    <xf numFmtId="184" fontId="18" fillId="21" borderId="0" xfId="0" applyNumberFormat="1" applyFont="1" applyFill="1" applyAlignment="1">
      <alignment horizontal="center"/>
    </xf>
    <xf numFmtId="0" fontId="18" fillId="21" borderId="0" xfId="0" applyFont="1" applyFill="1"/>
    <xf numFmtId="184" fontId="27" fillId="21" borderId="0" xfId="0" applyNumberFormat="1" applyFont="1" applyFill="1" applyAlignment="1">
      <alignment horizontal="center"/>
    </xf>
    <xf numFmtId="0" fontId="27" fillId="21" borderId="0" xfId="0" applyFont="1" applyFill="1"/>
    <xf numFmtId="0" fontId="2" fillId="10" borderId="45" xfId="0" applyFont="1" applyFill="1" applyBorder="1"/>
    <xf numFmtId="0" fontId="3" fillId="10" borderId="46" xfId="0" applyFont="1" applyFill="1" applyBorder="1"/>
    <xf numFmtId="0" fontId="2" fillId="10" borderId="49" xfId="0" applyFont="1" applyFill="1" applyBorder="1"/>
    <xf numFmtId="0" fontId="69" fillId="10" borderId="0" xfId="0" applyFont="1" applyFill="1" applyAlignment="1">
      <alignment horizontal="right"/>
    </xf>
    <xf numFmtId="0" fontId="71" fillId="10" borderId="0" xfId="0" applyFont="1" applyFill="1"/>
    <xf numFmtId="0" fontId="71" fillId="10" borderId="30" xfId="0" applyFont="1" applyFill="1" applyBorder="1"/>
    <xf numFmtId="184" fontId="71" fillId="21" borderId="0" xfId="0" applyNumberFormat="1" applyFont="1" applyFill="1" applyAlignment="1">
      <alignment horizontal="center"/>
    </xf>
    <xf numFmtId="0" fontId="71" fillId="21" borderId="0" xfId="0" applyFont="1" applyFill="1"/>
    <xf numFmtId="184" fontId="71" fillId="3" borderId="0" xfId="0" applyNumberFormat="1" applyFont="1" applyFill="1" applyAlignment="1">
      <alignment horizontal="center"/>
    </xf>
    <xf numFmtId="0" fontId="71" fillId="3" borderId="0" xfId="0" applyFont="1" applyFill="1"/>
    <xf numFmtId="0" fontId="69" fillId="10" borderId="42" xfId="0" applyFont="1" applyFill="1" applyBorder="1" applyAlignment="1">
      <alignment horizontal="right"/>
    </xf>
    <xf numFmtId="0" fontId="70" fillId="10" borderId="29" xfId="0" applyFont="1" applyFill="1" applyBorder="1" applyAlignment="1">
      <alignment vertical="center"/>
    </xf>
    <xf numFmtId="0" fontId="69" fillId="10" borderId="0" xfId="0" applyFont="1" applyFill="1" applyAlignment="1">
      <alignment horizontal="right" vertical="center"/>
    </xf>
    <xf numFmtId="180" fontId="69" fillId="10" borderId="46" xfId="0" applyNumberFormat="1" applyFont="1" applyFill="1" applyBorder="1" applyAlignment="1">
      <alignment horizontal="center" vertical="center"/>
    </xf>
    <xf numFmtId="180" fontId="69" fillId="10" borderId="46" xfId="0" applyNumberFormat="1" applyFont="1" applyFill="1" applyBorder="1" applyAlignment="1">
      <alignment vertical="center"/>
    </xf>
    <xf numFmtId="0" fontId="69" fillId="0" borderId="0" xfId="0" applyFont="1" applyAlignment="1">
      <alignment horizontal="left" vertical="center"/>
    </xf>
    <xf numFmtId="0" fontId="2" fillId="0" borderId="1" xfId="0" applyFont="1" applyBorder="1"/>
    <xf numFmtId="0" fontId="2" fillId="0" borderId="29" xfId="0" applyFont="1" applyBorder="1"/>
    <xf numFmtId="2" fontId="0" fillId="0" borderId="0" xfId="0" applyNumberFormat="1" applyAlignment="1">
      <alignment horizontal="right"/>
    </xf>
    <xf numFmtId="0" fontId="3" fillId="22" borderId="0" xfId="0" applyFont="1" applyFill="1" applyAlignment="1" applyProtection="1">
      <alignment horizontal="right"/>
      <protection locked="0"/>
    </xf>
    <xf numFmtId="0" fontId="74" fillId="0" borderId="0" xfId="0" applyFont="1"/>
    <xf numFmtId="0" fontId="2" fillId="10" borderId="0" xfId="2" applyFill="1"/>
    <xf numFmtId="49" fontId="2" fillId="10" borderId="0" xfId="2" applyNumberFormat="1" applyFill="1"/>
    <xf numFmtId="0" fontId="12" fillId="10" borderId="0" xfId="2" applyFont="1" applyFill="1" applyAlignment="1">
      <alignment vertical="center"/>
    </xf>
    <xf numFmtId="0" fontId="2" fillId="23" borderId="17" xfId="2" applyFill="1" applyBorder="1" applyAlignment="1">
      <alignment horizontal="center" vertical="center"/>
    </xf>
    <xf numFmtId="0" fontId="2" fillId="10" borderId="17" xfId="2" applyFill="1" applyBorder="1" applyAlignment="1">
      <alignment horizontal="center" vertical="center"/>
    </xf>
    <xf numFmtId="0" fontId="2" fillId="10" borderId="11" xfId="2" applyFill="1" applyBorder="1" applyAlignment="1">
      <alignment vertical="center" wrapText="1"/>
    </xf>
    <xf numFmtId="0" fontId="2" fillId="10" borderId="11" xfId="2" applyFill="1" applyBorder="1" applyAlignment="1">
      <alignment horizontal="left" vertical="center"/>
    </xf>
    <xf numFmtId="0" fontId="2" fillId="10" borderId="0" xfId="2" applyFill="1" applyAlignment="1">
      <alignment vertical="center"/>
    </xf>
    <xf numFmtId="0" fontId="2" fillId="24" borderId="17" xfId="2" applyFill="1" applyBorder="1" applyAlignment="1">
      <alignment horizontal="center" vertical="center"/>
    </xf>
    <xf numFmtId="0" fontId="2" fillId="24" borderId="11" xfId="2" applyFill="1" applyBorder="1" applyAlignment="1">
      <alignment vertical="center" wrapText="1"/>
    </xf>
    <xf numFmtId="186" fontId="2" fillId="24" borderId="11" xfId="2" applyNumberFormat="1" applyFill="1" applyBorder="1" applyAlignment="1">
      <alignment horizontal="center" vertical="center"/>
    </xf>
    <xf numFmtId="0" fontId="2" fillId="24" borderId="11" xfId="2" quotePrefix="1" applyFill="1" applyBorder="1" applyAlignment="1">
      <alignment horizontal="left" vertical="center"/>
    </xf>
    <xf numFmtId="0" fontId="2" fillId="24" borderId="11" xfId="2" applyFill="1" applyBorder="1" applyAlignment="1">
      <alignment horizontal="left" vertical="center"/>
    </xf>
    <xf numFmtId="0" fontId="2" fillId="24" borderId="11" xfId="2" applyFill="1" applyBorder="1" applyAlignment="1">
      <alignment horizontal="center" vertical="center"/>
    </xf>
    <xf numFmtId="0" fontId="2" fillId="19" borderId="17" xfId="2" applyFill="1" applyBorder="1" applyAlignment="1">
      <alignment horizontal="center" vertical="center"/>
    </xf>
    <xf numFmtId="0" fontId="2" fillId="19" borderId="11" xfId="2" applyFill="1" applyBorder="1" applyAlignment="1">
      <alignment vertical="center" wrapText="1"/>
    </xf>
    <xf numFmtId="186" fontId="2" fillId="19" borderId="11" xfId="2" applyNumberFormat="1" applyFill="1" applyBorder="1" applyAlignment="1">
      <alignment horizontal="center" vertical="center"/>
    </xf>
    <xf numFmtId="0" fontId="2" fillId="19" borderId="11" xfId="2" quotePrefix="1" applyFill="1" applyBorder="1" applyAlignment="1">
      <alignment horizontal="left" vertical="center"/>
    </xf>
    <xf numFmtId="0" fontId="2" fillId="19" borderId="11" xfId="2" applyFill="1" applyBorder="1" applyAlignment="1">
      <alignment horizontal="left" vertical="center"/>
    </xf>
    <xf numFmtId="188" fontId="2" fillId="10" borderId="11" xfId="2" applyNumberFormat="1" applyFill="1" applyBorder="1" applyAlignment="1">
      <alignment horizontal="center" vertical="center"/>
    </xf>
    <xf numFmtId="0" fontId="2" fillId="10" borderId="15" xfId="2" applyFill="1" applyBorder="1" applyAlignment="1">
      <alignment horizontal="left" vertical="center"/>
    </xf>
    <xf numFmtId="49" fontId="2" fillId="10" borderId="11" xfId="2" applyNumberFormat="1" applyFill="1" applyBorder="1" applyAlignment="1">
      <alignment horizontal="left" vertical="center"/>
    </xf>
    <xf numFmtId="0" fontId="2" fillId="23" borderId="11" xfId="2" applyFill="1" applyBorder="1" applyAlignment="1">
      <alignment vertical="center" wrapText="1"/>
    </xf>
    <xf numFmtId="187" fontId="2" fillId="23" borderId="11" xfId="2" applyNumberFormat="1" applyFill="1" applyBorder="1" applyAlignment="1">
      <alignment horizontal="center" vertical="center"/>
    </xf>
    <xf numFmtId="0" fontId="2" fillId="23" borderId="15" xfId="2" applyFill="1" applyBorder="1" applyAlignment="1">
      <alignment horizontal="left" vertical="center"/>
    </xf>
    <xf numFmtId="0" fontId="2" fillId="23" borderId="11" xfId="2" quotePrefix="1" applyFill="1" applyBorder="1" applyAlignment="1">
      <alignment horizontal="left" vertical="center"/>
    </xf>
    <xf numFmtId="0" fontId="2" fillId="23" borderId="11" xfId="2" applyFill="1" applyBorder="1" applyAlignment="1">
      <alignment horizontal="left" vertical="center"/>
    </xf>
    <xf numFmtId="0" fontId="2" fillId="19" borderId="15" xfId="2" applyFill="1" applyBorder="1" applyAlignment="1">
      <alignment horizontal="left" vertical="center"/>
    </xf>
    <xf numFmtId="188" fontId="2" fillId="19" borderId="11" xfId="2" applyNumberFormat="1" applyFill="1" applyBorder="1" applyAlignment="1">
      <alignment horizontal="center" vertical="center"/>
    </xf>
    <xf numFmtId="188" fontId="2" fillId="23" borderId="11" xfId="2" applyNumberFormat="1" applyFill="1" applyBorder="1" applyAlignment="1">
      <alignment horizontal="center" vertical="center"/>
    </xf>
    <xf numFmtId="0" fontId="2" fillId="19" borderId="11" xfId="2" applyFill="1" applyBorder="1" applyAlignment="1">
      <alignment horizontal="center" vertical="center"/>
    </xf>
    <xf numFmtId="189" fontId="2" fillId="23" borderId="11" xfId="2" applyNumberFormat="1" applyFill="1" applyBorder="1" applyAlignment="1">
      <alignment horizontal="center" vertical="center"/>
    </xf>
    <xf numFmtId="0" fontId="63" fillId="10" borderId="11" xfId="2" applyFont="1" applyFill="1" applyBorder="1" applyAlignment="1">
      <alignment horizontal="center" vertical="center"/>
    </xf>
    <xf numFmtId="0" fontId="3" fillId="10" borderId="17" xfId="2" applyFont="1" applyFill="1" applyBorder="1" applyAlignment="1">
      <alignment horizontal="center" vertical="center"/>
    </xf>
    <xf numFmtId="0" fontId="3" fillId="10" borderId="11" xfId="2" applyFont="1" applyFill="1" applyBorder="1" applyAlignment="1">
      <alignment vertical="center" wrapText="1"/>
    </xf>
    <xf numFmtId="0" fontId="3" fillId="10" borderId="11" xfId="2" applyFont="1" applyFill="1" applyBorder="1" applyAlignment="1">
      <alignment horizontal="left" vertical="center"/>
    </xf>
    <xf numFmtId="0" fontId="2" fillId="19" borderId="0" xfId="2" applyFill="1"/>
    <xf numFmtId="49" fontId="2" fillId="19" borderId="0" xfId="2" applyNumberFormat="1" applyFill="1"/>
    <xf numFmtId="0" fontId="3" fillId="19" borderId="44" xfId="0" applyFont="1" applyFill="1" applyBorder="1"/>
    <xf numFmtId="0" fontId="3" fillId="22" borderId="46" xfId="0" applyFont="1" applyFill="1" applyBorder="1" applyProtection="1">
      <protection locked="0"/>
    </xf>
    <xf numFmtId="0" fontId="3" fillId="22" borderId="46" xfId="0" applyFont="1" applyFill="1" applyBorder="1" applyAlignment="1" applyProtection="1">
      <alignment horizontal="right"/>
      <protection locked="0"/>
    </xf>
    <xf numFmtId="0" fontId="76" fillId="19" borderId="0" xfId="0" applyFont="1" applyFill="1"/>
    <xf numFmtId="0" fontId="3" fillId="10" borderId="0" xfId="2" applyFont="1" applyFill="1"/>
    <xf numFmtId="0" fontId="63" fillId="10" borderId="42" xfId="0" applyFont="1" applyFill="1" applyBorder="1" applyProtection="1">
      <protection locked="0"/>
    </xf>
    <xf numFmtId="1" fontId="0" fillId="4" borderId="0" xfId="0" applyNumberFormat="1" applyFill="1"/>
    <xf numFmtId="0" fontId="63" fillId="10" borderId="29" xfId="0" applyFont="1" applyFill="1" applyBorder="1" applyAlignment="1">
      <alignment vertical="center"/>
    </xf>
    <xf numFmtId="0" fontId="0" fillId="14" borderId="2" xfId="0" applyFill="1" applyBorder="1"/>
    <xf numFmtId="0" fontId="3" fillId="5" borderId="55" xfId="0" applyFont="1" applyFill="1" applyBorder="1"/>
    <xf numFmtId="2" fontId="7" fillId="13" borderId="0" xfId="0" applyNumberFormat="1" applyFont="1" applyFill="1"/>
    <xf numFmtId="180" fontId="7" fillId="13" borderId="0" xfId="0" applyNumberFormat="1" applyFont="1" applyFill="1"/>
    <xf numFmtId="11" fontId="7" fillId="13" borderId="0" xfId="0" applyNumberFormat="1" applyFont="1" applyFill="1"/>
    <xf numFmtId="0" fontId="22" fillId="25" borderId="48" xfId="0" applyFont="1" applyFill="1" applyBorder="1"/>
    <xf numFmtId="0" fontId="22" fillId="25" borderId="49" xfId="0" applyFont="1" applyFill="1" applyBorder="1"/>
    <xf numFmtId="0" fontId="18" fillId="25" borderId="49" xfId="0" applyFont="1" applyFill="1" applyBorder="1"/>
    <xf numFmtId="184" fontId="18" fillId="25" borderId="46" xfId="0" applyNumberFormat="1" applyFont="1" applyFill="1" applyBorder="1" applyAlignment="1">
      <alignment horizontal="center"/>
    </xf>
    <xf numFmtId="0" fontId="18" fillId="25" borderId="0" xfId="0" applyFont="1" applyFill="1"/>
    <xf numFmtId="184" fontId="18" fillId="25" borderId="0" xfId="0" applyNumberFormat="1" applyFont="1" applyFill="1" applyAlignment="1">
      <alignment horizontal="center"/>
    </xf>
    <xf numFmtId="184" fontId="71" fillId="25" borderId="0" xfId="0" applyNumberFormat="1" applyFont="1" applyFill="1" applyAlignment="1">
      <alignment horizontal="center"/>
    </xf>
    <xf numFmtId="184" fontId="27" fillId="25" borderId="0" xfId="0" applyNumberFormat="1" applyFont="1" applyFill="1" applyAlignment="1">
      <alignment horizontal="center"/>
    </xf>
    <xf numFmtId="0" fontId="28" fillId="25" borderId="0" xfId="0" applyFont="1" applyFill="1" applyAlignment="1">
      <alignment horizontal="left"/>
    </xf>
    <xf numFmtId="0" fontId="26" fillId="25" borderId="0" xfId="0" applyFont="1" applyFill="1" applyAlignment="1">
      <alignment horizontal="left" vertical="center"/>
    </xf>
    <xf numFmtId="0" fontId="73" fillId="25" borderId="0" xfId="0" applyFont="1" applyFill="1" applyAlignment="1">
      <alignment horizontal="left" vertical="center"/>
    </xf>
    <xf numFmtId="0" fontId="22" fillId="25" borderId="0" xfId="0" applyFont="1" applyFill="1" applyAlignment="1">
      <alignment vertical="center"/>
    </xf>
    <xf numFmtId="0" fontId="26" fillId="25" borderId="0" xfId="0" quotePrefix="1" applyFont="1" applyFill="1" applyAlignment="1">
      <alignment vertical="center"/>
    </xf>
    <xf numFmtId="0" fontId="30" fillId="25" borderId="0" xfId="0" applyFont="1" applyFill="1" applyAlignment="1">
      <alignment vertical="center"/>
    </xf>
    <xf numFmtId="0" fontId="30" fillId="25" borderId="0" xfId="0" applyFont="1" applyFill="1"/>
    <xf numFmtId="0" fontId="32" fillId="25" borderId="31" xfId="0" applyFont="1" applyFill="1" applyBorder="1"/>
    <xf numFmtId="0" fontId="32" fillId="25" borderId="32" xfId="0" applyFont="1" applyFill="1" applyBorder="1"/>
    <xf numFmtId="0" fontId="22" fillId="25" borderId="32" xfId="0" applyFont="1" applyFill="1" applyBorder="1"/>
    <xf numFmtId="0" fontId="26" fillId="25" borderId="56" xfId="0" applyFont="1" applyFill="1" applyBorder="1" applyAlignment="1">
      <alignment horizontal="left" vertical="center"/>
    </xf>
    <xf numFmtId="0" fontId="79" fillId="25" borderId="0" xfId="1" applyFont="1" applyFill="1" applyBorder="1" applyAlignment="1" applyProtection="1">
      <alignment horizontal="left" vertical="center"/>
    </xf>
    <xf numFmtId="0" fontId="2" fillId="10" borderId="0" xfId="0" applyFont="1" applyFill="1" applyAlignment="1">
      <alignment horizontal="right" vertical="center"/>
    </xf>
    <xf numFmtId="0" fontId="2" fillId="10" borderId="56" xfId="0" applyFont="1" applyFill="1" applyBorder="1"/>
    <xf numFmtId="0" fontId="63" fillId="0" borderId="0" xfId="0" applyFont="1"/>
    <xf numFmtId="0" fontId="63" fillId="0" borderId="0" xfId="0" applyFont="1" applyAlignment="1">
      <alignment horizontal="left"/>
    </xf>
    <xf numFmtId="0" fontId="2" fillId="0" borderId="0" xfId="2"/>
    <xf numFmtId="179" fontId="0" fillId="4" borderId="0" xfId="0" applyNumberFormat="1" applyFill="1"/>
    <xf numFmtId="2" fontId="0" fillId="13" borderId="0" xfId="0" applyNumberFormat="1" applyFill="1"/>
    <xf numFmtId="0" fontId="0" fillId="0" borderId="56" xfId="0" applyBorder="1"/>
    <xf numFmtId="0" fontId="2" fillId="0" borderId="56" xfId="0" applyFont="1" applyBorder="1"/>
    <xf numFmtId="179" fontId="7" fillId="13" borderId="2" xfId="0" applyNumberFormat="1" applyFont="1" applyFill="1" applyBorder="1"/>
    <xf numFmtId="178" fontId="7" fillId="13" borderId="0" xfId="0" applyNumberFormat="1" applyFont="1" applyFill="1"/>
    <xf numFmtId="179" fontId="7" fillId="13" borderId="0" xfId="0" applyNumberFormat="1" applyFont="1" applyFill="1"/>
    <xf numFmtId="0" fontId="7" fillId="0" borderId="56" xfId="0" applyFont="1" applyBorder="1"/>
    <xf numFmtId="0" fontId="3" fillId="13" borderId="0" xfId="0" applyFont="1" applyFill="1" applyAlignment="1">
      <alignment horizontal="right"/>
    </xf>
    <xf numFmtId="180" fontId="0" fillId="4" borderId="0" xfId="0" applyNumberFormat="1" applyFill="1"/>
    <xf numFmtId="179" fontId="7" fillId="19" borderId="0" xfId="0" applyNumberFormat="1" applyFont="1" applyFill="1"/>
    <xf numFmtId="0" fontId="82" fillId="19" borderId="42" xfId="0" applyFont="1" applyFill="1" applyBorder="1" applyAlignment="1">
      <alignment horizontal="left" vertical="center"/>
    </xf>
    <xf numFmtId="0" fontId="2" fillId="19" borderId="42" xfId="0" applyFont="1" applyFill="1" applyBorder="1"/>
    <xf numFmtId="0" fontId="66" fillId="10" borderId="46" xfId="0" applyFont="1" applyFill="1" applyBorder="1" applyAlignment="1">
      <alignment horizontal="right"/>
    </xf>
    <xf numFmtId="0" fontId="2" fillId="10" borderId="46" xfId="0" applyFont="1" applyFill="1" applyBorder="1" applyAlignment="1">
      <alignment horizontal="right"/>
    </xf>
    <xf numFmtId="180" fontId="0" fillId="19" borderId="0" xfId="0" applyNumberFormat="1" applyFill="1"/>
    <xf numFmtId="0" fontId="67" fillId="10" borderId="42" xfId="0" applyFont="1" applyFill="1" applyBorder="1" applyAlignment="1">
      <alignment horizontal="right"/>
    </xf>
    <xf numFmtId="0" fontId="3" fillId="10" borderId="43" xfId="0" applyFont="1" applyFill="1" applyBorder="1"/>
    <xf numFmtId="0" fontId="3" fillId="22" borderId="42" xfId="0" applyFont="1" applyFill="1" applyBorder="1" applyProtection="1">
      <protection locked="0"/>
    </xf>
    <xf numFmtId="1" fontId="66" fillId="19" borderId="30" xfId="0" applyNumberFormat="1" applyFont="1" applyFill="1" applyBorder="1" applyAlignment="1" applyProtection="1">
      <alignment horizontal="left"/>
      <protection locked="0"/>
    </xf>
    <xf numFmtId="0" fontId="2" fillId="6" borderId="11" xfId="0" applyFont="1" applyFill="1" applyBorder="1"/>
    <xf numFmtId="178" fontId="0" fillId="0" borderId="0" xfId="0" applyNumberFormat="1"/>
    <xf numFmtId="179" fontId="0" fillId="0" borderId="0" xfId="0" applyNumberFormat="1"/>
    <xf numFmtId="178" fontId="0" fillId="0" borderId="0" xfId="0" applyNumberFormat="1" applyAlignment="1">
      <alignment horizontal="left" indent="1"/>
    </xf>
    <xf numFmtId="179" fontId="16" fillId="7" borderId="0" xfId="0" applyNumberFormat="1" applyFont="1" applyFill="1"/>
    <xf numFmtId="179" fontId="8" fillId="0" borderId="0" xfId="0" applyNumberFormat="1" applyFont="1"/>
    <xf numFmtId="180" fontId="16" fillId="0" borderId="0" xfId="0" applyNumberFormat="1" applyFont="1"/>
    <xf numFmtId="177" fontId="0" fillId="0" borderId="0" xfId="0" applyNumberFormat="1"/>
    <xf numFmtId="177" fontId="16" fillId="0" borderId="0" xfId="0" applyNumberFormat="1" applyFont="1"/>
    <xf numFmtId="0" fontId="2" fillId="4" borderId="43" xfId="0" applyFont="1" applyFill="1" applyBorder="1"/>
    <xf numFmtId="0" fontId="74" fillId="0" borderId="11" xfId="0" applyFont="1" applyBorder="1"/>
    <xf numFmtId="0" fontId="2" fillId="0" borderId="11" xfId="0" applyFont="1" applyBorder="1"/>
    <xf numFmtId="0" fontId="2" fillId="0" borderId="13" xfId="0" applyFont="1" applyBorder="1"/>
    <xf numFmtId="0" fontId="2" fillId="0" borderId="15" xfId="0" applyFont="1" applyBorder="1"/>
    <xf numFmtId="0" fontId="2" fillId="0" borderId="16" xfId="0" applyFont="1" applyBorder="1"/>
    <xf numFmtId="1" fontId="3" fillId="13" borderId="0" xfId="0" applyNumberFormat="1" applyFont="1" applyFill="1"/>
    <xf numFmtId="2" fontId="3" fillId="13" borderId="0" xfId="0" applyNumberFormat="1" applyFont="1" applyFill="1"/>
    <xf numFmtId="1" fontId="3" fillId="10" borderId="29" xfId="0" applyNumberFormat="1" applyFont="1" applyFill="1" applyBorder="1" applyAlignment="1">
      <alignment horizontal="right"/>
    </xf>
    <xf numFmtId="0" fontId="3" fillId="10" borderId="8" xfId="2" applyFont="1" applyFill="1" applyBorder="1" applyAlignment="1">
      <alignment horizontal="left" vertical="center"/>
    </xf>
    <xf numFmtId="190" fontId="2" fillId="19" borderId="8" xfId="2" applyNumberFormat="1" applyFill="1" applyBorder="1" applyAlignment="1">
      <alignment horizontal="left" vertical="center"/>
    </xf>
    <xf numFmtId="190" fontId="2" fillId="19" borderId="9" xfId="2" applyNumberFormat="1" applyFill="1" applyBorder="1" applyAlignment="1">
      <alignment horizontal="left" vertical="center"/>
    </xf>
    <xf numFmtId="190" fontId="2" fillId="19" borderId="15" xfId="2" applyNumberFormat="1" applyFill="1" applyBorder="1" applyAlignment="1">
      <alignment horizontal="left" vertical="center"/>
    </xf>
    <xf numFmtId="0" fontId="2" fillId="0" borderId="0" xfId="0" applyFont="1" applyAlignment="1">
      <alignment horizontal="right"/>
    </xf>
    <xf numFmtId="0" fontId="86" fillId="0" borderId="0" xfId="0" applyFont="1" applyAlignment="1">
      <alignment horizontal="right"/>
    </xf>
    <xf numFmtId="0" fontId="2" fillId="0" borderId="0" xfId="0" quotePrefix="1" applyFont="1"/>
    <xf numFmtId="0" fontId="2" fillId="0" borderId="0" xfId="0" applyFont="1" applyAlignment="1">
      <alignment horizontal="left"/>
    </xf>
    <xf numFmtId="49" fontId="84" fillId="21" borderId="57" xfId="2" applyNumberFormat="1" applyFont="1" applyFill="1" applyBorder="1" applyAlignment="1">
      <alignment horizontal="center" vertical="center"/>
    </xf>
    <xf numFmtId="0" fontId="84" fillId="21" borderId="51" xfId="2" applyFont="1" applyFill="1" applyBorder="1" applyAlignment="1">
      <alignment horizontal="center" vertical="center"/>
    </xf>
    <xf numFmtId="180" fontId="2" fillId="10" borderId="11" xfId="2" applyNumberFormat="1" applyFill="1" applyBorder="1" applyAlignment="1">
      <alignment horizontal="center" vertical="center"/>
    </xf>
    <xf numFmtId="2" fontId="2" fillId="10" borderId="11" xfId="2" applyNumberFormat="1" applyFill="1" applyBorder="1" applyAlignment="1">
      <alignment horizontal="center" vertical="center"/>
    </xf>
    <xf numFmtId="0" fontId="2" fillId="10" borderId="8" xfId="2" applyFill="1" applyBorder="1" applyAlignment="1">
      <alignment horizontal="left" vertical="center"/>
    </xf>
    <xf numFmtId="0" fontId="2" fillId="23" borderId="8" xfId="2" applyFill="1" applyBorder="1" applyAlignment="1">
      <alignment horizontal="left" vertical="center"/>
    </xf>
    <xf numFmtId="0" fontId="2" fillId="19" borderId="8" xfId="2" applyFill="1" applyBorder="1" applyAlignment="1">
      <alignment horizontal="left" vertical="center"/>
    </xf>
    <xf numFmtId="0" fontId="2" fillId="24" borderId="8" xfId="2" applyFill="1" applyBorder="1" applyAlignment="1">
      <alignment horizontal="left" vertical="center"/>
    </xf>
    <xf numFmtId="0" fontId="2" fillId="10" borderId="58" xfId="2" applyFill="1" applyBorder="1" applyAlignment="1">
      <alignment horizontal="center" vertical="center"/>
    </xf>
    <xf numFmtId="0" fontId="2" fillId="24" borderId="58" xfId="2" applyFill="1" applyBorder="1" applyAlignment="1">
      <alignment horizontal="center" vertical="center"/>
    </xf>
    <xf numFmtId="180" fontId="2" fillId="24" borderId="11" xfId="2" applyNumberFormat="1" applyFill="1" applyBorder="1" applyAlignment="1">
      <alignment horizontal="center" vertical="center"/>
    </xf>
    <xf numFmtId="0" fontId="75" fillId="3" borderId="50" xfId="2" applyFont="1" applyFill="1" applyBorder="1" applyAlignment="1">
      <alignment horizontal="center" vertical="center"/>
    </xf>
    <xf numFmtId="0" fontId="75" fillId="3" borderId="51" xfId="2" applyFont="1" applyFill="1" applyBorder="1" applyAlignment="1">
      <alignment horizontal="center" vertical="center"/>
    </xf>
    <xf numFmtId="180" fontId="88" fillId="0" borderId="0" xfId="2" applyNumberFormat="1" applyFont="1" applyAlignment="1">
      <alignment horizontal="right" vertical="center"/>
    </xf>
    <xf numFmtId="0" fontId="88" fillId="10" borderId="0" xfId="2" applyFont="1" applyFill="1" applyAlignment="1">
      <alignment horizontal="left"/>
    </xf>
    <xf numFmtId="178" fontId="88" fillId="10" borderId="0" xfId="2" applyNumberFormat="1" applyFont="1" applyFill="1" applyAlignment="1">
      <alignment vertical="center"/>
    </xf>
    <xf numFmtId="177" fontId="0" fillId="4" borderId="32" xfId="0" applyNumberFormat="1" applyFill="1" applyBorder="1"/>
    <xf numFmtId="177" fontId="0" fillId="13" borderId="2" xfId="0" applyNumberFormat="1" applyFill="1" applyBorder="1"/>
    <xf numFmtId="185" fontId="2" fillId="19" borderId="11" xfId="2" applyNumberFormat="1" applyFill="1" applyBorder="1" applyAlignment="1">
      <alignment horizontal="center" vertical="center"/>
    </xf>
    <xf numFmtId="0" fontId="2" fillId="19" borderId="58" xfId="2" applyFill="1" applyBorder="1" applyAlignment="1">
      <alignment horizontal="center" vertical="center"/>
    </xf>
    <xf numFmtId="180" fontId="2" fillId="19" borderId="11" xfId="2" applyNumberFormat="1" applyFill="1" applyBorder="1" applyAlignment="1">
      <alignment horizontal="center" vertical="center"/>
    </xf>
    <xf numFmtId="179" fontId="2" fillId="0" borderId="0" xfId="0" applyNumberFormat="1" applyFont="1"/>
    <xf numFmtId="1" fontId="0" fillId="13" borderId="0" xfId="0" applyNumberFormat="1" applyFill="1"/>
    <xf numFmtId="1" fontId="8" fillId="13" borderId="0" xfId="0" applyNumberFormat="1" applyFont="1" applyFill="1"/>
    <xf numFmtId="0" fontId="85" fillId="10" borderId="0" xfId="2" applyFont="1" applyFill="1" applyAlignment="1">
      <alignment vertical="center"/>
    </xf>
    <xf numFmtId="0" fontId="2" fillId="19" borderId="0" xfId="2" applyFill="1" applyProtection="1">
      <protection locked="0" hidden="1"/>
    </xf>
    <xf numFmtId="0" fontId="2" fillId="10" borderId="0" xfId="2" applyFill="1" applyProtection="1">
      <protection locked="0" hidden="1"/>
    </xf>
    <xf numFmtId="0" fontId="85" fillId="10" borderId="0" xfId="2" applyFont="1" applyFill="1" applyAlignment="1" applyProtection="1">
      <alignment vertical="center"/>
      <protection locked="0" hidden="1"/>
    </xf>
    <xf numFmtId="180" fontId="2" fillId="10" borderId="42" xfId="0" applyNumberFormat="1" applyFont="1" applyFill="1" applyBorder="1"/>
    <xf numFmtId="0" fontId="3" fillId="0" borderId="56" xfId="0" applyFont="1" applyBorder="1"/>
    <xf numFmtId="179" fontId="0" fillId="13" borderId="0" xfId="0" applyNumberFormat="1" applyFill="1"/>
    <xf numFmtId="1" fontId="0" fillId="0" borderId="0" xfId="0" applyNumberFormat="1" applyAlignment="1">
      <alignment horizontal="right"/>
    </xf>
    <xf numFmtId="11" fontId="3" fillId="13" borderId="0" xfId="0" applyNumberFormat="1" applyFont="1" applyFill="1" applyAlignment="1">
      <alignment horizontal="right"/>
    </xf>
    <xf numFmtId="0" fontId="85" fillId="10" borderId="0" xfId="2" applyFont="1" applyFill="1"/>
    <xf numFmtId="0" fontId="85" fillId="10" borderId="0" xfId="2" applyFont="1" applyFill="1" applyProtection="1">
      <protection locked="0" hidden="1"/>
    </xf>
    <xf numFmtId="0" fontId="2" fillId="0" borderId="0" xfId="2" applyAlignment="1">
      <alignment horizontal="right"/>
    </xf>
    <xf numFmtId="0" fontId="3" fillId="0" borderId="0" xfId="2" applyFont="1"/>
    <xf numFmtId="0" fontId="2" fillId="0" borderId="0" xfId="2" applyAlignment="1">
      <alignment horizontal="left"/>
    </xf>
    <xf numFmtId="0" fontId="86" fillId="0" borderId="0" xfId="2" applyFont="1" applyAlignment="1">
      <alignment horizontal="right"/>
    </xf>
    <xf numFmtId="0" fontId="63" fillId="0" borderId="0" xfId="2" applyFont="1"/>
    <xf numFmtId="0" fontId="90" fillId="10" borderId="0" xfId="2" applyFont="1" applyFill="1" applyProtection="1">
      <protection locked="0" hidden="1"/>
    </xf>
    <xf numFmtId="0" fontId="91" fillId="19" borderId="11" xfId="2" quotePrefix="1" applyFont="1" applyFill="1" applyBorder="1" applyAlignment="1">
      <alignment horizontal="left" vertical="center"/>
    </xf>
    <xf numFmtId="191" fontId="2" fillId="19" borderId="11" xfId="2" applyNumberFormat="1" applyFill="1" applyBorder="1" applyAlignment="1">
      <alignment horizontal="center" vertical="center"/>
    </xf>
    <xf numFmtId="178" fontId="0" fillId="0" borderId="11" xfId="0" applyNumberFormat="1" applyBorder="1"/>
    <xf numFmtId="177" fontId="0" fillId="7" borderId="11" xfId="0" applyNumberFormat="1" applyFill="1" applyBorder="1"/>
    <xf numFmtId="0" fontId="3" fillId="5" borderId="59" xfId="0" applyFont="1" applyFill="1" applyBorder="1"/>
    <xf numFmtId="0" fontId="92" fillId="0" borderId="29" xfId="0" applyFont="1" applyBorder="1"/>
    <xf numFmtId="0" fontId="7" fillId="4" borderId="42" xfId="0" applyFont="1" applyFill="1" applyBorder="1"/>
    <xf numFmtId="0" fontId="93" fillId="25" borderId="0" xfId="0" applyFont="1" applyFill="1" applyAlignment="1">
      <alignment horizontal="left"/>
    </xf>
    <xf numFmtId="0" fontId="94" fillId="25" borderId="0" xfId="0" applyFont="1" applyFill="1"/>
    <xf numFmtId="0" fontId="95" fillId="25" borderId="32" xfId="0" applyFont="1" applyFill="1" applyBorder="1"/>
    <xf numFmtId="0" fontId="94" fillId="10" borderId="0" xfId="0" applyFont="1" applyFill="1"/>
    <xf numFmtId="0" fontId="94" fillId="10" borderId="30" xfId="0" applyFont="1" applyFill="1" applyBorder="1"/>
    <xf numFmtId="0" fontId="96" fillId="25" borderId="0" xfId="0" applyFont="1" applyFill="1" applyAlignment="1">
      <alignment horizontal="left"/>
    </xf>
    <xf numFmtId="0" fontId="97" fillId="25" borderId="0" xfId="1" applyFont="1" applyFill="1" applyBorder="1" applyAlignment="1" applyProtection="1"/>
    <xf numFmtId="0" fontId="19" fillId="25" borderId="32" xfId="0" applyFont="1" applyFill="1" applyBorder="1"/>
    <xf numFmtId="0" fontId="19" fillId="25" borderId="46" xfId="0" applyFont="1" applyFill="1" applyBorder="1"/>
    <xf numFmtId="0" fontId="98" fillId="25" borderId="0" xfId="0" applyFont="1" applyFill="1"/>
    <xf numFmtId="179" fontId="2" fillId="19" borderId="46" xfId="0" applyNumberFormat="1" applyFont="1" applyFill="1" applyBorder="1"/>
    <xf numFmtId="0" fontId="28" fillId="25" borderId="56" xfId="0" applyFont="1" applyFill="1" applyBorder="1" applyAlignment="1">
      <alignment horizontal="left" vertical="center"/>
    </xf>
    <xf numFmtId="0" fontId="18" fillId="19" borderId="0" xfId="2" applyFont="1" applyFill="1"/>
    <xf numFmtId="0" fontId="2" fillId="21" borderId="0" xfId="2" applyFill="1"/>
    <xf numFmtId="0" fontId="103" fillId="21" borderId="0" xfId="2" applyFont="1" applyFill="1"/>
    <xf numFmtId="0" fontId="103" fillId="21" borderId="0" xfId="2" applyFont="1" applyFill="1" applyAlignment="1">
      <alignment horizontal="center" vertical="center"/>
    </xf>
    <xf numFmtId="0" fontId="103" fillId="21" borderId="0" xfId="2" applyFont="1" applyFill="1" applyAlignment="1">
      <alignment horizontal="left" vertical="center"/>
    </xf>
    <xf numFmtId="0" fontId="0" fillId="4" borderId="42" xfId="0" applyFill="1" applyBorder="1"/>
    <xf numFmtId="0" fontId="3" fillId="2" borderId="60" xfId="0" applyFont="1" applyFill="1" applyBorder="1" applyAlignment="1">
      <alignment horizontal="center" vertical="top" wrapText="1"/>
    </xf>
    <xf numFmtId="0" fontId="63" fillId="2" borderId="60" xfId="0" applyFont="1" applyFill="1" applyBorder="1" applyAlignment="1">
      <alignment horizontal="center" vertical="top" wrapText="1"/>
    </xf>
    <xf numFmtId="0" fontId="3" fillId="0" borderId="0" xfId="0" applyFont="1" applyAlignment="1">
      <alignment horizontal="left"/>
    </xf>
    <xf numFmtId="0" fontId="3" fillId="0" borderId="0" xfId="0" applyFont="1" applyAlignment="1">
      <alignment horizontal="right"/>
    </xf>
    <xf numFmtId="0" fontId="63" fillId="0" borderId="0" xfId="0" applyFont="1" applyAlignment="1">
      <alignment horizontal="right"/>
    </xf>
    <xf numFmtId="0" fontId="3" fillId="0" borderId="0" xfId="0" applyFont="1" applyAlignment="1" applyProtection="1">
      <alignment horizontal="right"/>
      <protection locked="0"/>
    </xf>
    <xf numFmtId="0" fontId="24" fillId="10" borderId="56" xfId="0" applyFont="1" applyFill="1" applyBorder="1"/>
    <xf numFmtId="0" fontId="3" fillId="19" borderId="0" xfId="0" applyFont="1" applyFill="1"/>
    <xf numFmtId="0" fontId="3" fillId="19" borderId="0" xfId="0" applyFont="1" applyFill="1" applyAlignment="1">
      <alignment horizontal="right"/>
    </xf>
    <xf numFmtId="0" fontId="2" fillId="10" borderId="42" xfId="0" applyFont="1" applyFill="1" applyBorder="1" applyAlignment="1">
      <alignment horizontal="right"/>
    </xf>
    <xf numFmtId="2" fontId="66" fillId="10" borderId="42" xfId="5" applyNumberFormat="1" applyFont="1" applyFill="1" applyBorder="1" applyAlignment="1" applyProtection="1">
      <alignment horizontal="right"/>
    </xf>
    <xf numFmtId="0" fontId="2" fillId="10" borderId="46" xfId="0" applyFont="1" applyFill="1" applyBorder="1" applyAlignment="1">
      <alignment horizontal="right" vertical="center"/>
    </xf>
    <xf numFmtId="180" fontId="2" fillId="10" borderId="46" xfId="0" applyNumberFormat="1" applyFont="1" applyFill="1" applyBorder="1" applyAlignment="1">
      <alignment vertical="center"/>
    </xf>
    <xf numFmtId="0" fontId="2" fillId="10" borderId="47" xfId="0" applyFont="1" applyFill="1" applyBorder="1" applyAlignment="1">
      <alignment vertical="center"/>
    </xf>
    <xf numFmtId="0" fontId="3" fillId="10" borderId="46" xfId="0" applyFont="1" applyFill="1" applyBorder="1" applyAlignment="1">
      <alignment horizontal="right" vertical="center"/>
    </xf>
    <xf numFmtId="0" fontId="3" fillId="10" borderId="47" xfId="0" applyFont="1" applyFill="1" applyBorder="1"/>
    <xf numFmtId="0" fontId="69" fillId="10" borderId="0" xfId="0" applyFont="1" applyFill="1" applyAlignment="1">
      <alignment horizontal="left" vertical="center"/>
    </xf>
    <xf numFmtId="0" fontId="99" fillId="25" borderId="0" xfId="0" applyFont="1" applyFill="1" applyAlignment="1">
      <alignment horizontal="center" vertical="center"/>
    </xf>
    <xf numFmtId="0" fontId="104" fillId="20" borderId="44" xfId="0" applyFont="1" applyFill="1" applyBorder="1" applyAlignment="1">
      <alignment horizontal="left" vertical="center"/>
    </xf>
    <xf numFmtId="0" fontId="104" fillId="20" borderId="42" xfId="0" applyFont="1" applyFill="1" applyBorder="1" applyAlignment="1">
      <alignment horizontal="left" vertical="center"/>
    </xf>
    <xf numFmtId="0" fontId="88" fillId="10" borderId="0" xfId="2" applyFont="1" applyFill="1" applyAlignment="1">
      <alignment horizontal="right" wrapText="1"/>
    </xf>
    <xf numFmtId="198" fontId="2" fillId="24" borderId="8" xfId="2" applyNumberFormat="1" applyFill="1" applyBorder="1" applyAlignment="1">
      <alignment horizontal="left" vertical="center"/>
    </xf>
    <xf numFmtId="198" fontId="2" fillId="24" borderId="9" xfId="2" applyNumberFormat="1" applyFill="1" applyBorder="1" applyAlignment="1">
      <alignment horizontal="left" vertical="center"/>
    </xf>
    <xf numFmtId="198" fontId="2" fillId="24" borderId="15" xfId="2" applyNumberFormat="1" applyFill="1" applyBorder="1" applyAlignment="1">
      <alignment horizontal="left" vertical="center"/>
    </xf>
    <xf numFmtId="0" fontId="2" fillId="23" borderId="8" xfId="2" applyFill="1" applyBorder="1" applyAlignment="1">
      <alignment horizontal="left" vertical="center"/>
    </xf>
    <xf numFmtId="0" fontId="2" fillId="23" borderId="9" xfId="2" applyFill="1" applyBorder="1" applyAlignment="1">
      <alignment horizontal="left" vertical="center"/>
    </xf>
    <xf numFmtId="0" fontId="2" fillId="23" borderId="15" xfId="2" applyFill="1" applyBorder="1" applyAlignment="1">
      <alignment horizontal="left" vertical="center"/>
    </xf>
    <xf numFmtId="195" fontId="2" fillId="19" borderId="8" xfId="2" applyNumberFormat="1" applyFill="1" applyBorder="1" applyAlignment="1">
      <alignment horizontal="left" vertical="center"/>
    </xf>
    <xf numFmtId="195" fontId="2" fillId="19" borderId="9" xfId="2" applyNumberFormat="1" applyFill="1" applyBorder="1" applyAlignment="1">
      <alignment horizontal="left" vertical="center"/>
    </xf>
    <xf numFmtId="196" fontId="2" fillId="19" borderId="8" xfId="2" applyNumberFormat="1" applyFill="1" applyBorder="1" applyAlignment="1">
      <alignment horizontal="left" vertical="center"/>
    </xf>
    <xf numFmtId="196" fontId="2" fillId="19" borderId="9" xfId="2" applyNumberFormat="1" applyFill="1" applyBorder="1" applyAlignment="1">
      <alignment horizontal="left" vertical="center"/>
    </xf>
    <xf numFmtId="0" fontId="2" fillId="19" borderId="8" xfId="2" applyFill="1" applyBorder="1" applyAlignment="1">
      <alignment horizontal="left" vertical="center"/>
    </xf>
    <xf numFmtId="0" fontId="2" fillId="19" borderId="9" xfId="2" applyFill="1" applyBorder="1" applyAlignment="1">
      <alignment horizontal="left" vertical="center"/>
    </xf>
    <xf numFmtId="194" fontId="2" fillId="19" borderId="8" xfId="2" applyNumberFormat="1" applyFill="1" applyBorder="1" applyAlignment="1">
      <alignment horizontal="left" vertical="center"/>
    </xf>
    <xf numFmtId="194" fontId="2" fillId="19" borderId="9" xfId="2" applyNumberFormat="1" applyFill="1" applyBorder="1" applyAlignment="1">
      <alignment horizontal="left" vertical="center"/>
    </xf>
    <xf numFmtId="197" fontId="2" fillId="24" borderId="8" xfId="2" applyNumberFormat="1" applyFill="1" applyBorder="1" applyAlignment="1">
      <alignment horizontal="left" vertical="center"/>
    </xf>
    <xf numFmtId="197" fontId="2" fillId="24" borderId="9" xfId="2" applyNumberFormat="1" applyFill="1" applyBorder="1" applyAlignment="1">
      <alignment horizontal="left" vertical="center"/>
    </xf>
    <xf numFmtId="197" fontId="2" fillId="24" borderId="15" xfId="2" applyNumberFormat="1" applyFill="1" applyBorder="1" applyAlignment="1">
      <alignment horizontal="left" vertical="center"/>
    </xf>
    <xf numFmtId="0" fontId="75" fillId="3" borderId="52" xfId="2" applyFont="1" applyFill="1" applyBorder="1" applyAlignment="1">
      <alignment horizontal="center" vertical="center"/>
    </xf>
    <xf numFmtId="0" fontId="75" fillId="3" borderId="53" xfId="2" applyFont="1" applyFill="1" applyBorder="1" applyAlignment="1">
      <alignment horizontal="center" vertical="center"/>
    </xf>
    <xf numFmtId="0" fontId="75" fillId="3" borderId="54" xfId="2" applyFont="1" applyFill="1" applyBorder="1" applyAlignment="1">
      <alignment horizontal="center" vertical="center"/>
    </xf>
    <xf numFmtId="0" fontId="3" fillId="10" borderId="8" xfId="2" applyFont="1" applyFill="1" applyBorder="1" applyAlignment="1">
      <alignment horizontal="left" vertical="center"/>
    </xf>
    <xf numFmtId="0" fontId="3" fillId="10" borderId="9" xfId="2" applyFont="1" applyFill="1" applyBorder="1" applyAlignment="1">
      <alignment horizontal="left" vertical="center"/>
    </xf>
    <xf numFmtId="0" fontId="3" fillId="10" borderId="15" xfId="2" applyFont="1" applyFill="1" applyBorder="1" applyAlignment="1">
      <alignment horizontal="left" vertical="center"/>
    </xf>
    <xf numFmtId="197" fontId="2" fillId="19" borderId="8" xfId="2" applyNumberFormat="1" applyFill="1" applyBorder="1" applyAlignment="1">
      <alignment horizontal="left" vertical="center"/>
    </xf>
    <xf numFmtId="197" fontId="2" fillId="19" borderId="9" xfId="2" applyNumberFormat="1" applyFill="1" applyBorder="1" applyAlignment="1">
      <alignment horizontal="left" vertical="center"/>
    </xf>
    <xf numFmtId="197" fontId="2" fillId="19" borderId="15" xfId="2" applyNumberFormat="1" applyFill="1" applyBorder="1" applyAlignment="1">
      <alignment horizontal="left" vertical="center"/>
    </xf>
    <xf numFmtId="200" fontId="2" fillId="19" borderId="8" xfId="2" applyNumberFormat="1" applyFill="1" applyBorder="1" applyAlignment="1">
      <alignment horizontal="left" vertical="center"/>
    </xf>
    <xf numFmtId="200" fontId="2" fillId="19" borderId="9" xfId="2" applyNumberFormat="1" applyFill="1" applyBorder="1" applyAlignment="1">
      <alignment horizontal="left" vertical="center"/>
    </xf>
    <xf numFmtId="200" fontId="2" fillId="19" borderId="15" xfId="2" applyNumberFormat="1" applyFill="1" applyBorder="1" applyAlignment="1">
      <alignment horizontal="left" vertical="center"/>
    </xf>
    <xf numFmtId="198" fontId="2" fillId="19" borderId="8" xfId="2" applyNumberFormat="1" applyFill="1" applyBorder="1" applyAlignment="1">
      <alignment horizontal="left" vertical="center"/>
    </xf>
    <xf numFmtId="198" fontId="2" fillId="19" borderId="9" xfId="2" applyNumberFormat="1" applyFill="1" applyBorder="1" applyAlignment="1">
      <alignment horizontal="left" vertical="center"/>
    </xf>
    <xf numFmtId="198" fontId="2" fillId="19" borderId="15" xfId="2" applyNumberFormat="1" applyFill="1" applyBorder="1" applyAlignment="1">
      <alignment horizontal="left" vertical="center"/>
    </xf>
    <xf numFmtId="199" fontId="2" fillId="19" borderId="8" xfId="2" applyNumberFormat="1" applyFill="1" applyBorder="1" applyAlignment="1">
      <alignment horizontal="left" vertical="center"/>
    </xf>
    <xf numFmtId="199" fontId="2" fillId="19" borderId="9" xfId="2" applyNumberFormat="1" applyFill="1" applyBorder="1" applyAlignment="1">
      <alignment horizontal="left" vertical="center"/>
    </xf>
    <xf numFmtId="199" fontId="2" fillId="19" borderId="15" xfId="2" applyNumberFormat="1" applyFill="1" applyBorder="1" applyAlignment="1">
      <alignment horizontal="left" vertical="center"/>
    </xf>
    <xf numFmtId="194" fontId="2" fillId="10" borderId="8" xfId="2" applyNumberFormat="1" applyFill="1" applyBorder="1" applyAlignment="1">
      <alignment horizontal="left" vertical="center"/>
    </xf>
    <xf numFmtId="194" fontId="2" fillId="10" borderId="9" xfId="2" applyNumberFormat="1" applyFill="1" applyBorder="1" applyAlignment="1">
      <alignment horizontal="left" vertical="center"/>
    </xf>
    <xf numFmtId="193" fontId="2" fillId="23" borderId="8" xfId="2" applyNumberFormat="1" applyFill="1" applyBorder="1" applyAlignment="1">
      <alignment horizontal="left" vertical="center"/>
    </xf>
    <xf numFmtId="193" fontId="2" fillId="23" borderId="9" xfId="2" applyNumberFormat="1" applyFill="1" applyBorder="1" applyAlignment="1">
      <alignment horizontal="left" vertical="center"/>
    </xf>
    <xf numFmtId="192" fontId="2" fillId="23" borderId="8" xfId="2" applyNumberFormat="1" applyFill="1" applyBorder="1" applyAlignment="1">
      <alignment horizontal="left" vertical="center"/>
    </xf>
    <xf numFmtId="192" fontId="2" fillId="23" borderId="9" xfId="2" applyNumberFormat="1" applyFill="1" applyBorder="1" applyAlignment="1">
      <alignment horizontal="left" vertical="center"/>
    </xf>
    <xf numFmtId="0" fontId="102" fillId="19" borderId="56" xfId="2" applyFont="1" applyFill="1" applyBorder="1" applyAlignment="1">
      <alignment horizontal="left" vertical="center"/>
    </xf>
    <xf numFmtId="0" fontId="102" fillId="19" borderId="0" xfId="2" applyFont="1" applyFill="1" applyAlignment="1">
      <alignment horizontal="left" vertical="center"/>
    </xf>
    <xf numFmtId="0" fontId="3" fillId="0" borderId="0" xfId="0" applyFont="1" applyAlignment="1">
      <alignment horizontal="center"/>
    </xf>
    <xf numFmtId="0" fontId="4" fillId="3" borderId="0" xfId="0" applyFont="1" applyFill="1" applyAlignment="1">
      <alignment horizontal="center"/>
    </xf>
    <xf numFmtId="0" fontId="9" fillId="3" borderId="0" xfId="0" applyFont="1" applyFill="1" applyAlignment="1">
      <alignment horizontal="center"/>
    </xf>
    <xf numFmtId="0" fontId="3" fillId="2" borderId="0" xfId="0" applyFont="1" applyFill="1" applyAlignment="1">
      <alignment horizontal="center"/>
    </xf>
    <xf numFmtId="0" fontId="14" fillId="3" borderId="0" xfId="0" applyFont="1" applyFill="1" applyAlignment="1">
      <alignment horizontal="left"/>
    </xf>
    <xf numFmtId="0" fontId="3" fillId="0" borderId="0" xfId="0" applyFont="1" applyAlignment="1">
      <alignment horizontal="left" wrapText="1"/>
    </xf>
  </cellXfs>
  <cellStyles count="6">
    <cellStyle name="Comma 2" xfId="4" xr:uid="{00000000-0005-0000-0000-000000000000}"/>
    <cellStyle name="Normal 2" xfId="2" xr:uid="{00000000-0005-0000-0000-000003000000}"/>
    <cellStyle name="Normal 3" xfId="3" xr:uid="{00000000-0005-0000-0000-000004000000}"/>
    <cellStyle name="ハイパーリンク" xfId="1" builtinId="8"/>
    <cellStyle name="桁区切り [0.00]" xfId="5" builtinId="3"/>
    <cellStyle name="標準" xfId="0" builtinId="0"/>
  </cellStyles>
  <dxfs count="25">
    <dxf>
      <font>
        <color theme="0"/>
      </font>
    </dxf>
    <dxf>
      <font>
        <color theme="0"/>
      </font>
    </dxf>
    <dxf>
      <font>
        <color theme="0"/>
      </font>
    </dxf>
    <dxf>
      <font>
        <color theme="0"/>
      </font>
    </dxf>
    <dxf>
      <font>
        <color theme="0"/>
      </font>
    </dxf>
    <dxf>
      <font>
        <color theme="0"/>
      </font>
    </dxf>
    <dxf>
      <font>
        <color rgb="FFFF0000"/>
      </font>
    </dxf>
    <dxf>
      <font>
        <color rgb="FFFF0000"/>
      </font>
    </dxf>
    <dxf>
      <font>
        <color theme="0"/>
      </font>
      <fill>
        <patternFill>
          <bgColor theme="0"/>
        </patternFill>
      </fill>
    </dxf>
    <dxf>
      <font>
        <b/>
        <i val="0"/>
        <condense val="0"/>
        <extend val="0"/>
        <color indexed="10"/>
      </font>
    </dxf>
    <dxf>
      <font>
        <b/>
        <i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i val="0"/>
        <condense val="0"/>
        <extend val="0"/>
        <color indexed="12"/>
      </font>
    </dxf>
    <dxf>
      <font>
        <b/>
        <i val="0"/>
        <condense val="0"/>
        <extend val="0"/>
        <color indexed="10"/>
      </font>
    </dxf>
    <dxf>
      <font>
        <b/>
        <i val="0"/>
        <color rgb="FFFF0000"/>
      </font>
    </dxf>
    <dxf>
      <font>
        <b/>
        <i val="0"/>
        <condense val="0"/>
        <extend val="0"/>
        <color indexed="10"/>
      </font>
    </dxf>
  </dxfs>
  <tableStyles count="0" defaultTableStyle="TableStyleMedium9" defaultPivotStyle="PivotStyleLight16"/>
  <colors>
    <mruColors>
      <color rgb="FF7DC4D6"/>
      <color rgb="FF0099FF"/>
      <color rgb="FF0000FF"/>
      <color rgb="FFFFFF99"/>
      <color rgb="FF003366"/>
      <color rgb="FFCCFFFF"/>
      <color rgb="FF7030A0"/>
      <color rgb="FFD1979B"/>
      <color rgb="FFDBEEF4"/>
      <color rgb="FF96969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pitchFamily="34" charset="0"/>
                <a:ea typeface="Calibri"/>
                <a:cs typeface="Arial" pitchFamily="34" charset="0"/>
              </a:defRPr>
            </a:pPr>
            <a:r>
              <a:rPr lang="en-US" sz="1800" u="none">
                <a:latin typeface="Arial" pitchFamily="34" charset="0"/>
                <a:cs typeface="Arial" pitchFamily="34" charset="0"/>
              </a:rPr>
              <a:t>Bode Plot </a:t>
            </a:r>
          </a:p>
        </c:rich>
      </c:tx>
      <c:layout>
        <c:manualLayout>
          <c:xMode val="edge"/>
          <c:yMode val="edge"/>
          <c:x val="0.10050639430091837"/>
          <c:y val="2.3290736067608779E-2"/>
        </c:manualLayout>
      </c:layout>
      <c:overlay val="0"/>
      <c:spPr>
        <a:noFill/>
        <a:ln w="25400">
          <a:noFill/>
        </a:ln>
      </c:spPr>
    </c:title>
    <c:autoTitleDeleted val="0"/>
    <c:plotArea>
      <c:layout>
        <c:manualLayout>
          <c:layoutTarget val="inner"/>
          <c:xMode val="edge"/>
          <c:yMode val="edge"/>
          <c:x val="8.6865550467700392E-2"/>
          <c:y val="0.11264619116931211"/>
          <c:w val="0.82929752780099952"/>
          <c:h val="0.76205184354221722"/>
        </c:manualLayout>
      </c:layout>
      <c:scatterChart>
        <c:scatterStyle val="smoothMarker"/>
        <c:varyColors val="0"/>
        <c:ser>
          <c:idx val="2"/>
          <c:order val="0"/>
          <c:tx>
            <c:v>Loop Gain</c:v>
          </c:tx>
          <c:spPr>
            <a:ln w="31750">
              <a:solidFill>
                <a:srgbClr val="FF0000"/>
              </a:solidFill>
              <a:prstDash val="solid"/>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Calculations'!$BF$9:$BF$676</c:f>
              <c:numCache>
                <c:formatCode>General</c:formatCode>
                <c:ptCount val="668"/>
                <c:pt idx="0">
                  <c:v>84.14409363154337</c:v>
                </c:pt>
                <c:pt idx="1">
                  <c:v>80.034045810826782</c:v>
                </c:pt>
                <c:pt idx="2">
                  <c:v>76.981058889117989</c:v>
                </c:pt>
                <c:pt idx="3">
                  <c:v>74.659117917438437</c:v>
                </c:pt>
                <c:pt idx="4">
                  <c:v>72.805273981349842</c:v>
                </c:pt>
                <c:pt idx="5">
                  <c:v>71.26817323090232</c:v>
                </c:pt>
                <c:pt idx="6">
                  <c:v>69.957537850366833</c:v>
                </c:pt>
                <c:pt idx="7">
                  <c:v>68.816171360889967</c:v>
                </c:pt>
                <c:pt idx="8">
                  <c:v>67.805836462779439</c:v>
                </c:pt>
                <c:pt idx="9">
                  <c:v>66.899810360384748</c:v>
                </c:pt>
                <c:pt idx="10">
                  <c:v>60.908703746023832</c:v>
                </c:pt>
                <c:pt idx="11">
                  <c:v>57.392719733847926</c:v>
                </c:pt>
                <c:pt idx="12">
                  <c:v>54.896413616554241</c:v>
                </c:pt>
                <c:pt idx="13">
                  <c:v>52.959819892244255</c:v>
                </c:pt>
                <c:pt idx="14">
                  <c:v>51.377559616346232</c:v>
                </c:pt>
                <c:pt idx="15">
                  <c:v>50.039959176615895</c:v>
                </c:pt>
                <c:pt idx="16">
                  <c:v>48.881515116480429</c:v>
                </c:pt>
                <c:pt idx="17">
                  <c:v>47.859961501810773</c:v>
                </c:pt>
                <c:pt idx="18">
                  <c:v>46.946432818779002</c:v>
                </c:pt>
                <c:pt idx="19">
                  <c:v>40.950262723398261</c:v>
                </c:pt>
                <c:pt idx="20">
                  <c:v>37.46868256291549</c:v>
                </c:pt>
                <c:pt idx="21">
                  <c:v>35.026119775316225</c:v>
                </c:pt>
                <c:pt idx="22">
                  <c:v>33.160051567248054</c:v>
                </c:pt>
                <c:pt idx="23">
                  <c:v>31.664395140016794</c:v>
                </c:pt>
                <c:pt idx="24">
                  <c:v>30.429160573189037</c:v>
                </c:pt>
                <c:pt idx="25">
                  <c:v>29.388636963013468</c:v>
                </c:pt>
                <c:pt idx="26">
                  <c:v>28.500385764433279</c:v>
                </c:pt>
                <c:pt idx="27">
                  <c:v>27.735380504180426</c:v>
                </c:pt>
                <c:pt idx="28">
                  <c:v>25.189423826507888</c:v>
                </c:pt>
                <c:pt idx="29">
                  <c:v>24.030297823238101</c:v>
                </c:pt>
                <c:pt idx="30">
                  <c:v>23.788726478232924</c:v>
                </c:pt>
                <c:pt idx="31">
                  <c:v>24.270208283359686</c:v>
                </c:pt>
                <c:pt idx="32">
                  <c:v>25.395200923006698</c:v>
                </c:pt>
                <c:pt idx="33">
                  <c:v>27.104815995724202</c:v>
                </c:pt>
                <c:pt idx="34">
                  <c:v>29.086070114833966</c:v>
                </c:pt>
                <c:pt idx="35">
                  <c:v>30.022328656185703</c:v>
                </c:pt>
                <c:pt idx="36">
                  <c:v>28.527032768900561</c:v>
                </c:pt>
                <c:pt idx="37">
                  <c:v>25.900867142664875</c:v>
                </c:pt>
                <c:pt idx="38">
                  <c:v>23.417927535559219</c:v>
                </c:pt>
                <c:pt idx="39">
                  <c:v>21.323011908575747</c:v>
                </c:pt>
                <c:pt idx="40">
                  <c:v>19.57182497224899</c:v>
                </c:pt>
                <c:pt idx="41">
                  <c:v>18.089574032389034</c:v>
                </c:pt>
                <c:pt idx="42">
                  <c:v>16.815058080880625</c:v>
                </c:pt>
                <c:pt idx="43">
                  <c:v>15.702907185699548</c:v>
                </c:pt>
                <c:pt idx="44">
                  <c:v>14.719842217726889</c:v>
                </c:pt>
                <c:pt idx="45">
                  <c:v>13.841170596050119</c:v>
                </c:pt>
                <c:pt idx="46">
                  <c:v>13.048254466247178</c:v>
                </c:pt>
                <c:pt idx="47">
                  <c:v>12.326774778623868</c:v>
                </c:pt>
                <c:pt idx="48">
                  <c:v>11.665545511062344</c:v>
                </c:pt>
                <c:pt idx="49">
                  <c:v>11.055694230583688</c:v>
                </c:pt>
                <c:pt idx="50">
                  <c:v>10.490086385593472</c:v>
                </c:pt>
                <c:pt idx="51">
                  <c:v>9.9629136673139005</c:v>
                </c:pt>
                <c:pt idx="52">
                  <c:v>9.4693946069193746</c:v>
                </c:pt>
                <c:pt idx="53">
                  <c:v>9.0055532814302115</c:v>
                </c:pt>
                <c:pt idx="54">
                  <c:v>8.5680533051204204</c:v>
                </c:pt>
                <c:pt idx="55">
                  <c:v>8.1540715853459176</c:v>
                </c:pt>
                <c:pt idx="56">
                  <c:v>7.7612011110874128</c:v>
                </c:pt>
                <c:pt idx="57">
                  <c:v>7.3873752352106887</c:v>
                </c:pt>
                <c:pt idx="58">
                  <c:v>7.0308080744919854</c:v>
                </c:pt>
                <c:pt idx="59">
                  <c:v>6.6899471399666908</c:v>
                </c:pt>
                <c:pt idx="60">
                  <c:v>6.3634353497696052</c:v>
                </c:pt>
                <c:pt idx="61">
                  <c:v>6.0500803129047931</c:v>
                </c:pt>
                <c:pt idx="62">
                  <c:v>5.748829300663286</c:v>
                </c:pt>
                <c:pt idx="63">
                  <c:v>5.4587487060938731</c:v>
                </c:pt>
                <c:pt idx="64">
                  <c:v>5.1790070737866376</c:v>
                </c:pt>
                <c:pt idx="65">
                  <c:v>4.908860991485005</c:v>
                </c:pt>
                <c:pt idx="66">
                  <c:v>4.6476432919476238</c:v>
                </c:pt>
                <c:pt idx="67">
                  <c:v>4.3947531322291749</c:v>
                </c:pt>
                <c:pt idx="68">
                  <c:v>4.149647608204095</c:v>
                </c:pt>
                <c:pt idx="69">
                  <c:v>3.9118346319322717</c:v>
                </c:pt>
                <c:pt idx="70">
                  <c:v>3.6808668535841331</c:v>
                </c:pt>
                <c:pt idx="71">
                  <c:v>3.4563364519221897</c:v>
                </c:pt>
                <c:pt idx="72">
                  <c:v>3.2378706505926163</c:v>
                </c:pt>
                <c:pt idx="73">
                  <c:v>3.0251278438096278</c:v>
                </c:pt>
                <c:pt idx="74">
                  <c:v>2.8177942359870753</c:v>
                </c:pt>
                <c:pt idx="75">
                  <c:v>2.6155809166736854</c:v>
                </c:pt>
                <c:pt idx="76">
                  <c:v>2.4182213056839217</c:v>
                </c:pt>
                <c:pt idx="77">
                  <c:v>2.2254689142773936</c:v>
                </c:pt>
                <c:pt idx="78">
                  <c:v>2.037095377160953</c:v>
                </c:pt>
                <c:pt idx="79">
                  <c:v>1.852888717382152</c:v>
                </c:pt>
                <c:pt idx="80">
                  <c:v>1.6726518121758247</c:v>
                </c:pt>
                <c:pt idx="81">
                  <c:v>1.4962010327690929</c:v>
                </c:pt>
                <c:pt idx="82">
                  <c:v>1.3233650352464865</c:v>
                </c:pt>
                <c:pt idx="83">
                  <c:v>1.1539836829836898</c:v>
                </c:pt>
                <c:pt idx="84">
                  <c:v>0.98790708400311389</c:v>
                </c:pt>
                <c:pt idx="85">
                  <c:v>0.82499472898832837</c:v>
                </c:pt>
                <c:pt idx="86">
                  <c:v>0.66511471769940089</c:v>
                </c:pt>
                <c:pt idx="87">
                  <c:v>0.50814306322269664</c:v>
                </c:pt>
                <c:pt idx="88">
                  <c:v>0.35396306492101853</c:v>
                </c:pt>
                <c:pt idx="89">
                  <c:v>0.20246474216627097</c:v>
                </c:pt>
                <c:pt idx="90">
                  <c:v>5.3544321972839676E-2</c:v>
                </c:pt>
                <c:pt idx="91">
                  <c:v>-9.2896225464830492E-2</c:v>
                </c:pt>
                <c:pt idx="92">
                  <c:v>-0.2369496085688487</c:v>
                </c:pt>
                <c:pt idx="93">
                  <c:v>-0.37870359809532395</c:v>
                </c:pt>
                <c:pt idx="94">
                  <c:v>-0.51824137679850102</c:v>
                </c:pt>
                <c:pt idx="95">
                  <c:v>-0.65564185858246649</c:v>
                </c:pt>
                <c:pt idx="96">
                  <c:v>-0.79097998026224903</c:v>
                </c:pt>
                <c:pt idx="97">
                  <c:v>-0.92432696869185038</c:v>
                </c:pt>
                <c:pt idx="98">
                  <c:v>-1.0557505857002178</c:v>
                </c:pt>
                <c:pt idx="99">
                  <c:v>-1.1853153530004827</c:v>
                </c:pt>
                <c:pt idx="100">
                  <c:v>-1.313082758996126</c:v>
                </c:pt>
                <c:pt idx="101">
                  <c:v>-1.4391114491973689</c:v>
                </c:pt>
                <c:pt idx="102">
                  <c:v>-1.5634574017753498</c:v>
                </c:pt>
                <c:pt idx="103">
                  <c:v>-1.6861740896193083</c:v>
                </c:pt>
                <c:pt idx="104">
                  <c:v>-1.8073126301184508</c:v>
                </c:pt>
                <c:pt idx="105">
                  <c:v>-1.9269219237637638</c:v>
                </c:pt>
                <c:pt idx="106">
                  <c:v>-2.0450487825532688</c:v>
                </c:pt>
                <c:pt idx="107">
                  <c:v>-2.1617380490852622</c:v>
                </c:pt>
                <c:pt idx="108">
                  <c:v>-2.2770327071361134</c:v>
                </c:pt>
                <c:pt idx="109">
                  <c:v>-2.3909739844413473</c:v>
                </c:pt>
                <c:pt idx="110">
                  <c:v>-2.5036014483291504</c:v>
                </c:pt>
                <c:pt idx="111">
                  <c:v>-2.6149530947935782</c:v>
                </c:pt>
                <c:pt idx="112">
                  <c:v>-2.7250654315395511</c:v>
                </c:pt>
                <c:pt idx="113">
                  <c:v>-2.8339735554820331</c:v>
                </c:pt>
                <c:pt idx="114">
                  <c:v>-2.9417112251378619</c:v>
                </c:pt>
                <c:pt idx="115">
                  <c:v>-3.0483109283087657</c:v>
                </c:pt>
                <c:pt idx="116">
                  <c:v>-3.1538039454184696</c:v>
                </c:pt>
                <c:pt idx="117">
                  <c:v>-3.2582204088348696</c:v>
                </c:pt>
                <c:pt idx="118">
                  <c:v>-3.3615893584791641</c:v>
                </c:pt>
                <c:pt idx="119">
                  <c:v>-3.4639387939979982</c:v>
                </c:pt>
                <c:pt idx="120">
                  <c:v>-3.5652957237510625</c:v>
                </c:pt>
                <c:pt idx="121">
                  <c:v>-3.6656862108452537</c:v>
                </c:pt>
                <c:pt idx="122">
                  <c:v>-3.765135416427499</c:v>
                </c:pt>
                <c:pt idx="123">
                  <c:v>-3.8636676404306307</c:v>
                </c:pt>
                <c:pt idx="124">
                  <c:v>-3.9613063599511373</c:v>
                </c:pt>
                <c:pt idx="125">
                  <c:v>-4.0580742654230475</c:v>
                </c:pt>
                <c:pt idx="126">
                  <c:v>-4.1539932947392337</c:v>
                </c:pt>
                <c:pt idx="127">
                  <c:v>-4.2490846654595531</c:v>
                </c:pt>
                <c:pt idx="128">
                  <c:v>-4.343368905234315</c:v>
                </c:pt>
                <c:pt idx="129">
                  <c:v>-4.4368658805617587</c:v>
                </c:pt>
                <c:pt idx="130">
                  <c:v>-4.5295948239891324</c:v>
                </c:pt>
                <c:pt idx="131">
                  <c:v>-4.621574359858692</c:v>
                </c:pt>
                <c:pt idx="132">
                  <c:v>-4.7128225286925876</c:v>
                </c:pt>
                <c:pt idx="133">
                  <c:v>-4.8033568103032582</c:v>
                </c:pt>
                <c:pt idx="134">
                  <c:v>-4.893194145710126</c:v>
                </c:pt>
                <c:pt idx="135">
                  <c:v>-4.9823509579371237</c:v>
                </c:pt>
                <c:pt idx="136">
                  <c:v>-5.0708431717605187</c:v>
                </c:pt>
                <c:pt idx="137">
                  <c:v>-5.1586862324714309</c:v>
                </c:pt>
                <c:pt idx="138">
                  <c:v>-5.2458951237129989</c:v>
                </c:pt>
                <c:pt idx="139">
                  <c:v>-5.332484384447902</c:v>
                </c:pt>
                <c:pt idx="140">
                  <c:v>-5.4184681251082187</c:v>
                </c:pt>
                <c:pt idx="141">
                  <c:v>-5.5038600429758802</c:v>
                </c:pt>
                <c:pt idx="142">
                  <c:v>-5.5886734368389934</c:v>
                </c:pt>
                <c:pt idx="143">
                  <c:v>-5.6729212209658382</c:v>
                </c:pt>
                <c:pt idx="144">
                  <c:v>-5.7566159384361448</c:v>
                </c:pt>
                <c:pt idx="145">
                  <c:v>-5.8397697738659833</c:v>
                </c:pt>
                <c:pt idx="146">
                  <c:v>-5.9223945655608921</c:v>
                </c:pt>
                <c:pt idx="147">
                  <c:v>-6.0045018171290474</c:v>
                </c:pt>
                <c:pt idx="148">
                  <c:v>-6.0861027085846668</c:v>
                </c:pt>
                <c:pt idx="149">
                  <c:v>-6.167208106969607</c:v>
                </c:pt>
                <c:pt idx="150">
                  <c:v>-6.247828576519594</c:v>
                </c:pt>
                <c:pt idx="151">
                  <c:v>-6.3279743883996895</c:v>
                </c:pt>
                <c:pt idx="152">
                  <c:v>-6.4076555300320948</c:v>
                </c:pt>
                <c:pt idx="153">
                  <c:v>-6.4868817140381205</c:v>
                </c:pt>
                <c:pt idx="154">
                  <c:v>-6.5656623868145347</c:v>
                </c:pt>
                <c:pt idx="155">
                  <c:v>-6.6440067367635685</c:v>
                </c:pt>
                <c:pt idx="156">
                  <c:v>-6.7219237021944807</c:v>
                </c:pt>
                <c:pt idx="157">
                  <c:v>-6.7994219789135801</c:v>
                </c:pt>
                <c:pt idx="158">
                  <c:v>-6.8765100275185969</c:v>
                </c:pt>
                <c:pt idx="159">
                  <c:v>-6.9531960804124395</c:v>
                </c:pt>
                <c:pt idx="160">
                  <c:v>-7.0294881485502669</c:v>
                </c:pt>
                <c:pt idx="161">
                  <c:v>-7.105394027933194</c:v>
                </c:pt>
                <c:pt idx="162">
                  <c:v>-7.1809213058612142</c:v>
                </c:pt>
                <c:pt idx="163">
                  <c:v>-7.2560773669568537</c:v>
                </c:pt>
                <c:pt idx="164">
                  <c:v>-7.3308693989709086</c:v>
                </c:pt>
                <c:pt idx="165">
                  <c:v>-7.4053043983805233</c:v>
                </c:pt>
                <c:pt idx="166">
                  <c:v>-7.479389175789624</c:v>
                </c:pt>
                <c:pt idx="167">
                  <c:v>-7.5531303611408358</c:v>
                </c:pt>
                <c:pt idx="168">
                  <c:v>-7.6265344087478972</c:v>
                </c:pt>
                <c:pt idx="169">
                  <c:v>-7.6996076021566004</c:v>
                </c:pt>
                <c:pt idx="170">
                  <c:v>-7.7723560588423766</c:v>
                </c:pt>
                <c:pt idx="171">
                  <c:v>-7.8447857347516941</c:v>
                </c:pt>
                <c:pt idx="172">
                  <c:v>-7.916902428694403</c:v>
                </c:pt>
                <c:pt idx="173">
                  <c:v>-7.9887117865935986</c:v>
                </c:pt>
                <c:pt idx="174">
                  <c:v>-8.0602193055992863</c:v>
                </c:pt>
                <c:pt idx="175">
                  <c:v>-8.1314303380717305</c:v>
                </c:pt>
                <c:pt idx="176">
                  <c:v>-8.2023500954401651</c:v>
                </c:pt>
                <c:pt idx="177">
                  <c:v>-8.2729836519420434</c:v>
                </c:pt>
                <c:pt idx="178">
                  <c:v>-8.3433359482480345</c:v>
                </c:pt>
                <c:pt idx="179">
                  <c:v>-8.4134117949773231</c:v>
                </c:pt>
                <c:pt idx="180">
                  <c:v>-8.4832158761079004</c:v>
                </c:pt>
                <c:pt idx="181">
                  <c:v>-8.5527527522860041</c:v>
                </c:pt>
                <c:pt idx="182">
                  <c:v>-8.6220268640387978</c:v>
                </c:pt>
                <c:pt idx="183">
                  <c:v>-8.6910425348941338</c:v>
                </c:pt>
                <c:pt idx="184">
                  <c:v>-8.7598039744110565</c:v>
                </c:pt>
                <c:pt idx="185">
                  <c:v>-8.8283152811244587</c:v>
                </c:pt>
                <c:pt idx="186">
                  <c:v>-8.8965804454072455</c:v>
                </c:pt>
                <c:pt idx="187">
                  <c:v>-8.964603352253036</c:v>
                </c:pt>
                <c:pt idx="188">
                  <c:v>-9.032387783982454</c:v>
                </c:pt>
                <c:pt idx="189">
                  <c:v>-9.0999374228757564</c:v>
                </c:pt>
                <c:pt idx="190">
                  <c:v>-9.1672558537344564</c:v>
                </c:pt>
                <c:pt idx="191">
                  <c:v>-9.2343465663746098</c:v>
                </c:pt>
                <c:pt idx="192">
                  <c:v>-9.3012129580539913</c:v>
                </c:pt>
                <c:pt idx="193">
                  <c:v>-9.3678583358356029</c:v>
                </c:pt>
                <c:pt idx="194">
                  <c:v>-9.4342859188896799</c:v>
                </c:pt>
                <c:pt idx="195">
                  <c:v>-9.5004988407362063</c:v>
                </c:pt>
                <c:pt idx="196">
                  <c:v>-9.5665001514300076</c:v>
                </c:pt>
                <c:pt idx="197">
                  <c:v>-9.6322928196902655</c:v>
                </c:pt>
                <c:pt idx="198">
                  <c:v>-9.6978797349762793</c:v>
                </c:pt>
                <c:pt idx="199">
                  <c:v>-9.7632637095111345</c:v>
                </c:pt>
                <c:pt idx="200">
                  <c:v>-9.8284474802550577</c:v>
                </c:pt>
                <c:pt idx="201">
                  <c:v>-9.8934337108298038</c:v>
                </c:pt>
                <c:pt idx="202">
                  <c:v>-9.9582249933958025</c:v>
                </c:pt>
                <c:pt idx="203">
                  <c:v>-10.0228238504833</c:v>
                </c:pt>
                <c:pt idx="204">
                  <c:v>-10.087232736778981</c:v>
                </c:pt>
                <c:pt idx="205">
                  <c:v>-10.151454040869343</c:v>
                </c:pt>
                <c:pt idx="206">
                  <c:v>-10.215490086941994</c:v>
                </c:pt>
                <c:pt idx="207">
                  <c:v>-10.279343136446219</c:v>
                </c:pt>
                <c:pt idx="208">
                  <c:v>-10.343015389713804</c:v>
                </c:pt>
                <c:pt idx="209">
                  <c:v>-10.406508987541297</c:v>
                </c:pt>
                <c:pt idx="210">
                  <c:v>-10.469826012734742</c:v>
                </c:pt>
                <c:pt idx="211">
                  <c:v>-10.532968491617929</c:v>
                </c:pt>
                <c:pt idx="212">
                  <c:v>-10.595938395504964</c:v>
                </c:pt>
                <c:pt idx="213">
                  <c:v>-10.658737642138369</c:v>
                </c:pt>
                <c:pt idx="214">
                  <c:v>-10.721368097093313</c:v>
                </c:pt>
                <c:pt idx="215">
                  <c:v>-10.783831575149023</c:v>
                </c:pt>
                <c:pt idx="216">
                  <c:v>-10.84612984162813</c:v>
                </c:pt>
                <c:pt idx="217">
                  <c:v>-10.90826461370475</c:v>
                </c:pt>
                <c:pt idx="218">
                  <c:v>-10.970237561682048</c:v>
                </c:pt>
                <c:pt idx="219">
                  <c:v>-11.032050310240084</c:v>
                </c:pt>
                <c:pt idx="220">
                  <c:v>-11.093704439654568</c:v>
                </c:pt>
                <c:pt idx="221">
                  <c:v>-11.155201486987261</c:v>
                </c:pt>
                <c:pt idx="222">
                  <c:v>-11.216542947248698</c:v>
                </c:pt>
                <c:pt idx="223">
                  <c:v>-11.277730274533834</c:v>
                </c:pt>
                <c:pt idx="224">
                  <c:v>-11.338764883131251</c:v>
                </c:pt>
                <c:pt idx="225">
                  <c:v>-11.399648148606538</c:v>
                </c:pt>
                <c:pt idx="226">
                  <c:v>-12.000433915132342</c:v>
                </c:pt>
                <c:pt idx="227">
                  <c:v>-12.587348709332529</c:v>
                </c:pt>
                <c:pt idx="228">
                  <c:v>-13.161273712729287</c:v>
                </c:pt>
                <c:pt idx="229">
                  <c:v>-13.722883399823306</c:v>
                </c:pt>
                <c:pt idx="230">
                  <c:v>-14.272701513920818</c:v>
                </c:pt>
                <c:pt idx="231">
                  <c:v>-14.811144105064875</c:v>
                </c:pt>
                <c:pt idx="232">
                  <c:v>-15.33855214597933</c:v>
                </c:pt>
                <c:pt idx="233">
                  <c:v>-15.855215833838429</c:v>
                </c:pt>
                <c:pt idx="234">
                  <c:v>-16.361392340807448</c:v>
                </c:pt>
                <c:pt idx="235">
                  <c:v>-16.857318475015266</c:v>
                </c:pt>
                <c:pt idx="236">
                  <c:v>-17.343219448578235</c:v>
                </c:pt>
                <c:pt idx="237">
                  <c:v>-17.819314718123938</c:v>
                </c:pt>
                <c:pt idx="238">
                  <c:v>-18.285821664837027</c:v>
                </c:pt>
                <c:pt idx="239">
                  <c:v>-18.742957713896804</c:v>
                </c:pt>
                <c:pt idx="240">
                  <c:v>-19.1909413550413</c:v>
                </c:pt>
                <c:pt idx="241">
                  <c:v>-19.629992413928562</c:v>
                </c:pt>
                <c:pt idx="242">
                  <c:v>-20.060331834627128</c:v>
                </c:pt>
                <c:pt idx="243">
                  <c:v>-20.482181163508827</c:v>
                </c:pt>
                <c:pt idx="244">
                  <c:v>-20.895761870731661</c:v>
                </c:pt>
                <c:pt idx="245">
                  <c:v>-21.301294604379365</c:v>
                </c:pt>
                <c:pt idx="246">
                  <c:v>-21.698998441531522</c:v>
                </c:pt>
                <c:pt idx="247">
                  <c:v>-22.089090177843069</c:v>
                </c:pt>
                <c:pt idx="248">
                  <c:v>-22.47178368076969</c:v>
                </c:pt>
                <c:pt idx="249">
                  <c:v>-22.847289319895165</c:v>
                </c:pt>
                <c:pt idx="250">
                  <c:v>-23.215813479713042</c:v>
                </c:pt>
                <c:pt idx="251">
                  <c:v>-23.577558154763132</c:v>
                </c:pt>
                <c:pt idx="252">
                  <c:v>-23.932720623507599</c:v>
                </c:pt>
                <c:pt idx="253">
                  <c:v>-24.281493195209066</c:v>
                </c:pt>
                <c:pt idx="254">
                  <c:v>-24.624063022934571</c:v>
                </c:pt>
                <c:pt idx="255">
                  <c:v>-24.960611975349778</c:v>
                </c:pt>
                <c:pt idx="256">
                  <c:v>-25.291316559964731</c:v>
                </c:pt>
                <c:pt idx="257">
                  <c:v>-25.616347890782706</c:v>
                </c:pt>
                <c:pt idx="258">
                  <c:v>-25.93587169377173</c:v>
                </c:pt>
                <c:pt idx="259">
                  <c:v>-26.250048344142691</c:v>
                </c:pt>
                <c:pt idx="260">
                  <c:v>-26.559032930021978</c:v>
                </c:pt>
                <c:pt idx="261">
                  <c:v>-26.862975337713483</c:v>
                </c:pt>
                <c:pt idx="262">
                  <c:v>-27.16202035432913</c:v>
                </c:pt>
                <c:pt idx="263">
                  <c:v>-27.456307784115769</c:v>
                </c:pt>
                <c:pt idx="264">
                  <c:v>-27.745972575309402</c:v>
                </c:pt>
                <c:pt idx="265">
                  <c:v>-28.031144954803541</c:v>
                </c:pt>
                <c:pt idx="266">
                  <c:v>-28.311950568325258</c:v>
                </c:pt>
                <c:pt idx="267">
                  <c:v>-28.588510624172866</c:v>
                </c:pt>
                <c:pt idx="268">
                  <c:v>-28.860942038885252</c:v>
                </c:pt>
                <c:pt idx="269">
                  <c:v>-29.129357583488186</c:v>
                </c:pt>
                <c:pt idx="270">
                  <c:v>-29.393866029201888</c:v>
                </c:pt>
                <c:pt idx="271">
                  <c:v>-29.654572291699459</c:v>
                </c:pt>
                <c:pt idx="272">
                  <c:v>-29.911577573182299</c:v>
                </c:pt>
                <c:pt idx="273">
                  <c:v>-30.164979501688805</c:v>
                </c:pt>
                <c:pt idx="274">
                  <c:v>-30.414872267180545</c:v>
                </c:pt>
                <c:pt idx="275">
                  <c:v>-30.661346754058066</c:v>
                </c:pt>
                <c:pt idx="276">
                  <c:v>-30.904490669849341</c:v>
                </c:pt>
                <c:pt idx="277">
                  <c:v>-31.144388669890052</c:v>
                </c:pt>
                <c:pt idx="278">
                  <c:v>-31.381122477878268</c:v>
                </c:pt>
                <c:pt idx="279">
                  <c:v>-31.614771002238719</c:v>
                </c:pt>
                <c:pt idx="280">
                  <c:v>-31.845410448274883</c:v>
                </c:pt>
                <c:pt idx="281">
                  <c:v>-32.073114426122594</c:v>
                </c:pt>
                <c:pt idx="282">
                  <c:v>-32.297954054547318</c:v>
                </c:pt>
                <c:pt idx="283">
                  <c:v>-32.519998060650188</c:v>
                </c:pt>
                <c:pt idx="284">
                  <c:v>-32.739312875565702</c:v>
                </c:pt>
                <c:pt idx="285">
                  <c:v>-32.955962726248288</c:v>
                </c:pt>
                <c:pt idx="286">
                  <c:v>-33.170009723455266</c:v>
                </c:pt>
                <c:pt idx="287">
                  <c:v>-33.381513946041522</c:v>
                </c:pt>
                <c:pt idx="288">
                  <c:v>-33.590533521686645</c:v>
                </c:pt>
                <c:pt idx="289">
                  <c:v>-33.797124704178742</c:v>
                </c:pt>
                <c:pt idx="290">
                  <c:v>-34.001341947380666</c:v>
                </c:pt>
                <c:pt idx="291">
                  <c:v>-34.203237976005319</c:v>
                </c:pt>
                <c:pt idx="292">
                  <c:v>-34.402863853325655</c:v>
                </c:pt>
                <c:pt idx="293">
                  <c:v>-34.600269045943854</c:v>
                </c:pt>
                <c:pt idx="294">
                  <c:v>-34.795501485742001</c:v>
                </c:pt>
                <c:pt idx="295">
                  <c:v>-34.988607629133625</c:v>
                </c:pt>
                <c:pt idx="296">
                  <c:v>-35.179632513732834</c:v>
                </c:pt>
                <c:pt idx="297">
                  <c:v>-35.368619812553924</c:v>
                </c:pt>
                <c:pt idx="298">
                  <c:v>-35.555611885851143</c:v>
                </c:pt>
                <c:pt idx="299">
                  <c:v>-35.740649830704115</c:v>
                </c:pt>
                <c:pt idx="300">
                  <c:v>-35.923773528450972</c:v>
                </c:pt>
                <c:pt idx="301">
                  <c:v>-36.105021690067026</c:v>
                </c:pt>
                <c:pt idx="302">
                  <c:v>-36.284431899582955</c:v>
                </c:pt>
                <c:pt idx="303">
                  <c:v>-36.462040655632855</c:v>
                </c:pt>
                <c:pt idx="304">
                  <c:v>-36.637883411218411</c:v>
                </c:pt>
                <c:pt idx="305">
                  <c:v>-36.811994611771588</c:v>
                </c:pt>
                <c:pt idx="306">
                  <c:v>-36.98440773159512</c:v>
                </c:pt>
                <c:pt idx="307">
                  <c:v>-37.155155308755795</c:v>
                </c:pt>
                <c:pt idx="308">
                  <c:v>-37.324268978502701</c:v>
                </c:pt>
                <c:pt idx="309">
                  <c:v>-37.491779505278892</c:v>
                </c:pt>
                <c:pt idx="310">
                  <c:v>-37.657716813391794</c:v>
                </c:pt>
                <c:pt idx="311">
                  <c:v>-37.822110016404757</c:v>
                </c:pt>
                <c:pt idx="312">
                  <c:v>-37.984987445308981</c:v>
                </c:pt>
                <c:pt idx="313">
                  <c:v>-38.146376675532146</c:v>
                </c:pt>
                <c:pt idx="314">
                  <c:v>-38.306304552837787</c:v>
                </c:pt>
                <c:pt idx="315">
                  <c:v>-38.464797218166183</c:v>
                </c:pt>
                <c:pt idx="316">
                  <c:v>-38.621880131465758</c:v>
                </c:pt>
                <c:pt idx="317">
                  <c:v>-38.777578094560994</c:v>
                </c:pt>
                <c:pt idx="318">
                  <c:v>-38.931915273101055</c:v>
                </c:pt>
                <c:pt idx="319">
                  <c:v>-39.0849152176309</c:v>
                </c:pt>
                <c:pt idx="320">
                  <c:v>-39.236600883824778</c:v>
                </c:pt>
                <c:pt idx="321">
                  <c:v>-39.386994651919935</c:v>
                </c:pt>
                <c:pt idx="322">
                  <c:v>-39.536118345386527</c:v>
                </c:pt>
                <c:pt idx="323">
                  <c:v>-39.683993248868106</c:v>
                </c:pt>
                <c:pt idx="324">
                  <c:v>-39.830640125425127</c:v>
                </c:pt>
                <c:pt idx="325">
                  <c:v>-39.976079233112664</c:v>
                </c:pt>
                <c:pt idx="326">
                  <c:v>-40.120330340921555</c:v>
                </c:pt>
                <c:pt idx="327">
                  <c:v>-40.263412744111385</c:v>
                </c:pt>
                <c:pt idx="328">
                  <c:v>-40.405345278961605</c:v>
                </c:pt>
                <c:pt idx="329">
                  <c:v>-40.54614633696665</c:v>
                </c:pt>
                <c:pt idx="330">
                  <c:v>-40.685833878498684</c:v>
                </c:pt>
                <c:pt idx="331">
                  <c:v>-40.824425445961595</c:v>
                </c:pt>
                <c:pt idx="332">
                  <c:v>-40.961938176457693</c:v>
                </c:pt>
                <c:pt idx="333">
                  <c:v>-41.098388813988116</c:v>
                </c:pt>
                <c:pt idx="334">
                  <c:v>-41.233793721206922</c:v>
                </c:pt>
                <c:pt idx="335">
                  <c:v>-41.368168890747718</c:v>
                </c:pt>
                <c:pt idx="336">
                  <c:v>-41.501529956140743</c:v>
                </c:pt>
                <c:pt idx="337">
                  <c:v>-41.633892202337833</c:v>
                </c:pt>
                <c:pt idx="338">
                  <c:v>-41.765270575861436</c:v>
                </c:pt>
                <c:pt idx="339">
                  <c:v>-41.895679694593355</c:v>
                </c:pt>
                <c:pt idx="340">
                  <c:v>-42.025133857218179</c:v>
                </c:pt>
                <c:pt idx="341">
                  <c:v>-42.153647052335437</c:v>
                </c:pt>
                <c:pt idx="342">
                  <c:v>-42.281232967254184</c:v>
                </c:pt>
                <c:pt idx="343">
                  <c:v>-42.407904996482813</c:v>
                </c:pt>
                <c:pt idx="344">
                  <c:v>-42.533676249926458</c:v>
                </c:pt>
                <c:pt idx="345">
                  <c:v>-42.658559560803766</c:v>
                </c:pt>
                <c:pt idx="346">
                  <c:v>-42.782567493294216</c:v>
                </c:pt>
                <c:pt idx="347">
                  <c:v>-42.905712349926802</c:v>
                </c:pt>
                <c:pt idx="348">
                  <c:v>-43.028006178720219</c:v>
                </c:pt>
                <c:pt idx="349">
                  <c:v>-43.149460780084333</c:v>
                </c:pt>
                <c:pt idx="350">
                  <c:v>-43.270087713492401</c:v>
                </c:pt>
                <c:pt idx="351">
                  <c:v>-43.389898303932803</c:v>
                </c:pt>
                <c:pt idx="352">
                  <c:v>-43.508903648149008</c:v>
                </c:pt>
                <c:pt idx="353">
                  <c:v>-43.627114620675727</c:v>
                </c:pt>
                <c:pt idx="354">
                  <c:v>-43.744541879679204</c:v>
                </c:pt>
                <c:pt idx="355">
                  <c:v>-43.861195872609116</c:v>
                </c:pt>
                <c:pt idx="356">
                  <c:v>-43.97708684166912</c:v>
                </c:pt>
                <c:pt idx="357">
                  <c:v>-44.092224829112936</c:v>
                </c:pt>
                <c:pt idx="358">
                  <c:v>-44.206619682372555</c:v>
                </c:pt>
                <c:pt idx="359">
                  <c:v>-44.320281059024765</c:v>
                </c:pt>
                <c:pt idx="360">
                  <c:v>-44.433218431601986</c:v>
                </c:pt>
                <c:pt idx="361">
                  <c:v>-44.545441092253199</c:v>
                </c:pt>
                <c:pt idx="362">
                  <c:v>-44.656958157260497</c:v>
                </c:pt>
                <c:pt idx="363">
                  <c:v>-44.7677785714164</c:v>
                </c:pt>
                <c:pt idx="364">
                  <c:v>-44.877911112267128</c:v>
                </c:pt>
                <c:pt idx="365">
                  <c:v>-44.987364394226631</c:v>
                </c:pt>
                <c:pt idx="366">
                  <c:v>-45.096146872565924</c:v>
                </c:pt>
                <c:pt idx="367">
                  <c:v>-45.204266847282341</c:v>
                </c:pt>
                <c:pt idx="368">
                  <c:v>-45.311732466852817</c:v>
                </c:pt>
                <c:pt idx="369">
                  <c:v>-45.418551731875468</c:v>
                </c:pt>
                <c:pt idx="370">
                  <c:v>-45.524732498603186</c:v>
                </c:pt>
                <c:pt idx="371">
                  <c:v>-45.630282482373204</c:v>
                </c:pt>
                <c:pt idx="372">
                  <c:v>-45.735209260936216</c:v>
                </c:pt>
                <c:pt idx="373">
                  <c:v>-45.839520277688393</c:v>
                </c:pt>
                <c:pt idx="374">
                  <c:v>-45.943222844809881</c:v>
                </c:pt>
                <c:pt idx="375">
                  <c:v>-46.046324146312685</c:v>
                </c:pt>
                <c:pt idx="376">
                  <c:v>-46.148831241001346</c:v>
                </c:pt>
                <c:pt idx="377">
                  <c:v>-46.250751065349085</c:v>
                </c:pt>
                <c:pt idx="378">
                  <c:v>-46.352090436292457</c:v>
                </c:pt>
                <c:pt idx="379">
                  <c:v>-46.452856053947123</c:v>
                </c:pt>
                <c:pt idx="380">
                  <c:v>-46.553054504247498</c:v>
                </c:pt>
                <c:pt idx="381">
                  <c:v>-46.652692261512676</c:v>
                </c:pt>
                <c:pt idx="382">
                  <c:v>-46.751775690941109</c:v>
                </c:pt>
                <c:pt idx="383">
                  <c:v>-46.850311051036471</c:v>
                </c:pt>
                <c:pt idx="384">
                  <c:v>-46.948304495966809</c:v>
                </c:pt>
                <c:pt idx="385">
                  <c:v>-47.045762077859258</c:v>
                </c:pt>
                <c:pt idx="386">
                  <c:v>-47.142689749032357</c:v>
                </c:pt>
                <c:pt idx="387">
                  <c:v>-47.239093364168035</c:v>
                </c:pt>
                <c:pt idx="388">
                  <c:v>-47.334978682425053</c:v>
                </c:pt>
                <c:pt idx="389">
                  <c:v>-47.430351369496023</c:v>
                </c:pt>
                <c:pt idx="390">
                  <c:v>-47.525216999609519</c:v>
                </c:pt>
                <c:pt idx="391">
                  <c:v>-47.619581057479166</c:v>
                </c:pt>
                <c:pt idx="392">
                  <c:v>-47.713448940201395</c:v>
                </c:pt>
                <c:pt idx="393">
                  <c:v>-47.806825959103406</c:v>
                </c:pt>
                <c:pt idx="394">
                  <c:v>-47.899717341542797</c:v>
                </c:pt>
                <c:pt idx="395">
                  <c:v>-47.992128232660647</c:v>
                </c:pt>
                <c:pt idx="396">
                  <c:v>-48.084063697089157</c:v>
                </c:pt>
                <c:pt idx="397">
                  <c:v>-48.175528720615411</c:v>
                </c:pt>
                <c:pt idx="398">
                  <c:v>-48.266528211802601</c:v>
                </c:pt>
                <c:pt idx="399">
                  <c:v>-48.357067003570016</c:v>
                </c:pt>
                <c:pt idx="400">
                  <c:v>-48.447149854732857</c:v>
                </c:pt>
                <c:pt idx="401">
                  <c:v>-48.53678145150343</c:v>
                </c:pt>
                <c:pt idx="402">
                  <c:v>-48.625966408954504</c:v>
                </c:pt>
                <c:pt idx="403">
                  <c:v>-48.714709272446221</c:v>
                </c:pt>
                <c:pt idx="404">
                  <c:v>-48.803014519017566</c:v>
                </c:pt>
                <c:pt idx="405">
                  <c:v>-48.890886558743354</c:v>
                </c:pt>
                <c:pt idx="406">
                  <c:v>-48.978329736057887</c:v>
                </c:pt>
                <c:pt idx="407">
                  <c:v>-49.065348331046167</c:v>
                </c:pt>
                <c:pt idx="408">
                  <c:v>-49.151946560703614</c:v>
                </c:pt>
                <c:pt idx="409">
                  <c:v>-49.238128580165267</c:v>
                </c:pt>
                <c:pt idx="410">
                  <c:v>-49.323898483905246</c:v>
                </c:pt>
                <c:pt idx="411">
                  <c:v>-49.409260306907399</c:v>
                </c:pt>
                <c:pt idx="412">
                  <c:v>-49.494218025808003</c:v>
                </c:pt>
                <c:pt idx="413">
                  <c:v>-49.578775560011138</c:v>
                </c:pt>
                <c:pt idx="414">
                  <c:v>-49.662936772777719</c:v>
                </c:pt>
                <c:pt idx="415">
                  <c:v>-49.746705472288824</c:v>
                </c:pt>
                <c:pt idx="416">
                  <c:v>-49.830085412683964</c:v>
                </c:pt>
                <c:pt idx="417">
                  <c:v>-49.91308029507519</c:v>
                </c:pt>
                <c:pt idx="418">
                  <c:v>-49.995693768537507</c:v>
                </c:pt>
                <c:pt idx="419">
                  <c:v>-50.077929431076413</c:v>
                </c:pt>
                <c:pt idx="420">
                  <c:v>-50.159790830573044</c:v>
                </c:pt>
                <c:pt idx="421">
                  <c:v>-50.241281465707743</c:v>
                </c:pt>
                <c:pt idx="422">
                  <c:v>-50.322404786862329</c:v>
                </c:pt>
                <c:pt idx="423">
                  <c:v>-50.403164197002013</c:v>
                </c:pt>
                <c:pt idx="424">
                  <c:v>-50.483563052537278</c:v>
                </c:pt>
                <c:pt idx="425">
                  <c:v>-50.563604664166213</c:v>
                </c:pt>
                <c:pt idx="426">
                  <c:v>-50.643292297698139</c:v>
                </c:pt>
                <c:pt idx="427">
                  <c:v>-50.722629174858575</c:v>
                </c:pt>
                <c:pt idx="428">
                  <c:v>-50.801618474076513</c:v>
                </c:pt>
                <c:pt idx="429">
                  <c:v>-50.880263331254071</c:v>
                </c:pt>
                <c:pt idx="430">
                  <c:v>-50.958566840519303</c:v>
                </c:pt>
                <c:pt idx="431">
                  <c:v>-51.036532054962279</c:v>
                </c:pt>
                <c:pt idx="432">
                  <c:v>-51.114161987355274</c:v>
                </c:pt>
                <c:pt idx="433">
                  <c:v>-51.191459610857173</c:v>
                </c:pt>
                <c:pt idx="434">
                  <c:v>-51.268427859702477</c:v>
                </c:pt>
                <c:pt idx="435">
                  <c:v>-51.345069629875667</c:v>
                </c:pt>
                <c:pt idx="436">
                  <c:v>-51.421387779770868</c:v>
                </c:pt>
                <c:pt idx="437">
                  <c:v>-51.497385130837429</c:v>
                </c:pt>
                <c:pt idx="438">
                  <c:v>-51.573064468211804</c:v>
                </c:pt>
                <c:pt idx="439">
                  <c:v>-51.648428541335932</c:v>
                </c:pt>
                <c:pt idx="440">
                  <c:v>-51.723480064562573</c:v>
                </c:pt>
                <c:pt idx="441">
                  <c:v>-51.79822171774785</c:v>
                </c:pt>
                <c:pt idx="442">
                  <c:v>-51.87265614683146</c:v>
                </c:pt>
                <c:pt idx="443">
                  <c:v>-51.946785964404619</c:v>
                </c:pt>
                <c:pt idx="444">
                  <c:v>-52.020613750266314</c:v>
                </c:pt>
                <c:pt idx="445">
                  <c:v>-52.094142051967992</c:v>
                </c:pt>
                <c:pt idx="446">
                  <c:v>-52.167373385346956</c:v>
                </c:pt>
                <c:pt idx="447">
                  <c:v>-52.240310235048888</c:v>
                </c:pt>
                <c:pt idx="448">
                  <c:v>-52.312955055039573</c:v>
                </c:pt>
                <c:pt idx="449">
                  <c:v>-52.385310269106299</c:v>
                </c:pt>
                <c:pt idx="450">
                  <c:v>-52.457378271348986</c:v>
                </c:pt>
                <c:pt idx="451">
                  <c:v>-52.529161426661418</c:v>
                </c:pt>
                <c:pt idx="452">
                  <c:v>-52.600662071202784</c:v>
                </c:pt>
                <c:pt idx="453">
                  <c:v>-52.67188251285976</c:v>
                </c:pt>
                <c:pt idx="454">
                  <c:v>-52.742825031699311</c:v>
                </c:pt>
                <c:pt idx="455">
                  <c:v>-52.813491880412556</c:v>
                </c:pt>
                <c:pt idx="456">
                  <c:v>-52.883885284749759</c:v>
                </c:pt>
                <c:pt idx="457">
                  <c:v>-52.954007443946757</c:v>
                </c:pt>
                <c:pt idx="458">
                  <c:v>-53.023860531142986</c:v>
                </c:pt>
                <c:pt idx="459">
                  <c:v>-53.093446693791378</c:v>
                </c:pt>
                <c:pt idx="460">
                  <c:v>-53.162768054060138</c:v>
                </c:pt>
                <c:pt idx="461">
                  <c:v>-53.23182670922678</c:v>
                </c:pt>
                <c:pt idx="462">
                  <c:v>-53.300624732064541</c:v>
                </c:pt>
                <c:pt idx="463">
                  <c:v>-53.369164171221314</c:v>
                </c:pt>
                <c:pt idx="464">
                  <c:v>-53.437447051591221</c:v>
                </c:pt>
                <c:pt idx="465">
                  <c:v>-53.505475374679264</c:v>
                </c:pt>
                <c:pt idx="466">
                  <c:v>-53.573251118958794</c:v>
                </c:pt>
                <c:pt idx="467">
                  <c:v>-53.640776240222301</c:v>
                </c:pt>
                <c:pt idx="468">
                  <c:v>-53.708052671925586</c:v>
                </c:pt>
                <c:pt idx="469">
                  <c:v>-53.775082325525347</c:v>
                </c:pt>
                <c:pt idx="470">
                  <c:v>-53.841867090810481</c:v>
                </c:pt>
                <c:pt idx="471">
                  <c:v>-53.908408836227181</c:v>
                </c:pt>
                <c:pt idx="472">
                  <c:v>-53.974709409197921</c:v>
                </c:pt>
                <c:pt idx="473">
                  <c:v>-54.040770636434587</c:v>
                </c:pt>
                <c:pt idx="474">
                  <c:v>-54.106594324245705</c:v>
                </c:pt>
                <c:pt idx="475">
                  <c:v>-54.172182258838106</c:v>
                </c:pt>
                <c:pt idx="476">
                  <c:v>-54.237536206612951</c:v>
                </c:pt>
                <c:pt idx="477">
                  <c:v>-54.302657914456418</c:v>
                </c:pt>
                <c:pt idx="478">
                  <c:v>-54.367549110024981</c:v>
                </c:pt>
                <c:pt idx="479">
                  <c:v>-54.432211502025602</c:v>
                </c:pt>
                <c:pt idx="480">
                  <c:v>-54.496646780490792</c:v>
                </c:pt>
                <c:pt idx="481">
                  <c:v>-54.560856617048721</c:v>
                </c:pt>
                <c:pt idx="482">
                  <c:v>-54.62484266518841</c:v>
                </c:pt>
                <c:pt idx="483">
                  <c:v>-54.688606560520256</c:v>
                </c:pt>
                <c:pt idx="484">
                  <c:v>-54.752149921031886</c:v>
                </c:pt>
                <c:pt idx="485">
                  <c:v>-54.815474347339347</c:v>
                </c:pt>
                <c:pt idx="486">
                  <c:v>-54.878581422934033</c:v>
                </c:pt>
                <c:pt idx="487">
                  <c:v>-54.941472714425011</c:v>
                </c:pt>
                <c:pt idx="488">
                  <c:v>-55.00414977177735</c:v>
                </c:pt>
                <c:pt idx="489">
                  <c:v>-55.06661412854595</c:v>
                </c:pt>
                <c:pt idx="490">
                  <c:v>-55.128867302105633</c:v>
                </c:pt>
                <c:pt idx="491">
                  <c:v>-55.190910793876853</c:v>
                </c:pt>
                <c:pt idx="492">
                  <c:v>-55.252746089547813</c:v>
                </c:pt>
                <c:pt idx="493">
                  <c:v>-55.314374659292525</c:v>
                </c:pt>
                <c:pt idx="494">
                  <c:v>-55.375797957985178</c:v>
                </c:pt>
                <c:pt idx="495">
                  <c:v>-55.437017425410829</c:v>
                </c:pt>
                <c:pt idx="496">
                  <c:v>-55.498034486472463</c:v>
                </c:pt>
                <c:pt idx="497">
                  <c:v>-55.558850551394521</c:v>
                </c:pt>
                <c:pt idx="498">
                  <c:v>-55.619467015922964</c:v>
                </c:pt>
                <c:pt idx="499">
                  <c:v>-55.679885261521932</c:v>
                </c:pt>
                <c:pt idx="500">
                  <c:v>-55.740106655567146</c:v>
                </c:pt>
                <c:pt idx="501">
                  <c:v>-55.800132551535896</c:v>
                </c:pt>
                <c:pt idx="502">
                  <c:v>-55.859964289194025</c:v>
                </c:pt>
                <c:pt idx="503">
                  <c:v>-55.919603194779654</c:v>
                </c:pt>
                <c:pt idx="504">
                  <c:v>-55.979050581183863</c:v>
                </c:pt>
                <c:pt idx="505">
                  <c:v>-56.038307748128446</c:v>
                </c:pt>
                <c:pt idx="506">
                  <c:v>-56.09737598234058</c:v>
                </c:pt>
                <c:pt idx="507">
                  <c:v>-56.156256557724753</c:v>
                </c:pt>
                <c:pt idx="508">
                  <c:v>-56.214950735531772</c:v>
                </c:pt>
                <c:pt idx="509">
                  <c:v>-56.273459764525029</c:v>
                </c:pt>
                <c:pt idx="510">
                  <c:v>-56.331784881144003</c:v>
                </c:pt>
                <c:pt idx="511">
                  <c:v>-56.389927309665175</c:v>
                </c:pt>
                <c:pt idx="512">
                  <c:v>-56.44788826236028</c:v>
                </c:pt>
                <c:pt idx="513">
                  <c:v>-56.505668939651969</c:v>
                </c:pt>
                <c:pt idx="514">
                  <c:v>-56.563270530267012</c:v>
                </c:pt>
                <c:pt idx="515">
                  <c:v>-56.620694211387033</c:v>
                </c:pt>
                <c:pt idx="516">
                  <c:v>-56.67794114879672</c:v>
                </c:pt>
                <c:pt idx="517">
                  <c:v>-56.735012497029857</c:v>
                </c:pt>
                <c:pt idx="518">
                  <c:v>-56.791909399512846</c:v>
                </c:pt>
                <c:pt idx="519">
                  <c:v>-56.848632988706044</c:v>
                </c:pt>
                <c:pt idx="520">
                  <c:v>-56.905184386242844</c:v>
                </c:pt>
                <c:pt idx="521">
                  <c:v>-56.961564703066529</c:v>
                </c:pt>
                <c:pt idx="522">
                  <c:v>-57.017775039565009</c:v>
                </c:pt>
                <c:pt idx="523">
                  <c:v>-57.073816485703468</c:v>
                </c:pt>
                <c:pt idx="524">
                  <c:v>-57.129690121154802</c:v>
                </c:pt>
                <c:pt idx="525">
                  <c:v>-57.185397015428237</c:v>
                </c:pt>
                <c:pt idx="526">
                  <c:v>-57.240938227995734</c:v>
                </c:pt>
                <c:pt idx="527">
                  <c:v>-57.296314808416547</c:v>
                </c:pt>
                <c:pt idx="528">
                  <c:v>-57.351527796459905</c:v>
                </c:pt>
                <c:pt idx="529">
                  <c:v>-57.406578222225633</c:v>
                </c:pt>
                <c:pt idx="530">
                  <c:v>-57.461467106263093</c:v>
                </c:pt>
                <c:pt idx="531">
                  <c:v>-57.516195459688234</c:v>
                </c:pt>
                <c:pt idx="532">
                  <c:v>-57.570764284298797</c:v>
                </c:pt>
                <c:pt idx="533">
                  <c:v>-57.625174572687918</c:v>
                </c:pt>
                <c:pt idx="534">
                  <c:v>-57.679427308355827</c:v>
                </c:pt>
                <c:pt idx="535">
                  <c:v>-57.733523465819985</c:v>
                </c:pt>
                <c:pt idx="536">
                  <c:v>-57.787464010723532</c:v>
                </c:pt>
                <c:pt idx="537">
                  <c:v>-57.841249899942056</c:v>
                </c:pt>
                <c:pt idx="538">
                  <c:v>-57.894882081688841</c:v>
                </c:pt>
                <c:pt idx="539">
                  <c:v>-57.948361495618457</c:v>
                </c:pt>
                <c:pt idx="540">
                  <c:v>-58.001689072928862</c:v>
                </c:pt>
                <c:pt idx="541">
                  <c:v>-58.05486573646202</c:v>
                </c:pt>
                <c:pt idx="542">
                  <c:v>-58.107892400802861</c:v>
                </c:pt>
                <c:pt idx="543">
                  <c:v>-58.160769972377047</c:v>
                </c:pt>
                <c:pt idx="544">
                  <c:v>-58.213499349547028</c:v>
                </c:pt>
                <c:pt idx="545">
                  <c:v>-58.26608142270689</c:v>
                </c:pt>
                <c:pt idx="546">
                  <c:v>-58.318517074375706</c:v>
                </c:pt>
                <c:pt idx="547">
                  <c:v>-58.370807179289514</c:v>
                </c:pt>
                <c:pt idx="548">
                  <c:v>-58.422952604492068</c:v>
                </c:pt>
                <c:pt idx="549">
                  <c:v>-58.474954209424155</c:v>
                </c:pt>
                <c:pt idx="550">
                  <c:v>-58.526812846011637</c:v>
                </c:pt>
                <c:pt idx="551">
                  <c:v>-58.578529358752299</c:v>
                </c:pt>
                <c:pt idx="552">
                  <c:v>-58.630104584801401</c:v>
                </c:pt>
                <c:pt idx="553">
                  <c:v>-58.681539354055907</c:v>
                </c:pt>
                <c:pt idx="554">
                  <c:v>-58.732834489237725</c:v>
                </c:pt>
                <c:pt idx="555">
                  <c:v>-58.783990805975549</c:v>
                </c:pt>
                <c:pt idx="556">
                  <c:v>-58.835009112885629</c:v>
                </c:pt>
                <c:pt idx="557">
                  <c:v>-58.885890211651429</c:v>
                </c:pt>
                <c:pt idx="558">
                  <c:v>-58.936634897102074</c:v>
                </c:pt>
                <c:pt idx="559">
                  <c:v>-58.987243957289763</c:v>
                </c:pt>
                <c:pt idx="560">
                  <c:v>-59.037718173566049</c:v>
                </c:pt>
                <c:pt idx="561">
                  <c:v>-59.088058320657055</c:v>
                </c:pt>
                <c:pt idx="562">
                  <c:v>-59.138265166737661</c:v>
                </c:pt>
                <c:pt idx="563">
                  <c:v>-59.188339473504655</c:v>
                </c:pt>
                <c:pt idx="564">
                  <c:v>-59.238281996248816</c:v>
                </c:pt>
                <c:pt idx="565">
                  <c:v>-59.288093483926055</c:v>
                </c:pt>
                <c:pt idx="566">
                  <c:v>-59.33777467922755</c:v>
                </c:pt>
                <c:pt idx="567">
                  <c:v>-59.387326318648931</c:v>
                </c:pt>
                <c:pt idx="568">
                  <c:v>-59.43674913255844</c:v>
                </c:pt>
                <c:pt idx="569">
                  <c:v>-59.486043845264298</c:v>
                </c:pt>
                <c:pt idx="570">
                  <c:v>-59.535211175080988</c:v>
                </c:pt>
                <c:pt idx="571">
                  <c:v>-59.584251834394749</c:v>
                </c:pt>
                <c:pt idx="572">
                  <c:v>-59.633166529728143</c:v>
                </c:pt>
                <c:pt idx="573">
                  <c:v>-59.681955961803716</c:v>
                </c:pt>
                <c:pt idx="574">
                  <c:v>-59.730620825606842</c:v>
                </c:pt>
                <c:pt idx="575">
                  <c:v>-59.779161810447697</c:v>
                </c:pt>
                <c:pt idx="576">
                  <c:v>-59.827579600022425</c:v>
                </c:pt>
                <c:pt idx="577">
                  <c:v>-59.875874872473425</c:v>
                </c:pt>
                <c:pt idx="578">
                  <c:v>-59.924048300448874</c:v>
                </c:pt>
                <c:pt idx="579">
                  <c:v>-59.972100551161482</c:v>
                </c:pt>
                <c:pt idx="580">
                  <c:v>-60.02003228644638</c:v>
                </c:pt>
                <c:pt idx="581">
                  <c:v>-60.067844162818318</c:v>
                </c:pt>
                <c:pt idx="582">
                  <c:v>-60.115536831528082</c:v>
                </c:pt>
                <c:pt idx="583">
                  <c:v>-60.163110938618154</c:v>
                </c:pt>
                <c:pt idx="584">
                  <c:v>-60.210567124977608</c:v>
                </c:pt>
                <c:pt idx="585">
                  <c:v>-60.257906026396384</c:v>
                </c:pt>
                <c:pt idx="586">
                  <c:v>-60.305128273618763</c:v>
                </c:pt>
                <c:pt idx="587">
                  <c:v>-60.352234492396157</c:v>
                </c:pt>
                <c:pt idx="588">
                  <c:v>-60.399225303539197</c:v>
                </c:pt>
                <c:pt idx="589">
                  <c:v>-60.446101322969213</c:v>
                </c:pt>
                <c:pt idx="590">
                  <c:v>-60.492863161769023</c:v>
                </c:pt>
                <c:pt idx="591">
                  <c:v>-60.539511426232949</c:v>
                </c:pt>
                <c:pt idx="592">
                  <c:v>-60.586046717916375</c:v>
                </c:pt>
                <c:pt idx="593">
                  <c:v>-60.632469633684529</c:v>
                </c:pt>
                <c:pt idx="594">
                  <c:v>-60.678780765760663</c:v>
                </c:pt>
                <c:pt idx="595">
                  <c:v>-60.724980701773703</c:v>
                </c:pt>
                <c:pt idx="596">
                  <c:v>-60.771070024805162</c:v>
                </c:pt>
                <c:pt idx="597">
                  <c:v>-60.817049313435533</c:v>
                </c:pt>
                <c:pt idx="598">
                  <c:v>-60.862919141790101</c:v>
                </c:pt>
                <c:pt idx="599">
                  <c:v>-60.908680079584101</c:v>
                </c:pt>
                <c:pt idx="600">
                  <c:v>-60.954332692167405</c:v>
                </c:pt>
                <c:pt idx="601">
                  <c:v>-60.999877540568576</c:v>
                </c:pt>
                <c:pt idx="602">
                  <c:v>-61.045315181538349</c:v>
                </c:pt>
                <c:pt idx="603">
                  <c:v>-61.090646167592666</c:v>
                </c:pt>
                <c:pt idx="604">
                  <c:v>-61.135871047055083</c:v>
                </c:pt>
                <c:pt idx="605">
                  <c:v>-61.180990364098626</c:v>
                </c:pt>
                <c:pt idx="606">
                  <c:v>-63.31329381187895</c:v>
                </c:pt>
                <c:pt idx="607">
                  <c:v>-65.238075677012958</c:v>
                </c:pt>
                <c:pt idx="608">
                  <c:v>-66.995949239191091</c:v>
                </c:pt>
                <c:pt idx="609">
                  <c:v>-68.616746869501895</c:v>
                </c:pt>
                <c:pt idx="610">
                  <c:v>-70.122983499609447</c:v>
                </c:pt>
                <c:pt idx="611">
                  <c:v>-71.53203597687407</c:v>
                </c:pt>
                <c:pt idx="612">
                  <c:v>-72.85757074829904</c:v>
                </c:pt>
                <c:pt idx="613">
                  <c:v>-74.110511148008072</c:v>
                </c:pt>
                <c:pt idx="614">
                  <c:v>-75.299711697635445</c:v>
                </c:pt>
                <c:pt idx="615">
                  <c:v>-76.432439751263828</c:v>
                </c:pt>
                <c:pt idx="616">
                  <c:v>-77.514726820811134</c:v>
                </c:pt>
                <c:pt idx="617">
                  <c:v>-78.551629545312878</c:v>
                </c:pt>
                <c:pt idx="618">
                  <c:v>-78.953847292882728</c:v>
                </c:pt>
                <c:pt idx="619">
                  <c:v>-79.349751484059809</c:v>
                </c:pt>
                <c:pt idx="620">
                  <c:v>-79.739572339310584</c:v>
                </c:pt>
                <c:pt idx="621">
                  <c:v>-80.123526426041678</c:v>
                </c:pt>
                <c:pt idx="622">
                  <c:v>-80.501817718788715</c:v>
                </c:pt>
                <c:pt idx="623">
                  <c:v>-80.87463856144511</c:v>
                </c:pt>
                <c:pt idx="624">
                  <c:v>-81.242170541966047</c:v>
                </c:pt>
                <c:pt idx="625">
                  <c:v>-81.604585288715867</c:v>
                </c:pt>
                <c:pt idx="626">
                  <c:v>-81.962045196533055</c:v>
                </c:pt>
                <c:pt idx="627">
                  <c:v>-82.314704089641083</c:v>
                </c:pt>
                <c:pt idx="628">
                  <c:v>-82.662707827711642</c:v>
                </c:pt>
                <c:pt idx="629">
                  <c:v>-83.00619486067221</c:v>
                </c:pt>
                <c:pt idx="630">
                  <c:v>-83.345296737227073</c:v>
                </c:pt>
                <c:pt idx="631">
                  <c:v>-83.680138571514377</c:v>
                </c:pt>
                <c:pt idx="632">
                  <c:v>-84.010839471845742</c:v>
                </c:pt>
                <c:pt idx="633">
                  <c:v>-84.337512935053653</c:v>
                </c:pt>
                <c:pt idx="634">
                  <c:v>-84.660267209602665</c:v>
                </c:pt>
                <c:pt idx="635">
                  <c:v>-84.979205630294885</c:v>
                </c:pt>
                <c:pt idx="636">
                  <c:v>-85.294426927110706</c:v>
                </c:pt>
                <c:pt idx="637">
                  <c:v>-85.606025510471227</c:v>
                </c:pt>
                <c:pt idx="638">
                  <c:v>-85.914091734981611</c:v>
                </c:pt>
                <c:pt idx="639">
                  <c:v>-86.218712143512988</c:v>
                </c:pt>
                <c:pt idx="640">
                  <c:v>-86.519969693300979</c:v>
                </c:pt>
                <c:pt idx="641">
                  <c:v>-86.817943965578792</c:v>
                </c:pt>
                <c:pt idx="642">
                  <c:v>-87.112711360119377</c:v>
                </c:pt>
                <c:pt idx="643">
                  <c:v>-87.404345275932826</c:v>
                </c:pt>
                <c:pt idx="644">
                  <c:v>-87.692916279250994</c:v>
                </c:pt>
                <c:pt idx="645">
                  <c:v>-87.978492259826936</c:v>
                </c:pt>
                <c:pt idx="646">
                  <c:v>-88.26113857648528</c:v>
                </c:pt>
                <c:pt idx="647">
                  <c:v>-88.540918192774967</c:v>
                </c:pt>
                <c:pt idx="648">
                  <c:v>-88.817891803501567</c:v>
                </c:pt>
                <c:pt idx="649">
                  <c:v>-89.092117952847644</c:v>
                </c:pt>
                <c:pt idx="650">
                  <c:v>-89.363653144728644</c:v>
                </c:pt>
                <c:pt idx="651">
                  <c:v>-89.632551945976203</c:v>
                </c:pt>
                <c:pt idx="652">
                  <c:v>-89.898867082890504</c:v>
                </c:pt>
                <c:pt idx="653">
                  <c:v>-90.162649531657536</c:v>
                </c:pt>
                <c:pt idx="654">
                  <c:v>-90.423948603086032</c:v>
                </c:pt>
                <c:pt idx="655">
                  <c:v>-90.682812022080981</c:v>
                </c:pt>
                <c:pt idx="656">
                  <c:v>-90.939286002236656</c:v>
                </c:pt>
                <c:pt idx="657">
                  <c:v>-91.193415315900879</c:v>
                </c:pt>
                <c:pt idx="658">
                  <c:v>-91.445243360033871</c:v>
                </c:pt>
                <c:pt idx="659">
                  <c:v>-91.694812218159413</c:v>
                </c:pt>
                <c:pt idx="660">
                  <c:v>-91.942162718682127</c:v>
                </c:pt>
                <c:pt idx="661">
                  <c:v>-92.187334489823485</c:v>
                </c:pt>
                <c:pt idx="662">
                  <c:v>-92.430366011409347</c:v>
                </c:pt>
                <c:pt idx="663">
                  <c:v>-92.6712946637236</c:v>
                </c:pt>
                <c:pt idx="664">
                  <c:v>-92.910156773626539</c:v>
                </c:pt>
                <c:pt idx="665">
                  <c:v>-93.14698765812102</c:v>
                </c:pt>
                <c:pt idx="666">
                  <c:v>-93.381821665535639</c:v>
                </c:pt>
                <c:pt idx="667">
                  <c:v>-93.614692214482005</c:v>
                </c:pt>
              </c:numCache>
            </c:numRef>
          </c:yVal>
          <c:smooth val="1"/>
          <c:extLst>
            <c:ext xmlns:c16="http://schemas.microsoft.com/office/drawing/2014/chart" uri="{C3380CC4-5D6E-409C-BE32-E72D297353CC}">
              <c16:uniqueId val="{00000000-BED3-43CF-9D4A-81AF6A44D307}"/>
            </c:ext>
          </c:extLst>
        </c:ser>
        <c:ser>
          <c:idx val="5"/>
          <c:order val="2"/>
          <c:tx>
            <c:v>LC Double Pole</c:v>
          </c:tx>
          <c:spPr>
            <a:ln w="28575">
              <a:solidFill>
                <a:schemeClr val="tx1"/>
              </a:solidFill>
            </a:ln>
          </c:spPr>
          <c:marker>
            <c:symbol val="x"/>
            <c:size val="8"/>
            <c:spPr>
              <a:noFill/>
              <a:ln w="22225">
                <a:solidFill>
                  <a:schemeClr val="tx1"/>
                </a:solidFill>
              </a:ln>
            </c:spPr>
          </c:marker>
          <c:dLbls>
            <c:dLbl>
              <c:idx val="0"/>
              <c:layout>
                <c:manualLayout>
                  <c:x val="5.9616632195422774E-3"/>
                  <c:y val="0"/>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BED3-43CF-9D4A-81AF6A44D307}"/>
                </c:ext>
              </c:extLst>
            </c:dLbl>
            <c:spPr>
              <a:noFill/>
              <a:ln w="25400">
                <a:noFill/>
              </a:ln>
            </c:spPr>
            <c:txPr>
              <a:bodyPr rot="0"/>
              <a:lstStyle/>
              <a:p>
                <a:pPr algn="ctr" rtl="0">
                  <a:defRPr sz="1000" b="1" i="0" u="none" strike="noStrike" baseline="0">
                    <a:solidFill>
                      <a:srgbClr val="000000"/>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Calculations'!$B$683</c:f>
              <c:numCache>
                <c:formatCode>General</c:formatCode>
                <c:ptCount val="1"/>
                <c:pt idx="0">
                  <c:v>5.0785136278873315</c:v>
                </c:pt>
              </c:numCache>
            </c:numRef>
          </c:xVal>
          <c:yVal>
            <c:numRef>
              <c:f>'Bode Plots Calculations'!$BF$683</c:f>
              <c:numCache>
                <c:formatCode>General</c:formatCode>
                <c:ptCount val="1"/>
                <c:pt idx="0">
                  <c:v>29.945195471576614</c:v>
                </c:pt>
              </c:numCache>
            </c:numRef>
          </c:yVal>
          <c:smooth val="1"/>
          <c:extLst>
            <c:ext xmlns:c16="http://schemas.microsoft.com/office/drawing/2014/chart" uri="{C3380CC4-5D6E-409C-BE32-E72D297353CC}">
              <c16:uniqueId val="{00000002-BED3-43CF-9D4A-81AF6A44D307}"/>
            </c:ext>
          </c:extLst>
        </c:ser>
        <c:ser>
          <c:idx val="6"/>
          <c:order val="3"/>
          <c:tx>
            <c:v>Fz1</c:v>
          </c:tx>
          <c:spPr>
            <a:ln w="28575">
              <a:noFill/>
            </a:ln>
          </c:spPr>
          <c:marker>
            <c:symbol val="circle"/>
            <c:size val="8"/>
            <c:spPr>
              <a:noFill/>
              <a:ln w="19050">
                <a:solidFill>
                  <a:srgbClr val="000000"/>
                </a:solidFill>
                <a:prstDash val="solid"/>
              </a:ln>
            </c:spPr>
          </c:marker>
          <c:dLbls>
            <c:dLbl>
              <c:idx val="0"/>
              <c:tx>
                <c:rich>
                  <a:bodyPr/>
                  <a:lstStyle/>
                  <a:p>
                    <a:r>
                      <a:rPr lang="en-US">
                        <a:solidFill>
                          <a:srgbClr val="0000FF"/>
                        </a:solidFill>
                      </a:rPr>
                      <a:t>F</a:t>
                    </a:r>
                    <a:r>
                      <a:rPr lang="en-US" baseline="-25000"/>
                      <a:t>Z1</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Calculations'!$B$684</c:f>
              <c:numCache>
                <c:formatCode>General</c:formatCode>
                <c:ptCount val="1"/>
                <c:pt idx="0">
                  <c:v>3.9102487168629652</c:v>
                </c:pt>
              </c:numCache>
            </c:numRef>
          </c:xVal>
          <c:yVal>
            <c:numRef>
              <c:f>'Bode Plots Calculations'!$BF$684</c:f>
              <c:numCache>
                <c:formatCode>General</c:formatCode>
                <c:ptCount val="1"/>
                <c:pt idx="0">
                  <c:v>26.761255537134939</c:v>
                </c:pt>
              </c:numCache>
            </c:numRef>
          </c:yVal>
          <c:smooth val="1"/>
          <c:extLst>
            <c:ext xmlns:c16="http://schemas.microsoft.com/office/drawing/2014/chart" uri="{C3380CC4-5D6E-409C-BE32-E72D297353CC}">
              <c16:uniqueId val="{00000004-BED3-43CF-9D4A-81AF6A44D307}"/>
            </c:ext>
          </c:extLst>
        </c:ser>
        <c:ser>
          <c:idx val="7"/>
          <c:order val="4"/>
          <c:tx>
            <c:v>Fz2</c:v>
          </c:tx>
          <c:spPr>
            <a:ln w="28575">
              <a:noFill/>
            </a:ln>
          </c:spPr>
          <c:marker>
            <c:symbol val="circle"/>
            <c:size val="8"/>
            <c:spPr>
              <a:noFill/>
              <a:ln w="19050" cap="rnd">
                <a:solidFill>
                  <a:srgbClr val="000000"/>
                </a:solidFill>
                <a:prstDash val="solid"/>
                <a:round/>
              </a:ln>
            </c:spPr>
          </c:marker>
          <c:dLbls>
            <c:dLbl>
              <c:idx val="0"/>
              <c:tx>
                <c:rich>
                  <a:bodyPr/>
                  <a:lstStyle/>
                  <a:p>
                    <a:r>
                      <a:rPr lang="en-US">
                        <a:solidFill>
                          <a:srgbClr val="0000FF"/>
                        </a:solidFill>
                      </a:rPr>
                      <a:t>F</a:t>
                    </a:r>
                    <a:r>
                      <a:rPr lang="en-US" baseline="-25000"/>
                      <a:t>Z2</a:t>
                    </a:r>
                  </a:p>
                </c:rich>
              </c:tx>
              <c:dLblPos val="b"/>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Calculations'!$B$685</c:f>
              <c:numCache>
                <c:formatCode>General</c:formatCode>
                <c:ptCount val="1"/>
                <c:pt idx="0">
                  <c:v>4.6200163509465106</c:v>
                </c:pt>
              </c:numCache>
            </c:numRef>
          </c:xVal>
          <c:yVal>
            <c:numRef>
              <c:f>'Bode Plots Calculations'!$BF$685</c:f>
              <c:numCache>
                <c:formatCode>General</c:formatCode>
                <c:ptCount val="1"/>
                <c:pt idx="0">
                  <c:v>29.485539069843366</c:v>
                </c:pt>
              </c:numCache>
            </c:numRef>
          </c:yVal>
          <c:smooth val="1"/>
          <c:extLst>
            <c:ext xmlns:c16="http://schemas.microsoft.com/office/drawing/2014/chart" uri="{C3380CC4-5D6E-409C-BE32-E72D297353CC}">
              <c16:uniqueId val="{00000006-BED3-43CF-9D4A-81AF6A44D307}"/>
            </c:ext>
          </c:extLst>
        </c:ser>
        <c:ser>
          <c:idx val="8"/>
          <c:order val="5"/>
          <c:tx>
            <c:v>Fp1</c:v>
          </c:tx>
          <c:spPr>
            <a:ln w="28575">
              <a:noFill/>
            </a:ln>
          </c:spPr>
          <c:marker>
            <c:symbol val="x"/>
            <c:size val="8"/>
            <c:spPr>
              <a:noFill/>
              <a:ln w="22225">
                <a:solidFill>
                  <a:srgbClr val="000000"/>
                </a:solidFill>
                <a:prstDash val="solid"/>
              </a:ln>
            </c:spPr>
          </c:marker>
          <c:dLbls>
            <c:dLbl>
              <c:idx val="0"/>
              <c:tx>
                <c:rich>
                  <a:bodyPr/>
                  <a:lstStyle/>
                  <a:p>
                    <a:r>
                      <a:rPr lang="en-US">
                        <a:solidFill>
                          <a:srgbClr val="0000FF"/>
                        </a:solidFill>
                      </a:rPr>
                      <a:t>F</a:t>
                    </a:r>
                    <a:r>
                      <a:rPr lang="en-US" baseline="-25000"/>
                      <a:t>P1</a:t>
                    </a:r>
                  </a:p>
                </c:rich>
              </c:tx>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Calculations'!$B$686</c:f>
              <c:numCache>
                <c:formatCode>General</c:formatCode>
                <c:ptCount val="1"/>
                <c:pt idx="0">
                  <c:v>122.52112646170623</c:v>
                </c:pt>
              </c:numCache>
            </c:numRef>
          </c:xVal>
          <c:yVal>
            <c:numRef>
              <c:f>'Bode Plots Calculations'!$BF$686</c:f>
              <c:numCache>
                <c:formatCode>General</c:formatCode>
                <c:ptCount val="1"/>
                <c:pt idx="0">
                  <c:v>-14.001561270302968</c:v>
                </c:pt>
              </c:numCache>
            </c:numRef>
          </c:yVal>
          <c:smooth val="1"/>
          <c:extLst>
            <c:ext xmlns:c16="http://schemas.microsoft.com/office/drawing/2014/chart" uri="{C3380CC4-5D6E-409C-BE32-E72D297353CC}">
              <c16:uniqueId val="{00000008-BED3-43CF-9D4A-81AF6A44D307}"/>
            </c:ext>
          </c:extLst>
        </c:ser>
        <c:ser>
          <c:idx val="9"/>
          <c:order val="6"/>
          <c:tx>
            <c:v>Fp2</c:v>
          </c:tx>
          <c:spPr>
            <a:ln w="28575">
              <a:solidFill>
                <a:schemeClr val="tx1"/>
              </a:solidFill>
            </a:ln>
          </c:spPr>
          <c:marker>
            <c:symbol val="x"/>
            <c:size val="8"/>
            <c:spPr>
              <a:noFill/>
              <a:ln w="22225">
                <a:solidFill>
                  <a:schemeClr val="tx1"/>
                </a:solidFill>
              </a:ln>
            </c:spPr>
          </c:marker>
          <c:dLbls>
            <c:dLbl>
              <c:idx val="0"/>
              <c:tx>
                <c:rich>
                  <a:bodyPr/>
                  <a:lstStyle/>
                  <a:p>
                    <a:r>
                      <a:rPr lang="en-US">
                        <a:solidFill>
                          <a:srgbClr val="0000FF"/>
                        </a:solidFill>
                      </a:rPr>
                      <a:t>F</a:t>
                    </a:r>
                    <a:r>
                      <a:rPr lang="en-US" baseline="-25000"/>
                      <a:t>P2</a:t>
                    </a:r>
                  </a:p>
                </c:rich>
              </c:tx>
              <c:dLblPos val="t"/>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ED3-43CF-9D4A-81AF6A44D307}"/>
                </c:ext>
              </c:extLst>
            </c:dLbl>
            <c:spPr>
              <a:noFill/>
              <a:ln w="25400">
                <a:noFill/>
              </a:ln>
            </c:spPr>
            <c:txPr>
              <a:bodyPr/>
              <a:lstStyle/>
              <a:p>
                <a:pPr>
                  <a:defRPr sz="1000" b="1" i="0" u="none" strike="noStrike" baseline="0">
                    <a:solidFill>
                      <a:srgbClr val="0000FF"/>
                    </a:solidFill>
                    <a:latin typeface="Arial"/>
                    <a:ea typeface="Arial"/>
                    <a:cs typeface="Arial"/>
                  </a:defRPr>
                </a:pPr>
                <a:endParaRPr lang="en-US"/>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Calculations'!$B$687</c:f>
              <c:numCache>
                <c:formatCode>General</c:formatCode>
                <c:ptCount val="1"/>
                <c:pt idx="0">
                  <c:v>157.06165679399575</c:v>
                </c:pt>
              </c:numCache>
            </c:numRef>
          </c:xVal>
          <c:yVal>
            <c:numRef>
              <c:f>'Bode Plots Calculations'!$BF$687</c:f>
              <c:numCache>
                <c:formatCode>General</c:formatCode>
                <c:ptCount val="1"/>
                <c:pt idx="0">
                  <c:v>-17.540704072035748</c:v>
                </c:pt>
              </c:numCache>
            </c:numRef>
          </c:yVal>
          <c:smooth val="1"/>
          <c:extLst>
            <c:ext xmlns:c16="http://schemas.microsoft.com/office/drawing/2014/chart" uri="{C3380CC4-5D6E-409C-BE32-E72D297353CC}">
              <c16:uniqueId val="{0000000A-BED3-43CF-9D4A-81AF6A44D307}"/>
            </c:ext>
          </c:extLst>
        </c:ser>
        <c:ser>
          <c:idx val="4"/>
          <c:order val="7"/>
          <c:tx>
            <c:v>F_ESR</c:v>
          </c:tx>
          <c:spPr>
            <a:ln w="28575">
              <a:noFill/>
            </a:ln>
          </c:spPr>
          <c:marker>
            <c:symbol val="circle"/>
            <c:size val="8"/>
            <c:spPr>
              <a:noFill/>
              <a:ln w="19050">
                <a:solidFill>
                  <a:srgbClr val="000000"/>
                </a:solidFill>
                <a:prstDash val="solid"/>
              </a:ln>
            </c:spPr>
          </c:marker>
          <c:dLbls>
            <c:dLbl>
              <c:idx val="0"/>
              <c:tx>
                <c:rich>
                  <a:bodyPr/>
                  <a:lstStyle/>
                  <a:p>
                    <a:r>
                      <a:rPr lang="en-US" b="1"/>
                      <a:t>F</a:t>
                    </a:r>
                    <a:r>
                      <a:rPr lang="en-US" baseline="-25000"/>
                      <a:t>ESR</a:t>
                    </a:r>
                  </a:p>
                </c:rich>
              </c:tx>
              <c:dLblPos val="l"/>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ED3-43CF-9D4A-81AF6A44D307}"/>
                </c:ext>
              </c:extLst>
            </c:dLbl>
            <c:spPr>
              <a:noFill/>
              <a:ln w="25400">
                <a:noFill/>
              </a:ln>
            </c:spPr>
            <c:txPr>
              <a:bodyPr/>
              <a:lstStyle/>
              <a:p>
                <a:pPr>
                  <a:defRPr sz="1000" b="1" i="0" u="none" strike="noStrike" baseline="0">
                    <a:solidFill>
                      <a:srgbClr val="000000"/>
                    </a:solidFill>
                    <a:latin typeface="Arial"/>
                    <a:ea typeface="Arial"/>
                    <a:cs typeface="Arial"/>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'Bode Plots Calculations'!$B$682</c:f>
              <c:numCache>
                <c:formatCode>General</c:formatCode>
                <c:ptCount val="1"/>
                <c:pt idx="0">
                  <c:v>120.5719267225427</c:v>
                </c:pt>
              </c:numCache>
            </c:numRef>
          </c:xVal>
          <c:yVal>
            <c:numRef>
              <c:f>'Bode Plots Calculations'!$BF$682</c:f>
              <c:numCache>
                <c:formatCode>General</c:formatCode>
                <c:ptCount val="1"/>
                <c:pt idx="0">
                  <c:v>-13.78636314150909</c:v>
                </c:pt>
              </c:numCache>
            </c:numRef>
          </c:yVal>
          <c:smooth val="1"/>
          <c:extLst>
            <c:ext xmlns:c16="http://schemas.microsoft.com/office/drawing/2014/chart" uri="{C3380CC4-5D6E-409C-BE32-E72D297353CC}">
              <c16:uniqueId val="{0000000C-BED3-43CF-9D4A-81AF6A44D307}"/>
            </c:ext>
          </c:extLst>
        </c:ser>
        <c:dLbls>
          <c:showLegendKey val="0"/>
          <c:showVal val="0"/>
          <c:showCatName val="0"/>
          <c:showSerName val="0"/>
          <c:showPercent val="0"/>
          <c:showBubbleSize val="0"/>
        </c:dLbls>
        <c:axId val="315151872"/>
        <c:axId val="315545856"/>
      </c:scatterChart>
      <c:scatterChart>
        <c:scatterStyle val="lineMarker"/>
        <c:varyColors val="0"/>
        <c:ser>
          <c:idx val="3"/>
          <c:order val="1"/>
          <c:tx>
            <c:v>Loop Phase</c:v>
          </c:tx>
          <c:spPr>
            <a:ln w="34925">
              <a:solidFill>
                <a:srgbClr val="002060"/>
              </a:solidFill>
              <a:prstDash val="sysDash"/>
            </a:ln>
          </c:spPr>
          <c:marker>
            <c:symbol val="none"/>
          </c:marker>
          <c:xVal>
            <c:numRef>
              <c:f>'Bode Plots Calculations'!$B$9:$B$676</c:f>
              <c:numCache>
                <c:formatCode>General</c:formatCode>
                <c:ptCount val="668"/>
                <c:pt idx="0">
                  <c:v>1E-3</c:v>
                </c:pt>
                <c:pt idx="1">
                  <c:v>2E-3</c:v>
                </c:pt>
                <c:pt idx="2">
                  <c:v>3.0000000000000001E-3</c:v>
                </c:pt>
                <c:pt idx="3">
                  <c:v>4.0000000000000001E-3</c:v>
                </c:pt>
                <c:pt idx="4">
                  <c:v>5.0000000000000001E-3</c:v>
                </c:pt>
                <c:pt idx="5">
                  <c:v>6.0000000000000001E-3</c:v>
                </c:pt>
                <c:pt idx="6">
                  <c:v>7.0000000000000001E-3</c:v>
                </c:pt>
                <c:pt idx="7">
                  <c:v>8.0000000000000002E-3</c:v>
                </c:pt>
                <c:pt idx="8">
                  <c:v>8.9999999999999993E-3</c:v>
                </c:pt>
                <c:pt idx="9">
                  <c:v>0.01</c:v>
                </c:pt>
                <c:pt idx="10">
                  <c:v>0.02</c:v>
                </c:pt>
                <c:pt idx="11">
                  <c:v>0.03</c:v>
                </c:pt>
                <c:pt idx="12">
                  <c:v>0.04</c:v>
                </c:pt>
                <c:pt idx="13">
                  <c:v>0.05</c:v>
                </c:pt>
                <c:pt idx="14">
                  <c:v>0.06</c:v>
                </c:pt>
                <c:pt idx="15">
                  <c:v>7.0000000000000007E-2</c:v>
                </c:pt>
                <c:pt idx="16">
                  <c:v>0.08</c:v>
                </c:pt>
                <c:pt idx="17">
                  <c:v>0.09</c:v>
                </c:pt>
                <c:pt idx="18">
                  <c:v>0.1</c:v>
                </c:pt>
                <c:pt idx="19">
                  <c:v>0.2</c:v>
                </c:pt>
                <c:pt idx="20">
                  <c:v>0.3</c:v>
                </c:pt>
                <c:pt idx="21">
                  <c:v>0.4</c:v>
                </c:pt>
                <c:pt idx="22">
                  <c:v>0.5</c:v>
                </c:pt>
                <c:pt idx="23">
                  <c:v>0.6</c:v>
                </c:pt>
                <c:pt idx="24">
                  <c:v>0.7</c:v>
                </c:pt>
                <c:pt idx="25">
                  <c:v>0.8</c:v>
                </c:pt>
                <c:pt idx="26">
                  <c:v>0.9</c:v>
                </c:pt>
                <c:pt idx="27">
                  <c:v>1</c:v>
                </c:pt>
                <c:pt idx="28">
                  <c:v>1.5</c:v>
                </c:pt>
                <c:pt idx="29">
                  <c:v>2</c:v>
                </c:pt>
                <c:pt idx="30">
                  <c:v>2.5</c:v>
                </c:pt>
                <c:pt idx="31">
                  <c:v>3</c:v>
                </c:pt>
                <c:pt idx="32">
                  <c:v>3.5</c:v>
                </c:pt>
                <c:pt idx="33">
                  <c:v>4</c:v>
                </c:pt>
                <c:pt idx="34">
                  <c:v>4.5</c:v>
                </c:pt>
                <c:pt idx="35">
                  <c:v>5</c:v>
                </c:pt>
                <c:pt idx="36">
                  <c:v>5.5</c:v>
                </c:pt>
                <c:pt idx="37">
                  <c:v>6</c:v>
                </c:pt>
                <c:pt idx="38">
                  <c:v>6.5</c:v>
                </c:pt>
                <c:pt idx="39">
                  <c:v>7</c:v>
                </c:pt>
                <c:pt idx="40">
                  <c:v>7.5</c:v>
                </c:pt>
                <c:pt idx="41">
                  <c:v>8</c:v>
                </c:pt>
                <c:pt idx="42">
                  <c:v>8.5</c:v>
                </c:pt>
                <c:pt idx="43">
                  <c:v>9</c:v>
                </c:pt>
                <c:pt idx="44">
                  <c:v>9.5</c:v>
                </c:pt>
                <c:pt idx="45">
                  <c:v>10</c:v>
                </c:pt>
                <c:pt idx="46">
                  <c:v>10.5</c:v>
                </c:pt>
                <c:pt idx="47">
                  <c:v>11</c:v>
                </c:pt>
                <c:pt idx="48">
                  <c:v>11.5</c:v>
                </c:pt>
                <c:pt idx="49">
                  <c:v>12</c:v>
                </c:pt>
                <c:pt idx="50">
                  <c:v>12.5</c:v>
                </c:pt>
                <c:pt idx="51">
                  <c:v>13</c:v>
                </c:pt>
                <c:pt idx="52">
                  <c:v>13.5</c:v>
                </c:pt>
                <c:pt idx="53">
                  <c:v>14</c:v>
                </c:pt>
                <c:pt idx="54">
                  <c:v>14.5</c:v>
                </c:pt>
                <c:pt idx="55">
                  <c:v>15</c:v>
                </c:pt>
                <c:pt idx="56">
                  <c:v>15.5</c:v>
                </c:pt>
                <c:pt idx="57">
                  <c:v>16</c:v>
                </c:pt>
                <c:pt idx="58">
                  <c:v>16.5</c:v>
                </c:pt>
                <c:pt idx="59">
                  <c:v>17</c:v>
                </c:pt>
                <c:pt idx="60">
                  <c:v>17.5</c:v>
                </c:pt>
                <c:pt idx="61">
                  <c:v>18</c:v>
                </c:pt>
                <c:pt idx="62">
                  <c:v>18.5</c:v>
                </c:pt>
                <c:pt idx="63">
                  <c:v>19</c:v>
                </c:pt>
                <c:pt idx="64">
                  <c:v>19.5</c:v>
                </c:pt>
                <c:pt idx="65">
                  <c:v>20</c:v>
                </c:pt>
                <c:pt idx="66">
                  <c:v>20.5</c:v>
                </c:pt>
                <c:pt idx="67">
                  <c:v>21</c:v>
                </c:pt>
                <c:pt idx="68">
                  <c:v>21.5</c:v>
                </c:pt>
                <c:pt idx="69">
                  <c:v>22</c:v>
                </c:pt>
                <c:pt idx="70">
                  <c:v>22.5</c:v>
                </c:pt>
                <c:pt idx="71">
                  <c:v>23</c:v>
                </c:pt>
                <c:pt idx="72">
                  <c:v>23.5</c:v>
                </c:pt>
                <c:pt idx="73">
                  <c:v>24</c:v>
                </c:pt>
                <c:pt idx="74">
                  <c:v>24.5</c:v>
                </c:pt>
                <c:pt idx="75">
                  <c:v>25</c:v>
                </c:pt>
                <c:pt idx="76">
                  <c:v>25.5</c:v>
                </c:pt>
                <c:pt idx="77">
                  <c:v>26</c:v>
                </c:pt>
                <c:pt idx="78">
                  <c:v>26.5</c:v>
                </c:pt>
                <c:pt idx="79">
                  <c:v>27</c:v>
                </c:pt>
                <c:pt idx="80">
                  <c:v>27.5</c:v>
                </c:pt>
                <c:pt idx="81">
                  <c:v>28</c:v>
                </c:pt>
                <c:pt idx="82">
                  <c:v>28.5</c:v>
                </c:pt>
                <c:pt idx="83">
                  <c:v>29</c:v>
                </c:pt>
                <c:pt idx="84">
                  <c:v>29.5</c:v>
                </c:pt>
                <c:pt idx="85">
                  <c:v>30</c:v>
                </c:pt>
                <c:pt idx="86">
                  <c:v>30.5</c:v>
                </c:pt>
                <c:pt idx="87">
                  <c:v>31</c:v>
                </c:pt>
                <c:pt idx="88">
                  <c:v>31.5</c:v>
                </c:pt>
                <c:pt idx="89">
                  <c:v>32</c:v>
                </c:pt>
                <c:pt idx="90">
                  <c:v>32.5</c:v>
                </c:pt>
                <c:pt idx="91">
                  <c:v>33</c:v>
                </c:pt>
                <c:pt idx="92">
                  <c:v>33.5</c:v>
                </c:pt>
                <c:pt idx="93">
                  <c:v>34</c:v>
                </c:pt>
                <c:pt idx="94">
                  <c:v>34.5</c:v>
                </c:pt>
                <c:pt idx="95">
                  <c:v>35</c:v>
                </c:pt>
                <c:pt idx="96">
                  <c:v>35.5</c:v>
                </c:pt>
                <c:pt idx="97">
                  <c:v>36</c:v>
                </c:pt>
                <c:pt idx="98">
                  <c:v>36.5</c:v>
                </c:pt>
                <c:pt idx="99">
                  <c:v>37</c:v>
                </c:pt>
                <c:pt idx="100">
                  <c:v>37.5</c:v>
                </c:pt>
                <c:pt idx="101">
                  <c:v>38</c:v>
                </c:pt>
                <c:pt idx="102">
                  <c:v>38.5</c:v>
                </c:pt>
                <c:pt idx="103">
                  <c:v>39</c:v>
                </c:pt>
                <c:pt idx="104">
                  <c:v>39.5</c:v>
                </c:pt>
                <c:pt idx="105">
                  <c:v>40</c:v>
                </c:pt>
                <c:pt idx="106">
                  <c:v>40.5</c:v>
                </c:pt>
                <c:pt idx="107">
                  <c:v>41</c:v>
                </c:pt>
                <c:pt idx="108">
                  <c:v>41.5</c:v>
                </c:pt>
                <c:pt idx="109">
                  <c:v>42</c:v>
                </c:pt>
                <c:pt idx="110">
                  <c:v>42.5</c:v>
                </c:pt>
                <c:pt idx="111">
                  <c:v>43</c:v>
                </c:pt>
                <c:pt idx="112">
                  <c:v>43.5</c:v>
                </c:pt>
                <c:pt idx="113">
                  <c:v>44</c:v>
                </c:pt>
                <c:pt idx="114">
                  <c:v>44.5</c:v>
                </c:pt>
                <c:pt idx="115">
                  <c:v>45</c:v>
                </c:pt>
                <c:pt idx="116">
                  <c:v>45.5</c:v>
                </c:pt>
                <c:pt idx="117">
                  <c:v>46</c:v>
                </c:pt>
                <c:pt idx="118">
                  <c:v>46.5</c:v>
                </c:pt>
                <c:pt idx="119">
                  <c:v>47</c:v>
                </c:pt>
                <c:pt idx="120">
                  <c:v>47.5</c:v>
                </c:pt>
                <c:pt idx="121">
                  <c:v>48</c:v>
                </c:pt>
                <c:pt idx="122">
                  <c:v>48.5</c:v>
                </c:pt>
                <c:pt idx="123">
                  <c:v>49</c:v>
                </c:pt>
                <c:pt idx="124">
                  <c:v>49.5</c:v>
                </c:pt>
                <c:pt idx="125">
                  <c:v>50</c:v>
                </c:pt>
                <c:pt idx="126">
                  <c:v>50.5</c:v>
                </c:pt>
                <c:pt idx="127">
                  <c:v>51</c:v>
                </c:pt>
                <c:pt idx="128">
                  <c:v>51.5</c:v>
                </c:pt>
                <c:pt idx="129">
                  <c:v>52</c:v>
                </c:pt>
                <c:pt idx="130">
                  <c:v>52.5</c:v>
                </c:pt>
                <c:pt idx="131">
                  <c:v>53</c:v>
                </c:pt>
                <c:pt idx="132">
                  <c:v>53.5</c:v>
                </c:pt>
                <c:pt idx="133">
                  <c:v>54</c:v>
                </c:pt>
                <c:pt idx="134">
                  <c:v>54.5</c:v>
                </c:pt>
                <c:pt idx="135">
                  <c:v>55</c:v>
                </c:pt>
                <c:pt idx="136">
                  <c:v>55.5</c:v>
                </c:pt>
                <c:pt idx="137">
                  <c:v>56</c:v>
                </c:pt>
                <c:pt idx="138">
                  <c:v>56.5</c:v>
                </c:pt>
                <c:pt idx="139">
                  <c:v>57</c:v>
                </c:pt>
                <c:pt idx="140">
                  <c:v>57.5</c:v>
                </c:pt>
                <c:pt idx="141">
                  <c:v>58</c:v>
                </c:pt>
                <c:pt idx="142">
                  <c:v>58.5</c:v>
                </c:pt>
                <c:pt idx="143">
                  <c:v>59</c:v>
                </c:pt>
                <c:pt idx="144">
                  <c:v>59.5</c:v>
                </c:pt>
                <c:pt idx="145">
                  <c:v>60</c:v>
                </c:pt>
                <c:pt idx="146">
                  <c:v>60.5</c:v>
                </c:pt>
                <c:pt idx="147">
                  <c:v>61</c:v>
                </c:pt>
                <c:pt idx="148">
                  <c:v>61.5</c:v>
                </c:pt>
                <c:pt idx="149">
                  <c:v>62</c:v>
                </c:pt>
                <c:pt idx="150">
                  <c:v>62.5</c:v>
                </c:pt>
                <c:pt idx="151">
                  <c:v>63</c:v>
                </c:pt>
                <c:pt idx="152">
                  <c:v>63.5</c:v>
                </c:pt>
                <c:pt idx="153">
                  <c:v>64</c:v>
                </c:pt>
                <c:pt idx="154">
                  <c:v>64.5</c:v>
                </c:pt>
                <c:pt idx="155">
                  <c:v>65</c:v>
                </c:pt>
                <c:pt idx="156">
                  <c:v>65.5</c:v>
                </c:pt>
                <c:pt idx="157">
                  <c:v>66</c:v>
                </c:pt>
                <c:pt idx="158">
                  <c:v>66.5</c:v>
                </c:pt>
                <c:pt idx="159">
                  <c:v>67</c:v>
                </c:pt>
                <c:pt idx="160">
                  <c:v>67.5</c:v>
                </c:pt>
                <c:pt idx="161">
                  <c:v>68</c:v>
                </c:pt>
                <c:pt idx="162">
                  <c:v>68.5</c:v>
                </c:pt>
                <c:pt idx="163">
                  <c:v>69</c:v>
                </c:pt>
                <c:pt idx="164">
                  <c:v>69.5</c:v>
                </c:pt>
                <c:pt idx="165">
                  <c:v>70</c:v>
                </c:pt>
                <c:pt idx="166">
                  <c:v>70.5</c:v>
                </c:pt>
                <c:pt idx="167">
                  <c:v>71</c:v>
                </c:pt>
                <c:pt idx="168">
                  <c:v>71.5</c:v>
                </c:pt>
                <c:pt idx="169">
                  <c:v>72</c:v>
                </c:pt>
                <c:pt idx="170">
                  <c:v>72.5</c:v>
                </c:pt>
                <c:pt idx="171">
                  <c:v>73</c:v>
                </c:pt>
                <c:pt idx="172">
                  <c:v>73.5</c:v>
                </c:pt>
                <c:pt idx="173">
                  <c:v>74</c:v>
                </c:pt>
                <c:pt idx="174">
                  <c:v>74.5</c:v>
                </c:pt>
                <c:pt idx="175">
                  <c:v>75</c:v>
                </c:pt>
                <c:pt idx="176">
                  <c:v>75.5</c:v>
                </c:pt>
                <c:pt idx="177">
                  <c:v>76</c:v>
                </c:pt>
                <c:pt idx="178">
                  <c:v>76.5</c:v>
                </c:pt>
                <c:pt idx="179">
                  <c:v>77</c:v>
                </c:pt>
                <c:pt idx="180">
                  <c:v>77.5</c:v>
                </c:pt>
                <c:pt idx="181">
                  <c:v>78</c:v>
                </c:pt>
                <c:pt idx="182">
                  <c:v>78.5</c:v>
                </c:pt>
                <c:pt idx="183">
                  <c:v>79</c:v>
                </c:pt>
                <c:pt idx="184">
                  <c:v>79.5</c:v>
                </c:pt>
                <c:pt idx="185">
                  <c:v>80</c:v>
                </c:pt>
                <c:pt idx="186">
                  <c:v>80.5</c:v>
                </c:pt>
                <c:pt idx="187">
                  <c:v>81</c:v>
                </c:pt>
                <c:pt idx="188">
                  <c:v>81.5</c:v>
                </c:pt>
                <c:pt idx="189">
                  <c:v>82</c:v>
                </c:pt>
                <c:pt idx="190">
                  <c:v>82.5</c:v>
                </c:pt>
                <c:pt idx="191">
                  <c:v>83</c:v>
                </c:pt>
                <c:pt idx="192">
                  <c:v>83.5</c:v>
                </c:pt>
                <c:pt idx="193">
                  <c:v>84</c:v>
                </c:pt>
                <c:pt idx="194">
                  <c:v>84.5</c:v>
                </c:pt>
                <c:pt idx="195">
                  <c:v>85</c:v>
                </c:pt>
                <c:pt idx="196">
                  <c:v>85.5</c:v>
                </c:pt>
                <c:pt idx="197">
                  <c:v>86</c:v>
                </c:pt>
                <c:pt idx="198">
                  <c:v>86.5</c:v>
                </c:pt>
                <c:pt idx="199">
                  <c:v>87</c:v>
                </c:pt>
                <c:pt idx="200">
                  <c:v>87.5</c:v>
                </c:pt>
                <c:pt idx="201">
                  <c:v>88</c:v>
                </c:pt>
                <c:pt idx="202">
                  <c:v>88.5</c:v>
                </c:pt>
                <c:pt idx="203">
                  <c:v>89</c:v>
                </c:pt>
                <c:pt idx="204">
                  <c:v>89.5</c:v>
                </c:pt>
                <c:pt idx="205">
                  <c:v>90</c:v>
                </c:pt>
                <c:pt idx="206">
                  <c:v>90.5</c:v>
                </c:pt>
                <c:pt idx="207">
                  <c:v>91</c:v>
                </c:pt>
                <c:pt idx="208">
                  <c:v>91.5</c:v>
                </c:pt>
                <c:pt idx="209">
                  <c:v>92</c:v>
                </c:pt>
                <c:pt idx="210">
                  <c:v>92.5</c:v>
                </c:pt>
                <c:pt idx="211">
                  <c:v>93</c:v>
                </c:pt>
                <c:pt idx="212">
                  <c:v>93.5</c:v>
                </c:pt>
                <c:pt idx="213">
                  <c:v>94</c:v>
                </c:pt>
                <c:pt idx="214">
                  <c:v>94.5</c:v>
                </c:pt>
                <c:pt idx="215">
                  <c:v>95</c:v>
                </c:pt>
                <c:pt idx="216">
                  <c:v>95.5</c:v>
                </c:pt>
                <c:pt idx="217">
                  <c:v>96</c:v>
                </c:pt>
                <c:pt idx="218">
                  <c:v>96.5</c:v>
                </c:pt>
                <c:pt idx="219">
                  <c:v>97</c:v>
                </c:pt>
                <c:pt idx="220">
                  <c:v>97.5</c:v>
                </c:pt>
                <c:pt idx="221">
                  <c:v>98</c:v>
                </c:pt>
                <c:pt idx="222">
                  <c:v>98.5</c:v>
                </c:pt>
                <c:pt idx="223">
                  <c:v>99</c:v>
                </c:pt>
                <c:pt idx="224">
                  <c:v>99.5</c:v>
                </c:pt>
                <c:pt idx="225">
                  <c:v>100</c:v>
                </c:pt>
                <c:pt idx="226">
                  <c:v>105</c:v>
                </c:pt>
                <c:pt idx="227">
                  <c:v>110</c:v>
                </c:pt>
                <c:pt idx="228">
                  <c:v>115</c:v>
                </c:pt>
                <c:pt idx="229">
                  <c:v>120</c:v>
                </c:pt>
                <c:pt idx="230">
                  <c:v>125</c:v>
                </c:pt>
                <c:pt idx="231">
                  <c:v>130</c:v>
                </c:pt>
                <c:pt idx="232">
                  <c:v>135</c:v>
                </c:pt>
                <c:pt idx="233">
                  <c:v>140</c:v>
                </c:pt>
                <c:pt idx="234">
                  <c:v>145</c:v>
                </c:pt>
                <c:pt idx="235">
                  <c:v>150</c:v>
                </c:pt>
                <c:pt idx="236">
                  <c:v>155</c:v>
                </c:pt>
                <c:pt idx="237">
                  <c:v>160</c:v>
                </c:pt>
                <c:pt idx="238">
                  <c:v>165</c:v>
                </c:pt>
                <c:pt idx="239">
                  <c:v>170</c:v>
                </c:pt>
                <c:pt idx="240">
                  <c:v>175</c:v>
                </c:pt>
                <c:pt idx="241">
                  <c:v>180</c:v>
                </c:pt>
                <c:pt idx="242">
                  <c:v>185</c:v>
                </c:pt>
                <c:pt idx="243">
                  <c:v>190</c:v>
                </c:pt>
                <c:pt idx="244">
                  <c:v>195</c:v>
                </c:pt>
                <c:pt idx="245">
                  <c:v>200</c:v>
                </c:pt>
                <c:pt idx="246">
                  <c:v>205</c:v>
                </c:pt>
                <c:pt idx="247">
                  <c:v>210</c:v>
                </c:pt>
                <c:pt idx="248">
                  <c:v>215</c:v>
                </c:pt>
                <c:pt idx="249">
                  <c:v>220</c:v>
                </c:pt>
                <c:pt idx="250">
                  <c:v>225</c:v>
                </c:pt>
                <c:pt idx="251">
                  <c:v>230</c:v>
                </c:pt>
                <c:pt idx="252">
                  <c:v>235</c:v>
                </c:pt>
                <c:pt idx="253">
                  <c:v>240</c:v>
                </c:pt>
                <c:pt idx="254">
                  <c:v>245</c:v>
                </c:pt>
                <c:pt idx="255">
                  <c:v>250</c:v>
                </c:pt>
                <c:pt idx="256">
                  <c:v>255</c:v>
                </c:pt>
                <c:pt idx="257">
                  <c:v>260</c:v>
                </c:pt>
                <c:pt idx="258">
                  <c:v>265</c:v>
                </c:pt>
                <c:pt idx="259">
                  <c:v>270</c:v>
                </c:pt>
                <c:pt idx="260">
                  <c:v>275</c:v>
                </c:pt>
                <c:pt idx="261">
                  <c:v>280</c:v>
                </c:pt>
                <c:pt idx="262">
                  <c:v>285</c:v>
                </c:pt>
                <c:pt idx="263">
                  <c:v>290</c:v>
                </c:pt>
                <c:pt idx="264">
                  <c:v>295</c:v>
                </c:pt>
                <c:pt idx="265">
                  <c:v>300</c:v>
                </c:pt>
                <c:pt idx="266">
                  <c:v>305</c:v>
                </c:pt>
                <c:pt idx="267">
                  <c:v>310</c:v>
                </c:pt>
                <c:pt idx="268">
                  <c:v>315</c:v>
                </c:pt>
                <c:pt idx="269">
                  <c:v>320</c:v>
                </c:pt>
                <c:pt idx="270">
                  <c:v>325</c:v>
                </c:pt>
                <c:pt idx="271">
                  <c:v>330</c:v>
                </c:pt>
                <c:pt idx="272">
                  <c:v>335</c:v>
                </c:pt>
                <c:pt idx="273">
                  <c:v>340</c:v>
                </c:pt>
                <c:pt idx="274">
                  <c:v>345</c:v>
                </c:pt>
                <c:pt idx="275">
                  <c:v>350</c:v>
                </c:pt>
                <c:pt idx="276">
                  <c:v>355</c:v>
                </c:pt>
                <c:pt idx="277">
                  <c:v>360</c:v>
                </c:pt>
                <c:pt idx="278">
                  <c:v>365</c:v>
                </c:pt>
                <c:pt idx="279">
                  <c:v>370</c:v>
                </c:pt>
                <c:pt idx="280">
                  <c:v>375</c:v>
                </c:pt>
                <c:pt idx="281">
                  <c:v>380</c:v>
                </c:pt>
                <c:pt idx="282">
                  <c:v>385</c:v>
                </c:pt>
                <c:pt idx="283">
                  <c:v>390</c:v>
                </c:pt>
                <c:pt idx="284">
                  <c:v>395</c:v>
                </c:pt>
                <c:pt idx="285">
                  <c:v>400</c:v>
                </c:pt>
                <c:pt idx="286">
                  <c:v>405</c:v>
                </c:pt>
                <c:pt idx="287">
                  <c:v>410</c:v>
                </c:pt>
                <c:pt idx="288">
                  <c:v>415</c:v>
                </c:pt>
                <c:pt idx="289">
                  <c:v>420</c:v>
                </c:pt>
                <c:pt idx="290">
                  <c:v>425</c:v>
                </c:pt>
                <c:pt idx="291">
                  <c:v>430</c:v>
                </c:pt>
                <c:pt idx="292">
                  <c:v>435</c:v>
                </c:pt>
                <c:pt idx="293">
                  <c:v>440</c:v>
                </c:pt>
                <c:pt idx="294">
                  <c:v>445</c:v>
                </c:pt>
                <c:pt idx="295">
                  <c:v>450</c:v>
                </c:pt>
                <c:pt idx="296">
                  <c:v>455</c:v>
                </c:pt>
                <c:pt idx="297">
                  <c:v>460</c:v>
                </c:pt>
                <c:pt idx="298">
                  <c:v>465</c:v>
                </c:pt>
                <c:pt idx="299">
                  <c:v>470</c:v>
                </c:pt>
                <c:pt idx="300">
                  <c:v>475</c:v>
                </c:pt>
                <c:pt idx="301">
                  <c:v>480</c:v>
                </c:pt>
                <c:pt idx="302">
                  <c:v>485</c:v>
                </c:pt>
                <c:pt idx="303">
                  <c:v>490</c:v>
                </c:pt>
                <c:pt idx="304">
                  <c:v>495</c:v>
                </c:pt>
                <c:pt idx="305">
                  <c:v>500</c:v>
                </c:pt>
                <c:pt idx="306">
                  <c:v>505</c:v>
                </c:pt>
                <c:pt idx="307">
                  <c:v>510</c:v>
                </c:pt>
                <c:pt idx="308">
                  <c:v>515</c:v>
                </c:pt>
                <c:pt idx="309">
                  <c:v>520</c:v>
                </c:pt>
                <c:pt idx="310">
                  <c:v>525</c:v>
                </c:pt>
                <c:pt idx="311">
                  <c:v>530</c:v>
                </c:pt>
                <c:pt idx="312">
                  <c:v>535</c:v>
                </c:pt>
                <c:pt idx="313">
                  <c:v>540</c:v>
                </c:pt>
                <c:pt idx="314">
                  <c:v>545</c:v>
                </c:pt>
                <c:pt idx="315">
                  <c:v>550</c:v>
                </c:pt>
                <c:pt idx="316">
                  <c:v>555</c:v>
                </c:pt>
                <c:pt idx="317">
                  <c:v>560</c:v>
                </c:pt>
                <c:pt idx="318">
                  <c:v>565</c:v>
                </c:pt>
                <c:pt idx="319">
                  <c:v>570</c:v>
                </c:pt>
                <c:pt idx="320">
                  <c:v>575</c:v>
                </c:pt>
                <c:pt idx="321">
                  <c:v>580</c:v>
                </c:pt>
                <c:pt idx="322">
                  <c:v>585</c:v>
                </c:pt>
                <c:pt idx="323">
                  <c:v>590</c:v>
                </c:pt>
                <c:pt idx="324">
                  <c:v>595</c:v>
                </c:pt>
                <c:pt idx="325">
                  <c:v>600</c:v>
                </c:pt>
                <c:pt idx="326">
                  <c:v>605</c:v>
                </c:pt>
                <c:pt idx="327">
                  <c:v>610</c:v>
                </c:pt>
                <c:pt idx="328">
                  <c:v>615</c:v>
                </c:pt>
                <c:pt idx="329">
                  <c:v>620</c:v>
                </c:pt>
                <c:pt idx="330">
                  <c:v>625</c:v>
                </c:pt>
                <c:pt idx="331">
                  <c:v>630</c:v>
                </c:pt>
                <c:pt idx="332">
                  <c:v>635</c:v>
                </c:pt>
                <c:pt idx="333">
                  <c:v>640</c:v>
                </c:pt>
                <c:pt idx="334">
                  <c:v>645</c:v>
                </c:pt>
                <c:pt idx="335">
                  <c:v>650</c:v>
                </c:pt>
                <c:pt idx="336">
                  <c:v>655</c:v>
                </c:pt>
                <c:pt idx="337">
                  <c:v>660</c:v>
                </c:pt>
                <c:pt idx="338">
                  <c:v>665</c:v>
                </c:pt>
                <c:pt idx="339">
                  <c:v>670</c:v>
                </c:pt>
                <c:pt idx="340">
                  <c:v>675</c:v>
                </c:pt>
                <c:pt idx="341">
                  <c:v>680</c:v>
                </c:pt>
                <c:pt idx="342">
                  <c:v>685</c:v>
                </c:pt>
                <c:pt idx="343">
                  <c:v>690</c:v>
                </c:pt>
                <c:pt idx="344">
                  <c:v>695</c:v>
                </c:pt>
                <c:pt idx="345">
                  <c:v>700</c:v>
                </c:pt>
                <c:pt idx="346">
                  <c:v>705</c:v>
                </c:pt>
                <c:pt idx="347">
                  <c:v>710</c:v>
                </c:pt>
                <c:pt idx="348">
                  <c:v>715</c:v>
                </c:pt>
                <c:pt idx="349">
                  <c:v>720</c:v>
                </c:pt>
                <c:pt idx="350">
                  <c:v>725</c:v>
                </c:pt>
                <c:pt idx="351">
                  <c:v>730</c:v>
                </c:pt>
                <c:pt idx="352">
                  <c:v>735</c:v>
                </c:pt>
                <c:pt idx="353">
                  <c:v>740</c:v>
                </c:pt>
                <c:pt idx="354">
                  <c:v>745</c:v>
                </c:pt>
                <c:pt idx="355">
                  <c:v>750</c:v>
                </c:pt>
                <c:pt idx="356">
                  <c:v>755</c:v>
                </c:pt>
                <c:pt idx="357">
                  <c:v>760</c:v>
                </c:pt>
                <c:pt idx="358">
                  <c:v>765</c:v>
                </c:pt>
                <c:pt idx="359">
                  <c:v>770</c:v>
                </c:pt>
                <c:pt idx="360">
                  <c:v>775</c:v>
                </c:pt>
                <c:pt idx="361">
                  <c:v>780</c:v>
                </c:pt>
                <c:pt idx="362">
                  <c:v>785</c:v>
                </c:pt>
                <c:pt idx="363">
                  <c:v>790</c:v>
                </c:pt>
                <c:pt idx="364">
                  <c:v>795</c:v>
                </c:pt>
                <c:pt idx="365">
                  <c:v>800</c:v>
                </c:pt>
                <c:pt idx="366">
                  <c:v>805</c:v>
                </c:pt>
                <c:pt idx="367">
                  <c:v>810</c:v>
                </c:pt>
                <c:pt idx="368">
                  <c:v>815</c:v>
                </c:pt>
                <c:pt idx="369">
                  <c:v>820</c:v>
                </c:pt>
                <c:pt idx="370">
                  <c:v>825</c:v>
                </c:pt>
                <c:pt idx="371">
                  <c:v>830</c:v>
                </c:pt>
                <c:pt idx="372">
                  <c:v>835</c:v>
                </c:pt>
                <c:pt idx="373">
                  <c:v>840</c:v>
                </c:pt>
                <c:pt idx="374">
                  <c:v>845</c:v>
                </c:pt>
                <c:pt idx="375">
                  <c:v>850</c:v>
                </c:pt>
                <c:pt idx="376">
                  <c:v>855</c:v>
                </c:pt>
                <c:pt idx="377">
                  <c:v>860</c:v>
                </c:pt>
                <c:pt idx="378">
                  <c:v>865</c:v>
                </c:pt>
                <c:pt idx="379">
                  <c:v>870</c:v>
                </c:pt>
                <c:pt idx="380">
                  <c:v>875</c:v>
                </c:pt>
                <c:pt idx="381">
                  <c:v>880</c:v>
                </c:pt>
                <c:pt idx="382">
                  <c:v>885</c:v>
                </c:pt>
                <c:pt idx="383">
                  <c:v>890</c:v>
                </c:pt>
                <c:pt idx="384">
                  <c:v>895</c:v>
                </c:pt>
                <c:pt idx="385">
                  <c:v>900</c:v>
                </c:pt>
                <c:pt idx="386">
                  <c:v>905</c:v>
                </c:pt>
                <c:pt idx="387">
                  <c:v>910</c:v>
                </c:pt>
                <c:pt idx="388">
                  <c:v>915</c:v>
                </c:pt>
                <c:pt idx="389">
                  <c:v>920</c:v>
                </c:pt>
                <c:pt idx="390">
                  <c:v>925</c:v>
                </c:pt>
                <c:pt idx="391">
                  <c:v>930</c:v>
                </c:pt>
                <c:pt idx="392">
                  <c:v>935</c:v>
                </c:pt>
                <c:pt idx="393">
                  <c:v>940</c:v>
                </c:pt>
                <c:pt idx="394">
                  <c:v>945</c:v>
                </c:pt>
                <c:pt idx="395">
                  <c:v>950</c:v>
                </c:pt>
                <c:pt idx="396">
                  <c:v>955</c:v>
                </c:pt>
                <c:pt idx="397">
                  <c:v>960</c:v>
                </c:pt>
                <c:pt idx="398">
                  <c:v>965</c:v>
                </c:pt>
                <c:pt idx="399">
                  <c:v>970</c:v>
                </c:pt>
                <c:pt idx="400">
                  <c:v>975</c:v>
                </c:pt>
                <c:pt idx="401">
                  <c:v>980</c:v>
                </c:pt>
                <c:pt idx="402">
                  <c:v>985</c:v>
                </c:pt>
                <c:pt idx="403">
                  <c:v>990</c:v>
                </c:pt>
                <c:pt idx="404">
                  <c:v>995</c:v>
                </c:pt>
                <c:pt idx="405">
                  <c:v>1000</c:v>
                </c:pt>
                <c:pt idx="406">
                  <c:v>1005</c:v>
                </c:pt>
                <c:pt idx="407">
                  <c:v>1010</c:v>
                </c:pt>
                <c:pt idx="408">
                  <c:v>1015</c:v>
                </c:pt>
                <c:pt idx="409">
                  <c:v>1020</c:v>
                </c:pt>
                <c:pt idx="410">
                  <c:v>1025</c:v>
                </c:pt>
                <c:pt idx="411">
                  <c:v>1030</c:v>
                </c:pt>
                <c:pt idx="412">
                  <c:v>1035</c:v>
                </c:pt>
                <c:pt idx="413">
                  <c:v>1040</c:v>
                </c:pt>
                <c:pt idx="414">
                  <c:v>1045</c:v>
                </c:pt>
                <c:pt idx="415">
                  <c:v>1050</c:v>
                </c:pt>
                <c:pt idx="416">
                  <c:v>1055</c:v>
                </c:pt>
                <c:pt idx="417">
                  <c:v>1060</c:v>
                </c:pt>
                <c:pt idx="418">
                  <c:v>1065</c:v>
                </c:pt>
                <c:pt idx="419">
                  <c:v>1070</c:v>
                </c:pt>
                <c:pt idx="420">
                  <c:v>1075</c:v>
                </c:pt>
                <c:pt idx="421">
                  <c:v>1080</c:v>
                </c:pt>
                <c:pt idx="422">
                  <c:v>1085</c:v>
                </c:pt>
                <c:pt idx="423">
                  <c:v>1090</c:v>
                </c:pt>
                <c:pt idx="424">
                  <c:v>1095</c:v>
                </c:pt>
                <c:pt idx="425">
                  <c:v>1100</c:v>
                </c:pt>
                <c:pt idx="426">
                  <c:v>1105</c:v>
                </c:pt>
                <c:pt idx="427">
                  <c:v>1110</c:v>
                </c:pt>
                <c:pt idx="428">
                  <c:v>1115</c:v>
                </c:pt>
                <c:pt idx="429">
                  <c:v>1120</c:v>
                </c:pt>
                <c:pt idx="430">
                  <c:v>1125</c:v>
                </c:pt>
                <c:pt idx="431">
                  <c:v>1130</c:v>
                </c:pt>
                <c:pt idx="432">
                  <c:v>1135</c:v>
                </c:pt>
                <c:pt idx="433">
                  <c:v>1140</c:v>
                </c:pt>
                <c:pt idx="434">
                  <c:v>1145</c:v>
                </c:pt>
                <c:pt idx="435">
                  <c:v>1150</c:v>
                </c:pt>
                <c:pt idx="436">
                  <c:v>1155</c:v>
                </c:pt>
                <c:pt idx="437">
                  <c:v>1160</c:v>
                </c:pt>
                <c:pt idx="438">
                  <c:v>1165</c:v>
                </c:pt>
                <c:pt idx="439">
                  <c:v>1170</c:v>
                </c:pt>
                <c:pt idx="440">
                  <c:v>1175</c:v>
                </c:pt>
                <c:pt idx="441">
                  <c:v>1180</c:v>
                </c:pt>
                <c:pt idx="442">
                  <c:v>1185</c:v>
                </c:pt>
                <c:pt idx="443">
                  <c:v>1190</c:v>
                </c:pt>
                <c:pt idx="444">
                  <c:v>1195</c:v>
                </c:pt>
                <c:pt idx="445">
                  <c:v>1200</c:v>
                </c:pt>
                <c:pt idx="446">
                  <c:v>1205</c:v>
                </c:pt>
                <c:pt idx="447">
                  <c:v>1210</c:v>
                </c:pt>
                <c:pt idx="448">
                  <c:v>1215</c:v>
                </c:pt>
                <c:pt idx="449">
                  <c:v>1220</c:v>
                </c:pt>
                <c:pt idx="450">
                  <c:v>1225</c:v>
                </c:pt>
                <c:pt idx="451">
                  <c:v>1230</c:v>
                </c:pt>
                <c:pt idx="452">
                  <c:v>1235</c:v>
                </c:pt>
                <c:pt idx="453">
                  <c:v>1240</c:v>
                </c:pt>
                <c:pt idx="454">
                  <c:v>1245</c:v>
                </c:pt>
                <c:pt idx="455">
                  <c:v>1250</c:v>
                </c:pt>
                <c:pt idx="456">
                  <c:v>1255</c:v>
                </c:pt>
                <c:pt idx="457">
                  <c:v>1260</c:v>
                </c:pt>
                <c:pt idx="458">
                  <c:v>1265</c:v>
                </c:pt>
                <c:pt idx="459">
                  <c:v>1270</c:v>
                </c:pt>
                <c:pt idx="460">
                  <c:v>1275</c:v>
                </c:pt>
                <c:pt idx="461">
                  <c:v>1280</c:v>
                </c:pt>
                <c:pt idx="462">
                  <c:v>1285</c:v>
                </c:pt>
                <c:pt idx="463">
                  <c:v>1290</c:v>
                </c:pt>
                <c:pt idx="464">
                  <c:v>1295</c:v>
                </c:pt>
                <c:pt idx="465">
                  <c:v>1300</c:v>
                </c:pt>
                <c:pt idx="466">
                  <c:v>1305</c:v>
                </c:pt>
                <c:pt idx="467">
                  <c:v>1310</c:v>
                </c:pt>
                <c:pt idx="468">
                  <c:v>1315</c:v>
                </c:pt>
                <c:pt idx="469">
                  <c:v>1320</c:v>
                </c:pt>
                <c:pt idx="470">
                  <c:v>1325</c:v>
                </c:pt>
                <c:pt idx="471">
                  <c:v>1330</c:v>
                </c:pt>
                <c:pt idx="472">
                  <c:v>1335</c:v>
                </c:pt>
                <c:pt idx="473">
                  <c:v>1340</c:v>
                </c:pt>
                <c:pt idx="474">
                  <c:v>1345</c:v>
                </c:pt>
                <c:pt idx="475">
                  <c:v>1350</c:v>
                </c:pt>
                <c:pt idx="476">
                  <c:v>1355</c:v>
                </c:pt>
                <c:pt idx="477">
                  <c:v>1360</c:v>
                </c:pt>
                <c:pt idx="478">
                  <c:v>1365</c:v>
                </c:pt>
                <c:pt idx="479">
                  <c:v>1370</c:v>
                </c:pt>
                <c:pt idx="480">
                  <c:v>1375</c:v>
                </c:pt>
                <c:pt idx="481">
                  <c:v>1380</c:v>
                </c:pt>
                <c:pt idx="482">
                  <c:v>1385</c:v>
                </c:pt>
                <c:pt idx="483">
                  <c:v>1390</c:v>
                </c:pt>
                <c:pt idx="484">
                  <c:v>1395</c:v>
                </c:pt>
                <c:pt idx="485">
                  <c:v>1400</c:v>
                </c:pt>
                <c:pt idx="486">
                  <c:v>1405</c:v>
                </c:pt>
                <c:pt idx="487">
                  <c:v>1410</c:v>
                </c:pt>
                <c:pt idx="488">
                  <c:v>1415</c:v>
                </c:pt>
                <c:pt idx="489">
                  <c:v>1420</c:v>
                </c:pt>
                <c:pt idx="490">
                  <c:v>1425</c:v>
                </c:pt>
                <c:pt idx="491">
                  <c:v>1430</c:v>
                </c:pt>
                <c:pt idx="492">
                  <c:v>1435</c:v>
                </c:pt>
                <c:pt idx="493">
                  <c:v>1440</c:v>
                </c:pt>
                <c:pt idx="494">
                  <c:v>1445</c:v>
                </c:pt>
                <c:pt idx="495">
                  <c:v>1450</c:v>
                </c:pt>
                <c:pt idx="496">
                  <c:v>1455</c:v>
                </c:pt>
                <c:pt idx="497">
                  <c:v>1460</c:v>
                </c:pt>
                <c:pt idx="498">
                  <c:v>1465</c:v>
                </c:pt>
                <c:pt idx="499">
                  <c:v>1470</c:v>
                </c:pt>
                <c:pt idx="500">
                  <c:v>1475</c:v>
                </c:pt>
                <c:pt idx="501">
                  <c:v>1480</c:v>
                </c:pt>
                <c:pt idx="502">
                  <c:v>1485</c:v>
                </c:pt>
                <c:pt idx="503">
                  <c:v>1490</c:v>
                </c:pt>
                <c:pt idx="504">
                  <c:v>1495</c:v>
                </c:pt>
                <c:pt idx="505">
                  <c:v>1500</c:v>
                </c:pt>
                <c:pt idx="506">
                  <c:v>1505</c:v>
                </c:pt>
                <c:pt idx="507">
                  <c:v>1510</c:v>
                </c:pt>
                <c:pt idx="508">
                  <c:v>1515</c:v>
                </c:pt>
                <c:pt idx="509">
                  <c:v>1520</c:v>
                </c:pt>
                <c:pt idx="510">
                  <c:v>1525</c:v>
                </c:pt>
                <c:pt idx="511">
                  <c:v>1530</c:v>
                </c:pt>
                <c:pt idx="512">
                  <c:v>1535</c:v>
                </c:pt>
                <c:pt idx="513">
                  <c:v>1540</c:v>
                </c:pt>
                <c:pt idx="514">
                  <c:v>1545</c:v>
                </c:pt>
                <c:pt idx="515">
                  <c:v>1550</c:v>
                </c:pt>
                <c:pt idx="516">
                  <c:v>1555</c:v>
                </c:pt>
                <c:pt idx="517">
                  <c:v>1560</c:v>
                </c:pt>
                <c:pt idx="518">
                  <c:v>1565</c:v>
                </c:pt>
                <c:pt idx="519">
                  <c:v>1570</c:v>
                </c:pt>
                <c:pt idx="520">
                  <c:v>1575</c:v>
                </c:pt>
                <c:pt idx="521">
                  <c:v>1580</c:v>
                </c:pt>
                <c:pt idx="522">
                  <c:v>1585</c:v>
                </c:pt>
                <c:pt idx="523">
                  <c:v>1590</c:v>
                </c:pt>
                <c:pt idx="524">
                  <c:v>1595</c:v>
                </c:pt>
                <c:pt idx="525">
                  <c:v>1600</c:v>
                </c:pt>
                <c:pt idx="526">
                  <c:v>1605</c:v>
                </c:pt>
                <c:pt idx="527">
                  <c:v>1610</c:v>
                </c:pt>
                <c:pt idx="528">
                  <c:v>1615</c:v>
                </c:pt>
                <c:pt idx="529">
                  <c:v>1620</c:v>
                </c:pt>
                <c:pt idx="530">
                  <c:v>1625</c:v>
                </c:pt>
                <c:pt idx="531">
                  <c:v>1630</c:v>
                </c:pt>
                <c:pt idx="532">
                  <c:v>1635</c:v>
                </c:pt>
                <c:pt idx="533">
                  <c:v>1640</c:v>
                </c:pt>
                <c:pt idx="534">
                  <c:v>1645</c:v>
                </c:pt>
                <c:pt idx="535">
                  <c:v>1650</c:v>
                </c:pt>
                <c:pt idx="536">
                  <c:v>1655</c:v>
                </c:pt>
                <c:pt idx="537">
                  <c:v>1660</c:v>
                </c:pt>
                <c:pt idx="538">
                  <c:v>1665</c:v>
                </c:pt>
                <c:pt idx="539">
                  <c:v>1670</c:v>
                </c:pt>
                <c:pt idx="540">
                  <c:v>1675</c:v>
                </c:pt>
                <c:pt idx="541">
                  <c:v>1680</c:v>
                </c:pt>
                <c:pt idx="542">
                  <c:v>1685</c:v>
                </c:pt>
                <c:pt idx="543">
                  <c:v>1690</c:v>
                </c:pt>
                <c:pt idx="544">
                  <c:v>1695</c:v>
                </c:pt>
                <c:pt idx="545">
                  <c:v>1700</c:v>
                </c:pt>
                <c:pt idx="546">
                  <c:v>1705</c:v>
                </c:pt>
                <c:pt idx="547">
                  <c:v>1710</c:v>
                </c:pt>
                <c:pt idx="548">
                  <c:v>1715</c:v>
                </c:pt>
                <c:pt idx="549">
                  <c:v>1720</c:v>
                </c:pt>
                <c:pt idx="550">
                  <c:v>1725</c:v>
                </c:pt>
                <c:pt idx="551">
                  <c:v>1730</c:v>
                </c:pt>
                <c:pt idx="552">
                  <c:v>1735</c:v>
                </c:pt>
                <c:pt idx="553">
                  <c:v>1740</c:v>
                </c:pt>
                <c:pt idx="554">
                  <c:v>1745</c:v>
                </c:pt>
                <c:pt idx="555">
                  <c:v>1750</c:v>
                </c:pt>
                <c:pt idx="556">
                  <c:v>1755</c:v>
                </c:pt>
                <c:pt idx="557">
                  <c:v>1760</c:v>
                </c:pt>
                <c:pt idx="558">
                  <c:v>1765</c:v>
                </c:pt>
                <c:pt idx="559">
                  <c:v>1770</c:v>
                </c:pt>
                <c:pt idx="560">
                  <c:v>1775</c:v>
                </c:pt>
                <c:pt idx="561">
                  <c:v>1780</c:v>
                </c:pt>
                <c:pt idx="562">
                  <c:v>1785</c:v>
                </c:pt>
                <c:pt idx="563">
                  <c:v>1790</c:v>
                </c:pt>
                <c:pt idx="564">
                  <c:v>1795</c:v>
                </c:pt>
                <c:pt idx="565">
                  <c:v>1800</c:v>
                </c:pt>
                <c:pt idx="566">
                  <c:v>1805</c:v>
                </c:pt>
                <c:pt idx="567">
                  <c:v>1810</c:v>
                </c:pt>
                <c:pt idx="568">
                  <c:v>1815</c:v>
                </c:pt>
                <c:pt idx="569">
                  <c:v>1820</c:v>
                </c:pt>
                <c:pt idx="570">
                  <c:v>1825</c:v>
                </c:pt>
                <c:pt idx="571">
                  <c:v>1830</c:v>
                </c:pt>
                <c:pt idx="572">
                  <c:v>1835</c:v>
                </c:pt>
                <c:pt idx="573">
                  <c:v>1840</c:v>
                </c:pt>
                <c:pt idx="574">
                  <c:v>1845</c:v>
                </c:pt>
                <c:pt idx="575">
                  <c:v>1850</c:v>
                </c:pt>
                <c:pt idx="576">
                  <c:v>1855</c:v>
                </c:pt>
                <c:pt idx="577">
                  <c:v>1860</c:v>
                </c:pt>
                <c:pt idx="578">
                  <c:v>1865</c:v>
                </c:pt>
                <c:pt idx="579">
                  <c:v>1870</c:v>
                </c:pt>
                <c:pt idx="580">
                  <c:v>1875</c:v>
                </c:pt>
                <c:pt idx="581">
                  <c:v>1880</c:v>
                </c:pt>
                <c:pt idx="582">
                  <c:v>1885</c:v>
                </c:pt>
                <c:pt idx="583">
                  <c:v>1890</c:v>
                </c:pt>
                <c:pt idx="584">
                  <c:v>1895</c:v>
                </c:pt>
                <c:pt idx="585">
                  <c:v>1900</c:v>
                </c:pt>
                <c:pt idx="586">
                  <c:v>1905</c:v>
                </c:pt>
                <c:pt idx="587">
                  <c:v>1910</c:v>
                </c:pt>
                <c:pt idx="588">
                  <c:v>1915</c:v>
                </c:pt>
                <c:pt idx="589">
                  <c:v>1920</c:v>
                </c:pt>
                <c:pt idx="590">
                  <c:v>1925</c:v>
                </c:pt>
                <c:pt idx="591">
                  <c:v>1930</c:v>
                </c:pt>
                <c:pt idx="592">
                  <c:v>1935</c:v>
                </c:pt>
                <c:pt idx="593">
                  <c:v>1940</c:v>
                </c:pt>
                <c:pt idx="594">
                  <c:v>1945</c:v>
                </c:pt>
                <c:pt idx="595">
                  <c:v>1950</c:v>
                </c:pt>
                <c:pt idx="596">
                  <c:v>1955</c:v>
                </c:pt>
                <c:pt idx="597">
                  <c:v>1960</c:v>
                </c:pt>
                <c:pt idx="598">
                  <c:v>1965</c:v>
                </c:pt>
                <c:pt idx="599">
                  <c:v>1970</c:v>
                </c:pt>
                <c:pt idx="600">
                  <c:v>1975</c:v>
                </c:pt>
                <c:pt idx="601">
                  <c:v>1980</c:v>
                </c:pt>
                <c:pt idx="602">
                  <c:v>1985</c:v>
                </c:pt>
                <c:pt idx="603">
                  <c:v>1990</c:v>
                </c:pt>
                <c:pt idx="604">
                  <c:v>1995</c:v>
                </c:pt>
                <c:pt idx="605">
                  <c:v>2000</c:v>
                </c:pt>
                <c:pt idx="606">
                  <c:v>2250</c:v>
                </c:pt>
                <c:pt idx="607">
                  <c:v>2500</c:v>
                </c:pt>
                <c:pt idx="608">
                  <c:v>2750</c:v>
                </c:pt>
                <c:pt idx="609">
                  <c:v>3000</c:v>
                </c:pt>
                <c:pt idx="610">
                  <c:v>3250</c:v>
                </c:pt>
                <c:pt idx="611">
                  <c:v>3500</c:v>
                </c:pt>
                <c:pt idx="612">
                  <c:v>3750</c:v>
                </c:pt>
                <c:pt idx="613">
                  <c:v>4000</c:v>
                </c:pt>
                <c:pt idx="614">
                  <c:v>4250</c:v>
                </c:pt>
                <c:pt idx="615">
                  <c:v>4500</c:v>
                </c:pt>
                <c:pt idx="616">
                  <c:v>4750</c:v>
                </c:pt>
                <c:pt idx="617">
                  <c:v>5000</c:v>
                </c:pt>
                <c:pt idx="618">
                  <c:v>5100</c:v>
                </c:pt>
                <c:pt idx="619">
                  <c:v>5200</c:v>
                </c:pt>
                <c:pt idx="620">
                  <c:v>5300</c:v>
                </c:pt>
                <c:pt idx="621">
                  <c:v>5400</c:v>
                </c:pt>
                <c:pt idx="622">
                  <c:v>5500</c:v>
                </c:pt>
                <c:pt idx="623">
                  <c:v>5600</c:v>
                </c:pt>
                <c:pt idx="624">
                  <c:v>5700</c:v>
                </c:pt>
                <c:pt idx="625">
                  <c:v>5800</c:v>
                </c:pt>
                <c:pt idx="626">
                  <c:v>5900</c:v>
                </c:pt>
                <c:pt idx="627">
                  <c:v>6000</c:v>
                </c:pt>
                <c:pt idx="628">
                  <c:v>6100</c:v>
                </c:pt>
                <c:pt idx="629">
                  <c:v>6200</c:v>
                </c:pt>
                <c:pt idx="630">
                  <c:v>6300</c:v>
                </c:pt>
                <c:pt idx="631">
                  <c:v>6400</c:v>
                </c:pt>
                <c:pt idx="632">
                  <c:v>6500</c:v>
                </c:pt>
                <c:pt idx="633">
                  <c:v>6600</c:v>
                </c:pt>
                <c:pt idx="634">
                  <c:v>6700</c:v>
                </c:pt>
                <c:pt idx="635">
                  <c:v>6800</c:v>
                </c:pt>
                <c:pt idx="636">
                  <c:v>6900</c:v>
                </c:pt>
                <c:pt idx="637">
                  <c:v>7000</c:v>
                </c:pt>
                <c:pt idx="638">
                  <c:v>7100</c:v>
                </c:pt>
                <c:pt idx="639">
                  <c:v>7200</c:v>
                </c:pt>
                <c:pt idx="640">
                  <c:v>7300</c:v>
                </c:pt>
                <c:pt idx="641">
                  <c:v>7400</c:v>
                </c:pt>
                <c:pt idx="642">
                  <c:v>7500</c:v>
                </c:pt>
                <c:pt idx="643">
                  <c:v>7600</c:v>
                </c:pt>
                <c:pt idx="644">
                  <c:v>7700</c:v>
                </c:pt>
                <c:pt idx="645">
                  <c:v>7800</c:v>
                </c:pt>
                <c:pt idx="646">
                  <c:v>7900</c:v>
                </c:pt>
                <c:pt idx="647">
                  <c:v>8000</c:v>
                </c:pt>
                <c:pt idx="648">
                  <c:v>8100</c:v>
                </c:pt>
                <c:pt idx="649">
                  <c:v>8200</c:v>
                </c:pt>
                <c:pt idx="650">
                  <c:v>8300</c:v>
                </c:pt>
                <c:pt idx="651">
                  <c:v>8400</c:v>
                </c:pt>
                <c:pt idx="652">
                  <c:v>8500</c:v>
                </c:pt>
                <c:pt idx="653">
                  <c:v>8600</c:v>
                </c:pt>
                <c:pt idx="654">
                  <c:v>8700</c:v>
                </c:pt>
                <c:pt idx="655">
                  <c:v>8800</c:v>
                </c:pt>
                <c:pt idx="656">
                  <c:v>8900</c:v>
                </c:pt>
                <c:pt idx="657">
                  <c:v>9000</c:v>
                </c:pt>
                <c:pt idx="658">
                  <c:v>9100</c:v>
                </c:pt>
                <c:pt idx="659">
                  <c:v>9200</c:v>
                </c:pt>
                <c:pt idx="660">
                  <c:v>9300</c:v>
                </c:pt>
                <c:pt idx="661">
                  <c:v>9400</c:v>
                </c:pt>
                <c:pt idx="662">
                  <c:v>9500</c:v>
                </c:pt>
                <c:pt idx="663">
                  <c:v>9600</c:v>
                </c:pt>
                <c:pt idx="664">
                  <c:v>9700</c:v>
                </c:pt>
                <c:pt idx="665">
                  <c:v>9800</c:v>
                </c:pt>
                <c:pt idx="666">
                  <c:v>9900</c:v>
                </c:pt>
                <c:pt idx="667">
                  <c:v>10000</c:v>
                </c:pt>
              </c:numCache>
            </c:numRef>
          </c:xVal>
          <c:yVal>
            <c:numRef>
              <c:f>'Bode Plots Calculations'!$BG$9:$BG$676</c:f>
              <c:numCache>
                <c:formatCode>General</c:formatCode>
                <c:ptCount val="668"/>
                <c:pt idx="0">
                  <c:v>-46.435999008412594</c:v>
                </c:pt>
                <c:pt idx="1">
                  <c:v>-64.538885024002312</c:v>
                </c:pt>
                <c:pt idx="2">
                  <c:v>-72.354509601325603</c:v>
                </c:pt>
                <c:pt idx="3">
                  <c:v>-76.543980918940719</c:v>
                </c:pt>
                <c:pt idx="4">
                  <c:v>-79.124232829237599</c:v>
                </c:pt>
                <c:pt idx="5">
                  <c:v>-80.862806961875833</c:v>
                </c:pt>
                <c:pt idx="6">
                  <c:v>-82.108909697064419</c:v>
                </c:pt>
                <c:pt idx="7">
                  <c:v>-83.042882375243195</c:v>
                </c:pt>
                <c:pt idx="8">
                  <c:v>-83.766893992793655</c:v>
                </c:pt>
                <c:pt idx="9">
                  <c:v>-84.343033968368076</c:v>
                </c:pt>
                <c:pt idx="10">
                  <c:v>-86.823006411280872</c:v>
                </c:pt>
                <c:pt idx="11">
                  <c:v>-87.500805591270321</c:v>
                </c:pt>
                <c:pt idx="12">
                  <c:v>-87.725955587112125</c:v>
                </c:pt>
                <c:pt idx="13">
                  <c:v>-87.76984719608177</c:v>
                </c:pt>
                <c:pt idx="14">
                  <c:v>-87.723078227773911</c:v>
                </c:pt>
                <c:pt idx="15">
                  <c:v>-87.624502888300285</c:v>
                </c:pt>
                <c:pt idx="16">
                  <c:v>-87.493556711074461</c:v>
                </c:pt>
                <c:pt idx="17">
                  <c:v>-87.341041114890515</c:v>
                </c:pt>
                <c:pt idx="18">
                  <c:v>-87.173439361556248</c:v>
                </c:pt>
                <c:pt idx="19">
                  <c:v>-85.167528878675256</c:v>
                </c:pt>
                <c:pt idx="20">
                  <c:v>-82.987978991307344</c:v>
                </c:pt>
                <c:pt idx="21">
                  <c:v>-80.774788873288273</c:v>
                </c:pt>
                <c:pt idx="22">
                  <c:v>-78.559024721318366</c:v>
                </c:pt>
                <c:pt idx="23">
                  <c:v>-76.353546955169577</c:v>
                </c:pt>
                <c:pt idx="24">
                  <c:v>-74.165963166099189</c:v>
                </c:pt>
                <c:pt idx="25">
                  <c:v>-72.001860518484023</c:v>
                </c:pt>
                <c:pt idx="26">
                  <c:v>-69.865879992992603</c:v>
                </c:pt>
                <c:pt idx="27">
                  <c:v>-67.762145211547931</c:v>
                </c:pt>
                <c:pt idx="28">
                  <c:v>-57.853665552865706</c:v>
                </c:pt>
                <c:pt idx="29">
                  <c:v>-49.261807821026913</c:v>
                </c:pt>
                <c:pt idx="30">
                  <c:v>-42.397454497039497</c:v>
                </c:pt>
                <c:pt idx="31">
                  <c:v>-37.799870000173478</c:v>
                </c:pt>
                <c:pt idx="32">
                  <c:v>-36.416926657599554</c:v>
                </c:pt>
                <c:pt idx="33">
                  <c:v>-40.205866494857176</c:v>
                </c:pt>
                <c:pt idx="34">
                  <c:v>-53.013763325385291</c:v>
                </c:pt>
                <c:pt idx="35">
                  <c:v>-77.570380363674616</c:v>
                </c:pt>
                <c:pt idx="36">
                  <c:v>-102.88942218693533</c:v>
                </c:pt>
                <c:pt idx="37">
                  <c:v>-117.76188517698422</c:v>
                </c:pt>
                <c:pt idx="38">
                  <c:v>-124.82195306798208</c:v>
                </c:pt>
                <c:pt idx="39">
                  <c:v>-127.96777317937551</c:v>
                </c:pt>
                <c:pt idx="40">
                  <c:v>-129.19030540414946</c:v>
                </c:pt>
                <c:pt idx="41">
                  <c:v>-129.42652613737181</c:v>
                </c:pt>
                <c:pt idx="42">
                  <c:v>-129.1400265262302</c:v>
                </c:pt>
                <c:pt idx="43">
                  <c:v>-128.57465971696823</c:v>
                </c:pt>
                <c:pt idx="44">
                  <c:v>-127.86532645311806</c:v>
                </c:pt>
                <c:pt idx="45">
                  <c:v>-127.08944778619464</c:v>
                </c:pt>
                <c:pt idx="46">
                  <c:v>-126.29251376866229</c:v>
                </c:pt>
                <c:pt idx="47">
                  <c:v>-125.50152973363927</c:v>
                </c:pt>
                <c:pt idx="48">
                  <c:v>-124.73245147121243</c:v>
                </c:pt>
                <c:pt idx="49">
                  <c:v>-123.9944684446149</c:v>
                </c:pt>
                <c:pt idx="50">
                  <c:v>-123.29255582831979</c:v>
                </c:pt>
                <c:pt idx="51">
                  <c:v>-122.62903754234524</c:v>
                </c:pt>
                <c:pt idx="52">
                  <c:v>-122.00456511222033</c:v>
                </c:pt>
                <c:pt idx="53">
                  <c:v>-121.41874158449001</c:v>
                </c:pt>
                <c:pt idx="54">
                  <c:v>-120.87052455881417</c:v>
                </c:pt>
                <c:pt idx="55">
                  <c:v>-120.35848896401852</c:v>
                </c:pt>
                <c:pt idx="56">
                  <c:v>-119.88099925964599</c:v>
                </c:pt>
                <c:pt idx="57">
                  <c:v>-119.43632232716583</c:v>
                </c:pt>
                <c:pt idx="58">
                  <c:v>-119.02270108737933</c:v>
                </c:pt>
                <c:pt idx="59">
                  <c:v>-118.63840188923832</c:v>
                </c:pt>
                <c:pt idx="60">
                  <c:v>-118.28174427944603</c:v>
                </c:pt>
                <c:pt idx="61">
                  <c:v>-117.95111890067403</c:v>
                </c:pt>
                <c:pt idx="62">
                  <c:v>-117.6449973929886</c:v>
                </c:pt>
                <c:pt idx="63">
                  <c:v>-117.36193693083379</c:v>
                </c:pt>
                <c:pt idx="64">
                  <c:v>-117.10058119470403</c:v>
                </c:pt>
                <c:pt idx="65">
                  <c:v>-116.85965901220797</c:v>
                </c:pt>
                <c:pt idx="66">
                  <c:v>-116.63798151760005</c:v>
                </c:pt>
                <c:pt idx="67">
                  <c:v>-116.43443841348797</c:v>
                </c:pt>
                <c:pt idx="68">
                  <c:v>-116.24799373473289</c:v>
                </c:pt>
                <c:pt idx="69">
                  <c:v>-116.07768138682844</c:v>
                </c:pt>
                <c:pt idx="70">
                  <c:v>-115.92260064194883</c:v>
                </c:pt>
                <c:pt idx="71">
                  <c:v>-115.78191171361105</c:v>
                </c:pt>
                <c:pt idx="72">
                  <c:v>-115.65483148742082</c:v>
                </c:pt>
                <c:pt idx="73">
                  <c:v>-115.54062945507523</c:v>
                </c:pt>
                <c:pt idx="74">
                  <c:v>-115.43862387778825</c:v>
                </c:pt>
                <c:pt idx="75">
                  <c:v>-115.34817819086058</c:v>
                </c:pt>
                <c:pt idx="76">
                  <c:v>-115.26869765131767</c:v>
                </c:pt>
                <c:pt idx="77">
                  <c:v>-115.19962622402184</c:v>
                </c:pt>
                <c:pt idx="78">
                  <c:v>-115.14044369747357</c:v>
                </c:pt>
                <c:pt idx="79">
                  <c:v>-115.09066301795261</c:v>
                </c:pt>
                <c:pt idx="80">
                  <c:v>-115.04982782923128</c:v>
                </c:pt>
                <c:pt idx="81">
                  <c:v>-115.0175102044641</c:v>
                </c:pt>
                <c:pt idx="82">
                  <c:v>-114.99330855676641</c:v>
                </c:pt>
                <c:pt idx="83">
                  <c:v>-114.97684571526885</c:v>
                </c:pt>
                <c:pt idx="84">
                  <c:v>-114.96776715393821</c:v>
                </c:pt>
                <c:pt idx="85">
                  <c:v>-114.96573936110207</c:v>
                </c:pt>
                <c:pt idx="86">
                  <c:v>-114.97044833834141</c:v>
                </c:pt>
                <c:pt idx="87">
                  <c:v>-114.98159821817622</c:v>
                </c:pt>
                <c:pt idx="88">
                  <c:v>-114.99890999073409</c:v>
                </c:pt>
                <c:pt idx="89">
                  <c:v>-115.02212033033919</c:v>
                </c:pt>
                <c:pt idx="90">
                  <c:v>-115.05098051368076</c:v>
                </c:pt>
                <c:pt idx="91">
                  <c:v>-115.08525542189935</c:v>
                </c:pt>
                <c:pt idx="92">
                  <c:v>-115.12472261957035</c:v>
                </c:pt>
                <c:pt idx="93">
                  <c:v>-115.16917150415925</c:v>
                </c:pt>
                <c:pt idx="94">
                  <c:v>-115.21840252007502</c:v>
                </c:pt>
                <c:pt idx="95">
                  <c:v>-115.27222643195643</c:v>
                </c:pt>
                <c:pt idx="96">
                  <c:v>-115.33046365229188</c:v>
                </c:pt>
                <c:pt idx="97">
                  <c:v>-115.39294361890381</c:v>
                </c:pt>
                <c:pt idx="98">
                  <c:v>-115.45950421821573</c:v>
                </c:pt>
                <c:pt idx="99">
                  <c:v>-115.52999125058082</c:v>
                </c:pt>
                <c:pt idx="100">
                  <c:v>-115.60425793427326</c:v>
                </c:pt>
                <c:pt idx="101">
                  <c:v>-115.6821644450409</c:v>
                </c:pt>
                <c:pt idx="102">
                  <c:v>-115.76357748838699</c:v>
                </c:pt>
                <c:pt idx="103">
                  <c:v>-115.84836990199419</c:v>
                </c:pt>
                <c:pt idx="104">
                  <c:v>-115.93642028592622</c:v>
                </c:pt>
                <c:pt idx="105">
                  <c:v>-116.027612658446</c:v>
                </c:pt>
                <c:pt idx="106">
                  <c:v>-116.12183613547283</c:v>
                </c:pt>
                <c:pt idx="107">
                  <c:v>-116.21898463186888</c:v>
                </c:pt>
                <c:pt idx="108">
                  <c:v>-116.31895658289798</c:v>
                </c:pt>
                <c:pt idx="109">
                  <c:v>-116.42165468433727</c:v>
                </c:pt>
                <c:pt idx="110">
                  <c:v>-116.5269856498508</c:v>
                </c:pt>
                <c:pt idx="111">
                  <c:v>-116.63485998434564</c:v>
                </c:pt>
                <c:pt idx="112">
                  <c:v>-116.74519177213895</c:v>
                </c:pt>
                <c:pt idx="113">
                  <c:v>-116.85789847885815</c:v>
                </c:pt>
                <c:pt idx="114">
                  <c:v>-116.97290076608324</c:v>
                </c:pt>
                <c:pt idx="115">
                  <c:v>-117.09012231782022</c:v>
                </c:pt>
                <c:pt idx="116">
                  <c:v>-117.20948967796704</c:v>
                </c:pt>
                <c:pt idx="117">
                  <c:v>-117.33093209799861</c:v>
                </c:pt>
                <c:pt idx="118">
                  <c:v>-117.45438139415921</c:v>
                </c:pt>
                <c:pt idx="119">
                  <c:v>-117.57977181350472</c:v>
                </c:pt>
                <c:pt idx="120">
                  <c:v>-117.70703990818842</c:v>
                </c:pt>
                <c:pt idx="121">
                  <c:v>-117.83612441742984</c:v>
                </c:pt>
                <c:pt idx="122">
                  <c:v>-117.96696615664879</c:v>
                </c:pt>
                <c:pt idx="123">
                  <c:v>-118.09950791328585</c:v>
                </c:pt>
                <c:pt idx="124">
                  <c:v>-118.23369434886534</c:v>
                </c:pt>
                <c:pt idx="125">
                  <c:v>-118.36947190689027</c:v>
                </c:pt>
                <c:pt idx="126">
                  <c:v>-118.50678872618938</c:v>
                </c:pt>
                <c:pt idx="127">
                  <c:v>-118.64559455936195</c:v>
                </c:pt>
                <c:pt idx="128">
                  <c:v>-118.78584069599347</c:v>
                </c:pt>
                <c:pt idx="129">
                  <c:v>-118.92747989033799</c:v>
                </c:pt>
                <c:pt idx="130">
                  <c:v>-119.07046629318394</c:v>
                </c:pt>
                <c:pt idx="131">
                  <c:v>-119.21475538764089</c:v>
                </c:pt>
                <c:pt idx="132">
                  <c:v>-119.36030392860228</c:v>
                </c:pt>
                <c:pt idx="133">
                  <c:v>-119.50706988565642</c:v>
                </c:pt>
                <c:pt idx="134">
                  <c:v>-119.65501238923341</c:v>
                </c:pt>
                <c:pt idx="135">
                  <c:v>-119.8040916797906</c:v>
                </c:pt>
                <c:pt idx="136">
                  <c:v>-119.95426905985111</c:v>
                </c:pt>
                <c:pt idx="137">
                  <c:v>-120.10550684872436</c:v>
                </c:pt>
                <c:pt idx="138">
                  <c:v>-120.25776833974618</c:v>
                </c:pt>
                <c:pt idx="139">
                  <c:v>-120.4110177598896</c:v>
                </c:pt>
                <c:pt idx="140">
                  <c:v>-120.56522023160517</c:v>
                </c:pt>
                <c:pt idx="141">
                  <c:v>-120.72034173675864</c:v>
                </c:pt>
                <c:pt idx="142">
                  <c:v>-120.87634908254404</c:v>
                </c:pt>
                <c:pt idx="143">
                  <c:v>-121.03320986925597</c:v>
                </c:pt>
                <c:pt idx="144">
                  <c:v>-121.19089245981291</c:v>
                </c:pt>
                <c:pt idx="145">
                  <c:v>-121.3493659509316</c:v>
                </c:pt>
                <c:pt idx="146">
                  <c:v>-121.50860014585491</c:v>
                </c:pt>
                <c:pt idx="147">
                  <c:v>-121.66856552854669</c:v>
                </c:pt>
                <c:pt idx="148">
                  <c:v>-121.82923323926782</c:v>
                </c:pt>
                <c:pt idx="149">
                  <c:v>-121.99057505145534</c:v>
                </c:pt>
                <c:pt idx="150">
                  <c:v>-122.1525633498311</c:v>
                </c:pt>
                <c:pt idx="151">
                  <c:v>-122.31517110966919</c:v>
                </c:pt>
                <c:pt idx="152">
                  <c:v>-122.47837187715808</c:v>
                </c:pt>
                <c:pt idx="153">
                  <c:v>-122.64213975079419</c:v>
                </c:pt>
                <c:pt idx="154">
                  <c:v>-122.8064493637503</c:v>
                </c:pt>
                <c:pt idx="155">
                  <c:v>-122.97127586716279</c:v>
                </c:pt>
                <c:pt idx="156">
                  <c:v>-123.13659491428724</c:v>
                </c:pt>
                <c:pt idx="157">
                  <c:v>-123.30238264547275</c:v>
                </c:pt>
                <c:pt idx="158">
                  <c:v>-123.46861567390997</c:v>
                </c:pt>
                <c:pt idx="159">
                  <c:v>-123.63527107210903</c:v>
                </c:pt>
                <c:pt idx="160">
                  <c:v>-123.802326359066</c:v>
                </c:pt>
                <c:pt idx="161">
                  <c:v>-123.96975948808121</c:v>
                </c:pt>
                <c:pt idx="162">
                  <c:v>-124.1375488351903</c:v>
                </c:pt>
                <c:pt idx="163">
                  <c:v>-124.3056731881758</c:v>
                </c:pt>
                <c:pt idx="164">
                  <c:v>-124.47411173612541</c:v>
                </c:pt>
                <c:pt idx="165">
                  <c:v>-124.64284405950673</c:v>
                </c:pt>
                <c:pt idx="166">
                  <c:v>-124.8118501207294</c:v>
                </c:pt>
                <c:pt idx="167">
                  <c:v>-124.98111025516636</c:v>
                </c:pt>
                <c:pt idx="168">
                  <c:v>-125.15060516260968</c:v>
                </c:pt>
                <c:pt idx="169">
                  <c:v>-125.32031589913475</c:v>
                </c:pt>
                <c:pt idx="170">
                  <c:v>-125.49022386935047</c:v>
                </c:pt>
                <c:pt idx="171">
                  <c:v>-125.66031081901306</c:v>
                </c:pt>
                <c:pt idx="172">
                  <c:v>-125.83055882798301</c:v>
                </c:pt>
                <c:pt idx="173">
                  <c:v>-126.0009503035046</c:v>
                </c:pt>
                <c:pt idx="174">
                  <c:v>-126.17146797379007</c:v>
                </c:pt>
                <c:pt idx="175">
                  <c:v>-126.3420948818905</c:v>
                </c:pt>
                <c:pt idx="176">
                  <c:v>-126.51281437983637</c:v>
                </c:pt>
                <c:pt idx="177">
                  <c:v>-126.68361012303234</c:v>
                </c:pt>
                <c:pt idx="178">
                  <c:v>-126.85446606489081</c:v>
                </c:pt>
                <c:pt idx="179">
                  <c:v>-127.02536645169057</c:v>
                </c:pt>
                <c:pt idx="180">
                  <c:v>-127.19629581764634</c:v>
                </c:pt>
                <c:pt idx="181">
                  <c:v>-127.36723898017736</c:v>
                </c:pt>
                <c:pt idx="182">
                  <c:v>-127.53818103536199</c:v>
                </c:pt>
                <c:pt idx="183">
                  <c:v>-127.709107353568</c:v>
                </c:pt>
                <c:pt idx="184">
                  <c:v>-127.88000357524662</c:v>
                </c:pt>
                <c:pt idx="185">
                  <c:v>-128.05085560688136</c:v>
                </c:pt>
                <c:pt idx="186">
                  <c:v>-128.22164961708032</c:v>
                </c:pt>
                <c:pt idx="187">
                  <c:v>-128.39237203280521</c:v>
                </c:pt>
                <c:pt idx="188">
                  <c:v>-128.56300953572594</c:v>
                </c:pt>
                <c:pt idx="189">
                  <c:v>-128.73354905869448</c:v>
                </c:pt>
                <c:pt idx="190">
                  <c:v>-128.90397778232918</c:v>
                </c:pt>
                <c:pt idx="191">
                  <c:v>-129.07428313170342</c:v>
                </c:pt>
                <c:pt idx="192">
                  <c:v>-129.24445277313058</c:v>
                </c:pt>
                <c:pt idx="193">
                  <c:v>-129.41447461103942</c:v>
                </c:pt>
                <c:pt idx="194">
                  <c:v>-129.5843367849341</c:v>
                </c:pt>
                <c:pt idx="195">
                  <c:v>-129.75402766643248</c:v>
                </c:pt>
                <c:pt idx="196">
                  <c:v>-129.92353585637775</c:v>
                </c:pt>
                <c:pt idx="197">
                  <c:v>-130.09285018201831</c:v>
                </c:pt>
                <c:pt idx="198">
                  <c:v>-130.26195969425072</c:v>
                </c:pt>
                <c:pt idx="199">
                  <c:v>-130.43085366492187</c:v>
                </c:pt>
                <c:pt idx="200">
                  <c:v>-130.59952158418579</c:v>
                </c:pt>
                <c:pt idx="201">
                  <c:v>-130.76795315791097</c:v>
                </c:pt>
                <c:pt idx="202">
                  <c:v>-130.93613830513527</c:v>
                </c:pt>
                <c:pt idx="203">
                  <c:v>-131.10406715556408</c:v>
                </c:pt>
                <c:pt idx="204">
                  <c:v>-131.27173004710886</c:v>
                </c:pt>
                <c:pt idx="205">
                  <c:v>-131.43911752346349</c:v>
                </c:pt>
                <c:pt idx="206">
                  <c:v>-131.60622033171484</c:v>
                </c:pt>
                <c:pt idx="207">
                  <c:v>-131.77302941998568</c:v>
                </c:pt>
                <c:pt idx="208">
                  <c:v>-131.93953593510687</c:v>
                </c:pt>
                <c:pt idx="209">
                  <c:v>-132.10573122031698</c:v>
                </c:pt>
                <c:pt idx="210">
                  <c:v>-132.2716068129875</c:v>
                </c:pt>
                <c:pt idx="211">
                  <c:v>-132.43715444237054</c:v>
                </c:pt>
                <c:pt idx="212">
                  <c:v>-132.60236602736916</c:v>
                </c:pt>
                <c:pt idx="213">
                  <c:v>-132.76723367432658</c:v>
                </c:pt>
                <c:pt idx="214">
                  <c:v>-132.93174967483444</c:v>
                </c:pt>
                <c:pt idx="215">
                  <c:v>-133.09590650355801</c:v>
                </c:pt>
                <c:pt idx="216">
                  <c:v>-133.25969681607671</c:v>
                </c:pt>
                <c:pt idx="217">
                  <c:v>-133.42311344673999</c:v>
                </c:pt>
                <c:pt idx="218">
                  <c:v>-133.58614940653572</c:v>
                </c:pt>
                <c:pt idx="219">
                  <c:v>-133.74879788097289</c:v>
                </c:pt>
                <c:pt idx="220">
                  <c:v>-133.91105222797401</c:v>
                </c:pt>
                <c:pt idx="221">
                  <c:v>-134.07290597578034</c:v>
                </c:pt>
                <c:pt idx="222">
                  <c:v>-134.23435282086666</c:v>
                </c:pt>
                <c:pt idx="223">
                  <c:v>-134.39538662586583</c:v>
                </c:pt>
                <c:pt idx="224">
                  <c:v>-134.55600141750293</c:v>
                </c:pt>
                <c:pt idx="225">
                  <c:v>-134.71619138453804</c:v>
                </c:pt>
                <c:pt idx="226">
                  <c:v>-136.29355900616486</c:v>
                </c:pt>
                <c:pt idx="227">
                  <c:v>-137.82317702970263</c:v>
                </c:pt>
                <c:pt idx="228">
                  <c:v>-139.30159393984147</c:v>
                </c:pt>
                <c:pt idx="229">
                  <c:v>-140.72654729171933</c:v>
                </c:pt>
                <c:pt idx="230">
                  <c:v>-142.09678192724394</c:v>
                </c:pt>
                <c:pt idx="231">
                  <c:v>-143.41188068535848</c:v>
                </c:pt>
                <c:pt idx="232">
                  <c:v>-144.67210987494201</c:v>
                </c:pt>
                <c:pt idx="233">
                  <c:v>-145.8782810384551</c:v>
                </c:pt>
                <c:pt idx="234">
                  <c:v>-147.03162966478155</c:v>
                </c:pt>
                <c:pt idx="235">
                  <c:v>-148.13371071089884</c:v>
                </c:pt>
                <c:pt idx="236">
                  <c:v>-149.18631015768767</c:v>
                </c:pt>
                <c:pt idx="237">
                  <c:v>-150.191371381701</c:v>
                </c:pt>
                <c:pt idx="238">
                  <c:v>-151.15093485998952</c:v>
                </c:pt>
                <c:pt idx="239">
                  <c:v>-152.06708960870213</c:v>
                </c:pt>
                <c:pt idx="240">
                  <c:v>-152.94193475209451</c:v>
                </c:pt>
                <c:pt idx="241">
                  <c:v>-153.77754969238921</c:v>
                </c:pt>
                <c:pt idx="242">
                  <c:v>-154.57597147343205</c:v>
                </c:pt>
                <c:pt idx="243">
                  <c:v>-155.33917807941538</c:v>
                </c:pt>
                <c:pt idx="244">
                  <c:v>-156.06907656736431</c:v>
                </c:pt>
                <c:pt idx="245">
                  <c:v>-156.76749508718228</c:v>
                </c:pt>
                <c:pt idx="246">
                  <c:v>-157.43617798862266</c:v>
                </c:pt>
                <c:pt idx="247">
                  <c:v>-158.07678334655606</c:v>
                </c:pt>
                <c:pt idx="248">
                  <c:v>-158.6908823525626</c:v>
                </c:pt>
                <c:pt idx="249">
                  <c:v>-159.2799601219281</c:v>
                </c:pt>
                <c:pt idx="250">
                  <c:v>-159.84541755124957</c:v>
                </c:pt>
                <c:pt idx="251">
                  <c:v>-160.38857393430106</c:v>
                </c:pt>
                <c:pt idx="252">
                  <c:v>-160.91067010406519</c:v>
                </c:pt>
                <c:pt idx="253">
                  <c:v>-161.41287191846931</c:v>
                </c:pt>
                <c:pt idx="254">
                  <c:v>-161.89627394790475</c:v>
                </c:pt>
                <c:pt idx="255">
                  <c:v>-162.36190325545888</c:v>
                </c:pt>
                <c:pt idx="256">
                  <c:v>-162.81072318722019</c:v>
                </c:pt>
                <c:pt idx="257">
                  <c:v>-163.24363711113557</c:v>
                </c:pt>
                <c:pt idx="258">
                  <c:v>-163.66149205964618</c:v>
                </c:pt>
                <c:pt idx="259">
                  <c:v>-164.06508224452554</c:v>
                </c:pt>
                <c:pt idx="260">
                  <c:v>-164.45515242264904</c:v>
                </c:pt>
                <c:pt idx="261">
                  <c:v>-164.83240109941158</c:v>
                </c:pt>
                <c:pt idx="262">
                  <c:v>-165.19748356263213</c:v>
                </c:pt>
                <c:pt idx="263">
                  <c:v>-165.55101474442347</c:v>
                </c:pt>
                <c:pt idx="264">
                  <c:v>-165.89357191196598</c:v>
                </c:pt>
                <c:pt idx="265">
                  <c:v>-166.22569719065984</c:v>
                </c:pt>
                <c:pt idx="266">
                  <c:v>-166.54789992493247</c:v>
                </c:pt>
                <c:pt idx="267">
                  <c:v>-166.86065888322011</c:v>
                </c:pt>
                <c:pt idx="268">
                  <c:v>-167.16442431444102</c:v>
                </c:pt>
                <c:pt idx="269">
                  <c:v>-167.459619863743</c:v>
                </c:pt>
                <c:pt idx="270">
                  <c:v>-167.74664435551944</c:v>
                </c:pt>
                <c:pt idx="271">
                  <c:v>-168.02587345170676</c:v>
                </c:pt>
                <c:pt idx="272">
                  <c:v>-168.29766119325811</c:v>
                </c:pt>
                <c:pt idx="273">
                  <c:v>-168.56234143246544</c:v>
                </c:pt>
                <c:pt idx="274">
                  <c:v>-168.82022916351497</c:v>
                </c:pt>
                <c:pt idx="275">
                  <c:v>-169.07162175832156</c:v>
                </c:pt>
                <c:pt idx="276">
                  <c:v>-169.31680011432661</c:v>
                </c:pt>
                <c:pt idx="277">
                  <c:v>-169.55602972056289</c:v>
                </c:pt>
                <c:pt idx="278">
                  <c:v>-169.78956164790839</c:v>
                </c:pt>
                <c:pt idx="279">
                  <c:v>-170.01763346907379</c:v>
                </c:pt>
                <c:pt idx="280">
                  <c:v>-170.2404701134966</c:v>
                </c:pt>
                <c:pt idx="281">
                  <c:v>-170.4582846619609</c:v>
                </c:pt>
                <c:pt idx="282">
                  <c:v>-170.67127908541926</c:v>
                </c:pt>
                <c:pt idx="283">
                  <c:v>-170.87964493217191</c:v>
                </c:pt>
                <c:pt idx="284">
                  <c:v>-171.08356396725171</c:v>
                </c:pt>
                <c:pt idx="285">
                  <c:v>-171.28320876757758</c:v>
                </c:pt>
                <c:pt idx="286">
                  <c:v>-171.47874327617163</c:v>
                </c:pt>
                <c:pt idx="287">
                  <c:v>-171.67032331848381</c:v>
                </c:pt>
                <c:pt idx="288">
                  <c:v>-171.85809708363584</c:v>
                </c:pt>
                <c:pt idx="289">
                  <c:v>-172.04220557318146</c:v>
                </c:pt>
                <c:pt idx="290">
                  <c:v>-172.22278301977801</c:v>
                </c:pt>
                <c:pt idx="291">
                  <c:v>-172.39995727797998</c:v>
                </c:pt>
                <c:pt idx="292">
                  <c:v>-172.57385018919626</c:v>
                </c:pt>
                <c:pt idx="293">
                  <c:v>-172.7445779226903</c:v>
                </c:pt>
                <c:pt idx="294">
                  <c:v>-172.91225129436276</c:v>
                </c:pt>
                <c:pt idx="295">
                  <c:v>-173.07697606491604</c:v>
                </c:pt>
                <c:pt idx="296">
                  <c:v>-173.23885321888224</c:v>
                </c:pt>
                <c:pt idx="297">
                  <c:v>-173.39797922587724</c:v>
                </c:pt>
                <c:pt idx="298">
                  <c:v>-173.55444628534269</c:v>
                </c:pt>
                <c:pt idx="299">
                  <c:v>-173.70834255593857</c:v>
                </c:pt>
                <c:pt idx="300">
                  <c:v>-173.85975237066282</c:v>
                </c:pt>
                <c:pt idx="301">
                  <c:v>-174.00875643868986</c:v>
                </c:pt>
                <c:pt idx="302">
                  <c:v>-174.15543203484796</c:v>
                </c:pt>
                <c:pt idx="303">
                  <c:v>-174.29985317758377</c:v>
                </c:pt>
                <c:pt idx="304">
                  <c:v>-174.44209079619984</c:v>
                </c:pt>
                <c:pt idx="305">
                  <c:v>-174.58221288809233</c:v>
                </c:pt>
                <c:pt idx="306">
                  <c:v>-174.72028466666225</c:v>
                </c:pt>
                <c:pt idx="307">
                  <c:v>-174.85636870052326</c:v>
                </c:pt>
                <c:pt idx="308">
                  <c:v>-174.99052504458442</c:v>
                </c:pt>
                <c:pt idx="309">
                  <c:v>-175.12281136354244</c:v>
                </c:pt>
                <c:pt idx="310">
                  <c:v>-175.2532830482821</c:v>
                </c:pt>
                <c:pt idx="311">
                  <c:v>-175.38199332564355</c:v>
                </c:pt>
                <c:pt idx="312">
                  <c:v>-175.50899336198623</c:v>
                </c:pt>
                <c:pt idx="313">
                  <c:v>-175.63433236094573</c:v>
                </c:pt>
                <c:pt idx="314">
                  <c:v>-175.75805765575362</c:v>
                </c:pt>
                <c:pt idx="315">
                  <c:v>-175.88021479646306</c:v>
                </c:pt>
                <c:pt idx="316">
                  <c:v>-176.00084763239971</c:v>
                </c:pt>
                <c:pt idx="317">
                  <c:v>-176.11999839013518</c:v>
                </c:pt>
                <c:pt idx="318">
                  <c:v>-176.23770774725938</c:v>
                </c:pt>
                <c:pt idx="319">
                  <c:v>-176.35401490221</c:v>
                </c:pt>
                <c:pt idx="320">
                  <c:v>-176.46895764039795</c:v>
                </c:pt>
                <c:pt idx="321">
                  <c:v>-176.5825723968544</c:v>
                </c:pt>
                <c:pt idx="322">
                  <c:v>-176.6948943156066</c:v>
                </c:pt>
                <c:pt idx="323">
                  <c:v>-176.80595730597821</c:v>
                </c:pt>
                <c:pt idx="324">
                  <c:v>-176.91579409599578</c:v>
                </c:pt>
                <c:pt idx="325">
                  <c:v>-177.02443628307128</c:v>
                </c:pt>
                <c:pt idx="326">
                  <c:v>-177.1319143821195</c:v>
                </c:pt>
                <c:pt idx="327">
                  <c:v>-177.23825787125892</c:v>
                </c:pt>
                <c:pt idx="328">
                  <c:v>-177.34349523523429</c:v>
                </c:pt>
                <c:pt idx="329">
                  <c:v>-177.44765400669195</c:v>
                </c:pt>
                <c:pt idx="330">
                  <c:v>-177.55076080542847</c:v>
                </c:pt>
                <c:pt idx="331">
                  <c:v>-177.65284137572709</c:v>
                </c:pt>
                <c:pt idx="332">
                  <c:v>-177.75392062188871</c:v>
                </c:pt>
                <c:pt idx="333">
                  <c:v>-177.85402264205734</c:v>
                </c:pt>
                <c:pt idx="334">
                  <c:v>-177.95317076043435</c:v>
                </c:pt>
                <c:pt idx="335">
                  <c:v>-178.0513875579687</c:v>
                </c:pt>
                <c:pt idx="336">
                  <c:v>-178.14869490160689</c:v>
                </c:pt>
                <c:pt idx="337">
                  <c:v>-178.24511397217958</c:v>
                </c:pt>
                <c:pt idx="338">
                  <c:v>-178.34066529099815</c:v>
                </c:pt>
                <c:pt idx="339">
                  <c:v>-178.43536874522977</c:v>
                </c:pt>
                <c:pt idx="340">
                  <c:v>-178.52924361211507</c:v>
                </c:pt>
                <c:pt idx="341">
                  <c:v>-178.62230858208972</c:v>
                </c:pt>
                <c:pt idx="342">
                  <c:v>-178.71458178086669</c:v>
                </c:pt>
                <c:pt idx="343">
                  <c:v>-178.80608079053252</c:v>
                </c:pt>
                <c:pt idx="344">
                  <c:v>-178.89682266970902</c:v>
                </c:pt>
                <c:pt idx="345">
                  <c:v>-178.98682397282749</c:v>
                </c:pt>
                <c:pt idx="346">
                  <c:v>-179.07610076856068</c:v>
                </c:pt>
                <c:pt idx="347">
                  <c:v>-179.16466865745477</c:v>
                </c:pt>
                <c:pt idx="348">
                  <c:v>-179.25254278880149</c:v>
                </c:pt>
                <c:pt idx="349">
                  <c:v>-179.33973787678789</c:v>
                </c:pt>
                <c:pt idx="350">
                  <c:v>-179.42626821595962</c:v>
                </c:pt>
                <c:pt idx="351">
                  <c:v>-179.51214769603146</c:v>
                </c:pt>
                <c:pt idx="352">
                  <c:v>-179.59738981607629</c:v>
                </c:pt>
                <c:pt idx="353">
                  <c:v>-179.6820076981233</c:v>
                </c:pt>
                <c:pt idx="354">
                  <c:v>-179.76601410019342</c:v>
                </c:pt>
                <c:pt idx="355">
                  <c:v>-179.84942142879891</c:v>
                </c:pt>
                <c:pt idx="356">
                  <c:v>-179.93224175093249</c:v>
                </c:pt>
                <c:pt idx="357">
                  <c:v>-180.01448680557024</c:v>
                </c:pt>
                <c:pt idx="358">
                  <c:v>-180.09616801471074</c:v>
                </c:pt>
                <c:pt idx="359">
                  <c:v>-180.17729649397234</c:v>
                </c:pt>
                <c:pt idx="360">
                  <c:v>-180.2578830627688</c:v>
                </c:pt>
                <c:pt idx="361">
                  <c:v>-180.33793825408304</c:v>
                </c:pt>
                <c:pt idx="362">
                  <c:v>-180.41747232385626</c:v>
                </c:pt>
                <c:pt idx="363">
                  <c:v>-180.49649526001161</c:v>
                </c:pt>
                <c:pt idx="364">
                  <c:v>-180.57501679112741</c:v>
                </c:pt>
                <c:pt idx="365">
                  <c:v>-180.6530463947762</c:v>
                </c:pt>
                <c:pt idx="366">
                  <c:v>-180.73059330554463</c:v>
                </c:pt>
                <c:pt idx="367">
                  <c:v>-180.80766652274829</c:v>
                </c:pt>
                <c:pt idx="368">
                  <c:v>-180.8842748178543</c:v>
                </c:pt>
                <c:pt idx="369">
                  <c:v>-180.96042674162527</c:v>
                </c:pt>
                <c:pt idx="370">
                  <c:v>-181.03613063099661</c:v>
                </c:pt>
                <c:pt idx="371">
                  <c:v>-181.11139461569798</c:v>
                </c:pt>
                <c:pt idx="372">
                  <c:v>-181.18622662463065</c:v>
                </c:pt>
                <c:pt idx="373">
                  <c:v>-181.26063439201121</c:v>
                </c:pt>
                <c:pt idx="374">
                  <c:v>-181.33462546329085</c:v>
                </c:pt>
                <c:pt idx="375">
                  <c:v>-181.40820720086001</c:v>
                </c:pt>
                <c:pt idx="376">
                  <c:v>-181.48138678954831</c:v>
                </c:pt>
                <c:pt idx="377">
                  <c:v>-181.55417124192644</c:v>
                </c:pt>
                <c:pt idx="378">
                  <c:v>-181.62656740342018</c:v>
                </c:pt>
                <c:pt idx="379">
                  <c:v>-181.69858195724262</c:v>
                </c:pt>
                <c:pt idx="380">
                  <c:v>-181.77022142915351</c:v>
                </c:pt>
                <c:pt idx="381">
                  <c:v>-181.84149219205167</c:v>
                </c:pt>
                <c:pt idx="382">
                  <c:v>-181.91240047040759</c:v>
                </c:pt>
                <c:pt idx="383">
                  <c:v>-181.98295234454295</c:v>
                </c:pt>
                <c:pt idx="384">
                  <c:v>-182.05315375476303</c:v>
                </c:pt>
                <c:pt idx="385">
                  <c:v>-182.12301050534737</c:v>
                </c:pt>
                <c:pt idx="386">
                  <c:v>-182.192528268405</c:v>
                </c:pt>
                <c:pt idx="387">
                  <c:v>-182.26171258759956</c:v>
                </c:pt>
                <c:pt idx="388">
                  <c:v>-182.33056888174866</c:v>
                </c:pt>
                <c:pt idx="389">
                  <c:v>-182.39910244830313</c:v>
                </c:pt>
                <c:pt idx="390">
                  <c:v>-182.46731846671065</c:v>
                </c:pt>
                <c:pt idx="391">
                  <c:v>-182.53522200166799</c:v>
                </c:pt>
                <c:pt idx="392">
                  <c:v>-182.60281800626626</c:v>
                </c:pt>
                <c:pt idx="393">
                  <c:v>-182.67011132503347</c:v>
                </c:pt>
                <c:pt idx="394">
                  <c:v>-182.73710669687773</c:v>
                </c:pt>
                <c:pt idx="395">
                  <c:v>-182.80380875793554</c:v>
                </c:pt>
                <c:pt idx="396">
                  <c:v>-182.87022204432844</c:v>
                </c:pt>
                <c:pt idx="397">
                  <c:v>-182.93635099483092</c:v>
                </c:pt>
                <c:pt idx="398">
                  <c:v>-183.00219995345381</c:v>
                </c:pt>
                <c:pt idx="399">
                  <c:v>-183.0677731719459</c:v>
                </c:pt>
                <c:pt idx="400">
                  <c:v>-183.13307481221619</c:v>
                </c:pt>
                <c:pt idx="401">
                  <c:v>-183.19810894868075</c:v>
                </c:pt>
                <c:pt idx="402">
                  <c:v>-183.262879570536</c:v>
                </c:pt>
                <c:pt idx="403">
                  <c:v>-183.32739058396191</c:v>
                </c:pt>
                <c:pt idx="404">
                  <c:v>-183.39164581425663</c:v>
                </c:pt>
                <c:pt idx="405">
                  <c:v>-183.455649007906</c:v>
                </c:pt>
                <c:pt idx="406">
                  <c:v>-183.51940383458972</c:v>
                </c:pt>
                <c:pt idx="407">
                  <c:v>-183.58291388912644</c:v>
                </c:pt>
                <c:pt idx="408">
                  <c:v>-183.64618269336017</c:v>
                </c:pt>
                <c:pt idx="409">
                  <c:v>-183.70921369798972</c:v>
                </c:pt>
                <c:pt idx="410">
                  <c:v>-183.77201028434368</c:v>
                </c:pt>
                <c:pt idx="411">
                  <c:v>-183.8345757661022</c:v>
                </c:pt>
                <c:pt idx="412">
                  <c:v>-183.896913390968</c:v>
                </c:pt>
                <c:pt idx="413">
                  <c:v>-183.95902634228776</c:v>
                </c:pt>
                <c:pt idx="414">
                  <c:v>-184.02091774062626</c:v>
                </c:pt>
                <c:pt idx="415">
                  <c:v>-184.08259064529449</c:v>
                </c:pt>
                <c:pt idx="416">
                  <c:v>-184.14404805583288</c:v>
                </c:pt>
                <c:pt idx="417">
                  <c:v>-184.20529291345241</c:v>
                </c:pt>
                <c:pt idx="418">
                  <c:v>-184.26632810243353</c:v>
                </c:pt>
                <c:pt idx="419">
                  <c:v>-184.32715645148531</c:v>
                </c:pt>
                <c:pt idx="420">
                  <c:v>-184.38778073506595</c:v>
                </c:pt>
                <c:pt idx="421">
                  <c:v>-184.44820367466551</c:v>
                </c:pt>
                <c:pt idx="422">
                  <c:v>-184.50842794005263</c:v>
                </c:pt>
                <c:pt idx="423">
                  <c:v>-184.56845615048616</c:v>
                </c:pt>
                <c:pt idx="424">
                  <c:v>-184.62829087589276</c:v>
                </c:pt>
                <c:pt idx="425">
                  <c:v>-184.68793463801205</c:v>
                </c:pt>
                <c:pt idx="426">
                  <c:v>-184.74738991150952</c:v>
                </c:pt>
                <c:pt idx="427">
                  <c:v>-184.80665912505904</c:v>
                </c:pt>
                <c:pt idx="428">
                  <c:v>-184.86574466239585</c:v>
                </c:pt>
                <c:pt idx="429">
                  <c:v>-184.92464886334017</c:v>
                </c:pt>
                <c:pt idx="430">
                  <c:v>-184.98337402479342</c:v>
                </c:pt>
                <c:pt idx="431">
                  <c:v>-185.04192240170738</c:v>
                </c:pt>
                <c:pt idx="432">
                  <c:v>-185.10029620802706</c:v>
                </c:pt>
                <c:pt idx="433">
                  <c:v>-185.15849761760842</c:v>
                </c:pt>
                <c:pt idx="434">
                  <c:v>-185.21652876511138</c:v>
                </c:pt>
                <c:pt idx="435">
                  <c:v>-185.27439174686921</c:v>
                </c:pt>
                <c:pt idx="436">
                  <c:v>-185.33208862173512</c:v>
                </c:pt>
                <c:pt idx="437">
                  <c:v>-185.38962141190586</c:v>
                </c:pt>
                <c:pt idx="438">
                  <c:v>-185.44699210372423</c:v>
                </c:pt>
                <c:pt idx="439">
                  <c:v>-185.50420264846062</c:v>
                </c:pt>
                <c:pt idx="440">
                  <c:v>-185.56125496307399</c:v>
                </c:pt>
                <c:pt idx="441">
                  <c:v>-185.61815093095316</c:v>
                </c:pt>
                <c:pt idx="442">
                  <c:v>-185.6748924026391</c:v>
                </c:pt>
                <c:pt idx="443">
                  <c:v>-185.73148119652853</c:v>
                </c:pt>
                <c:pt idx="444">
                  <c:v>-185.78791909955945</c:v>
                </c:pt>
                <c:pt idx="445">
                  <c:v>-185.84420786787965</c:v>
                </c:pt>
                <c:pt idx="446">
                  <c:v>-185.90034922749768</c:v>
                </c:pt>
                <c:pt idx="447">
                  <c:v>-185.95634487491787</c:v>
                </c:pt>
                <c:pt idx="448">
                  <c:v>-186.01219647775898</c:v>
                </c:pt>
                <c:pt idx="449">
                  <c:v>-186.06790567535748</c:v>
                </c:pt>
                <c:pt idx="450">
                  <c:v>-186.12347407935624</c:v>
                </c:pt>
                <c:pt idx="451">
                  <c:v>-186.17890327427767</c:v>
                </c:pt>
                <c:pt idx="452">
                  <c:v>-186.23419481808369</c:v>
                </c:pt>
                <c:pt idx="453">
                  <c:v>-186.28935024272121</c:v>
                </c:pt>
                <c:pt idx="454">
                  <c:v>-186.34437105465429</c:v>
                </c:pt>
                <c:pt idx="455">
                  <c:v>-186.39925873538402</c:v>
                </c:pt>
                <c:pt idx="456">
                  <c:v>-186.45401474195469</c:v>
                </c:pt>
                <c:pt idx="457">
                  <c:v>-186.50864050744832</c:v>
                </c:pt>
                <c:pt idx="458">
                  <c:v>-186.56313744146746</c:v>
                </c:pt>
                <c:pt idx="459">
                  <c:v>-186.61750693060566</c:v>
                </c:pt>
                <c:pt idx="460">
                  <c:v>-186.67175033890743</c:v>
                </c:pt>
                <c:pt idx="461">
                  <c:v>-186.72586900831664</c:v>
                </c:pt>
                <c:pt idx="462">
                  <c:v>-186.77986425911473</c:v>
                </c:pt>
                <c:pt idx="463">
                  <c:v>-186.83373739034838</c:v>
                </c:pt>
                <c:pt idx="464">
                  <c:v>-186.88748968024694</c:v>
                </c:pt>
                <c:pt idx="465">
                  <c:v>-186.9411223866303</c:v>
                </c:pt>
                <c:pt idx="466">
                  <c:v>-186.99463674730717</c:v>
                </c:pt>
                <c:pt idx="467">
                  <c:v>-187.048033980464</c:v>
                </c:pt>
                <c:pt idx="468">
                  <c:v>-187.10131528504499</c:v>
                </c:pt>
                <c:pt idx="469">
                  <c:v>-187.15448184112333</c:v>
                </c:pt>
                <c:pt idx="470">
                  <c:v>-187.20753481026372</c:v>
                </c:pt>
                <c:pt idx="471">
                  <c:v>-187.26047533587683</c:v>
                </c:pt>
                <c:pt idx="472">
                  <c:v>-187.31330454356547</c:v>
                </c:pt>
                <c:pt idx="473">
                  <c:v>-187.36602354146291</c:v>
                </c:pt>
                <c:pt idx="474">
                  <c:v>-187.41863342056371</c:v>
                </c:pt>
                <c:pt idx="475">
                  <c:v>-187.47113525504702</c:v>
                </c:pt>
                <c:pt idx="476">
                  <c:v>-187.52353010259222</c:v>
                </c:pt>
                <c:pt idx="477">
                  <c:v>-187.57581900468821</c:v>
                </c:pt>
                <c:pt idx="478">
                  <c:v>-187.62800298693503</c:v>
                </c:pt>
                <c:pt idx="479">
                  <c:v>-187.68008305933961</c:v>
                </c:pt>
                <c:pt idx="480">
                  <c:v>-187.73206021660394</c:v>
                </c:pt>
                <c:pt idx="481">
                  <c:v>-187.78393543840789</c:v>
                </c:pt>
                <c:pt idx="482">
                  <c:v>-187.83570968968536</c:v>
                </c:pt>
                <c:pt idx="483">
                  <c:v>-187.88738392089391</c:v>
                </c:pt>
                <c:pt idx="484">
                  <c:v>-187.93895906827962</c:v>
                </c:pt>
                <c:pt idx="485">
                  <c:v>-187.99043605413516</c:v>
                </c:pt>
                <c:pt idx="486">
                  <c:v>-188.04181578705271</c:v>
                </c:pt>
                <c:pt idx="487">
                  <c:v>-188.09309916217146</c:v>
                </c:pt>
                <c:pt idx="488">
                  <c:v>-188.14428706141967</c:v>
                </c:pt>
                <c:pt idx="489">
                  <c:v>-188.19538035375152</c:v>
                </c:pt>
                <c:pt idx="490">
                  <c:v>-188.24637989537905</c:v>
                </c:pt>
                <c:pt idx="491">
                  <c:v>-188.29728652999893</c:v>
                </c:pt>
                <c:pt idx="492">
                  <c:v>-188.3481010890147</c:v>
                </c:pt>
                <c:pt idx="493">
                  <c:v>-188.39882439175406</c:v>
                </c:pt>
                <c:pt idx="494">
                  <c:v>-188.44945724568174</c:v>
                </c:pt>
                <c:pt idx="495">
                  <c:v>-188.50000044660794</c:v>
                </c:pt>
                <c:pt idx="496">
                  <c:v>-188.55045477889215</c:v>
                </c:pt>
                <c:pt idx="497">
                  <c:v>-188.60082101564316</c:v>
                </c:pt>
                <c:pt idx="498">
                  <c:v>-188.65109991891433</c:v>
                </c:pt>
                <c:pt idx="499">
                  <c:v>-188.70129223989551</c:v>
                </c:pt>
                <c:pt idx="500">
                  <c:v>-188.75139871910048</c:v>
                </c:pt>
                <c:pt idx="501">
                  <c:v>-188.80142008655065</c:v>
                </c:pt>
                <c:pt idx="502">
                  <c:v>-188.85135706195521</c:v>
                </c:pt>
                <c:pt idx="503">
                  <c:v>-188.9012103548873</c:v>
                </c:pt>
                <c:pt idx="504">
                  <c:v>-188.95098066495686</c:v>
                </c:pt>
                <c:pt idx="505">
                  <c:v>-189.00066868197985</c:v>
                </c:pt>
                <c:pt idx="506">
                  <c:v>-189.05027508614404</c:v>
                </c:pt>
                <c:pt idx="507">
                  <c:v>-189.09980054817157</c:v>
                </c:pt>
                <c:pt idx="508">
                  <c:v>-189.14924572947794</c:v>
                </c:pt>
                <c:pt idx="509">
                  <c:v>-189.1986112823285</c:v>
                </c:pt>
                <c:pt idx="510">
                  <c:v>-189.24789784999081</c:v>
                </c:pt>
                <c:pt idx="511">
                  <c:v>-189.29710606688511</c:v>
                </c:pt>
                <c:pt idx="512">
                  <c:v>-189.34623655873077</c:v>
                </c:pt>
                <c:pt idx="513">
                  <c:v>-189.39528994269062</c:v>
                </c:pt>
                <c:pt idx="514">
                  <c:v>-189.44426682751205</c:v>
                </c:pt>
                <c:pt idx="515">
                  <c:v>-189.49316781366548</c:v>
                </c:pt>
                <c:pt idx="516">
                  <c:v>-189.54199349347996</c:v>
                </c:pt>
                <c:pt idx="517">
                  <c:v>-189.59074445127649</c:v>
                </c:pt>
                <c:pt idx="518">
                  <c:v>-189.63942126349826</c:v>
                </c:pt>
                <c:pt idx="519">
                  <c:v>-189.68802449883881</c:v>
                </c:pt>
                <c:pt idx="520">
                  <c:v>-189.73655471836759</c:v>
                </c:pt>
                <c:pt idx="521">
                  <c:v>-189.78501247565271</c:v>
                </c:pt>
                <c:pt idx="522">
                  <c:v>-189.83339831688221</c:v>
                </c:pt>
                <c:pt idx="523">
                  <c:v>-189.88171278098207</c:v>
                </c:pt>
                <c:pt idx="524">
                  <c:v>-189.92995639973253</c:v>
                </c:pt>
                <c:pt idx="525">
                  <c:v>-189.97812969788222</c:v>
                </c:pt>
                <c:pt idx="526">
                  <c:v>-190.02623319325974</c:v>
                </c:pt>
                <c:pt idx="527">
                  <c:v>-190.07426739688347</c:v>
                </c:pt>
                <c:pt idx="528">
                  <c:v>-190.12223281306933</c:v>
                </c:pt>
                <c:pt idx="529">
                  <c:v>-190.17012993953631</c:v>
                </c:pt>
                <c:pt idx="530">
                  <c:v>-190.21795926751011</c:v>
                </c:pt>
                <c:pt idx="531">
                  <c:v>-190.26572128182491</c:v>
                </c:pt>
                <c:pt idx="532">
                  <c:v>-190.31341646102337</c:v>
                </c:pt>
                <c:pt idx="533">
                  <c:v>-190.36104527745428</c:v>
                </c:pt>
                <c:pt idx="534">
                  <c:v>-190.40860819736912</c:v>
                </c:pt>
                <c:pt idx="535">
                  <c:v>-190.45610568101625</c:v>
                </c:pt>
                <c:pt idx="536">
                  <c:v>-190.50353818273385</c:v>
                </c:pt>
                <c:pt idx="537">
                  <c:v>-190.55090615104044</c:v>
                </c:pt>
                <c:pt idx="538">
                  <c:v>-190.59821002872488</c:v>
                </c:pt>
                <c:pt idx="539">
                  <c:v>-190.64545025293356</c:v>
                </c:pt>
                <c:pt idx="540">
                  <c:v>-190.6926272552567</c:v>
                </c:pt>
                <c:pt idx="541">
                  <c:v>-190.73974146181308</c:v>
                </c:pt>
                <c:pt idx="542">
                  <c:v>-190.78679329333286</c:v>
                </c:pt>
                <c:pt idx="543">
                  <c:v>-190.83378316523942</c:v>
                </c:pt>
                <c:pt idx="544">
                  <c:v>-190.88071148772909</c:v>
                </c:pt>
                <c:pt idx="545">
                  <c:v>-190.92757866585009</c:v>
                </c:pt>
                <c:pt idx="546">
                  <c:v>-190.97438509957993</c:v>
                </c:pt>
                <c:pt idx="547">
                  <c:v>-191.02113118390096</c:v>
                </c:pt>
                <c:pt idx="548">
                  <c:v>-191.06781730887516</c:v>
                </c:pt>
                <c:pt idx="549">
                  <c:v>-191.11444385971745</c:v>
                </c:pt>
                <c:pt idx="550">
                  <c:v>-191.16101121686751</c:v>
                </c:pt>
                <c:pt idx="551">
                  <c:v>-191.20751975606052</c:v>
                </c:pt>
                <c:pt idx="552">
                  <c:v>-191.25396984839668</c:v>
                </c:pt>
                <c:pt idx="553">
                  <c:v>-191.30036186040951</c:v>
                </c:pt>
                <c:pt idx="554">
                  <c:v>-191.34669615413273</c:v>
                </c:pt>
                <c:pt idx="555">
                  <c:v>-191.39297308716647</c:v>
                </c:pt>
                <c:pt idx="556">
                  <c:v>-191.4391930127417</c:v>
                </c:pt>
                <c:pt idx="557">
                  <c:v>-191.48535627978421</c:v>
                </c:pt>
                <c:pt idx="558">
                  <c:v>-191.53146323297696</c:v>
                </c:pt>
                <c:pt idx="559">
                  <c:v>-191.57751421282177</c:v>
                </c:pt>
                <c:pt idx="560">
                  <c:v>-191.62350955569957</c:v>
                </c:pt>
                <c:pt idx="561">
                  <c:v>-191.66944959392984</c:v>
                </c:pt>
                <c:pt idx="562">
                  <c:v>-191.71533465582922</c:v>
                </c:pt>
                <c:pt idx="563">
                  <c:v>-191.76116506576878</c:v>
                </c:pt>
                <c:pt idx="564">
                  <c:v>-191.80694114423039</c:v>
                </c:pt>
                <c:pt idx="565">
                  <c:v>-191.85266320786238</c:v>
                </c:pt>
                <c:pt idx="566">
                  <c:v>-191.89833156953412</c:v>
                </c:pt>
                <c:pt idx="567">
                  <c:v>-191.9439465383895</c:v>
                </c:pt>
                <c:pt idx="568">
                  <c:v>-191.98950841989989</c:v>
                </c:pt>
                <c:pt idx="569">
                  <c:v>-192.03501751591594</c:v>
                </c:pt>
                <c:pt idx="570">
                  <c:v>-192.08047412471856</c:v>
                </c:pt>
                <c:pt idx="571">
                  <c:v>-192.12587854106917</c:v>
                </c:pt>
                <c:pt idx="572">
                  <c:v>-192.17123105625902</c:v>
                </c:pt>
                <c:pt idx="573">
                  <c:v>-192.21653195815779</c:v>
                </c:pt>
                <c:pt idx="574">
                  <c:v>-192.26178153126122</c:v>
                </c:pt>
                <c:pt idx="575">
                  <c:v>-192.30698005673813</c:v>
                </c:pt>
                <c:pt idx="576">
                  <c:v>-192.35212781247668</c:v>
                </c:pt>
                <c:pt idx="577">
                  <c:v>-192.39722507312976</c:v>
                </c:pt>
                <c:pt idx="578">
                  <c:v>-192.44227211015959</c:v>
                </c:pt>
                <c:pt idx="579">
                  <c:v>-192.48726919188186</c:v>
                </c:pt>
                <c:pt idx="580">
                  <c:v>-192.53221658350898</c:v>
                </c:pt>
                <c:pt idx="581">
                  <c:v>-192.57711454719256</c:v>
                </c:pt>
                <c:pt idx="582">
                  <c:v>-192.62196334206538</c:v>
                </c:pt>
                <c:pt idx="583">
                  <c:v>-192.66676322428259</c:v>
                </c:pt>
                <c:pt idx="584">
                  <c:v>-192.71151444706231</c:v>
                </c:pt>
                <c:pt idx="585">
                  <c:v>-192.75621726072541</c:v>
                </c:pt>
                <c:pt idx="586">
                  <c:v>-192.80087191273495</c:v>
                </c:pt>
                <c:pt idx="587">
                  <c:v>-192.84547864773486</c:v>
                </c:pt>
                <c:pt idx="588">
                  <c:v>-192.89003770758777</c:v>
                </c:pt>
                <c:pt idx="589">
                  <c:v>-192.9345493314126</c:v>
                </c:pt>
                <c:pt idx="590">
                  <c:v>-192.97901375562154</c:v>
                </c:pt>
                <c:pt idx="591">
                  <c:v>-193.02343121395609</c:v>
                </c:pt>
                <c:pt idx="592">
                  <c:v>-193.06780193752292</c:v>
                </c:pt>
                <c:pt idx="593">
                  <c:v>-193.11212615482901</c:v>
                </c:pt>
                <c:pt idx="594">
                  <c:v>-193.15640409181628</c:v>
                </c:pt>
                <c:pt idx="595">
                  <c:v>-193.20063597189557</c:v>
                </c:pt>
                <c:pt idx="596">
                  <c:v>-193.24482201598019</c:v>
                </c:pt>
                <c:pt idx="597">
                  <c:v>-193.28896244251919</c:v>
                </c:pt>
                <c:pt idx="598">
                  <c:v>-193.3330574675295</c:v>
                </c:pt>
                <c:pt idx="599">
                  <c:v>-193.37710730462831</c:v>
                </c:pt>
                <c:pt idx="600">
                  <c:v>-193.42111216506422</c:v>
                </c:pt>
                <c:pt idx="601">
                  <c:v>-193.46507225774869</c:v>
                </c:pt>
                <c:pt idx="602">
                  <c:v>-193.50898778928629</c:v>
                </c:pt>
                <c:pt idx="603">
                  <c:v>-193.55285896400505</c:v>
                </c:pt>
                <c:pt idx="604">
                  <c:v>-193.59668598398591</c:v>
                </c:pt>
                <c:pt idx="605">
                  <c:v>-193.64046904909202</c:v>
                </c:pt>
                <c:pt idx="606">
                  <c:v>-195.77742836844774</c:v>
                </c:pt>
                <c:pt idx="607">
                  <c:v>-197.8234320318609</c:v>
                </c:pt>
                <c:pt idx="608">
                  <c:v>-199.79028587717036</c:v>
                </c:pt>
                <c:pt idx="609">
                  <c:v>-201.68545328242274</c:v>
                </c:pt>
                <c:pt idx="610">
                  <c:v>-203.51388593925435</c:v>
                </c:pt>
                <c:pt idx="611">
                  <c:v>-205.27905432885493</c:v>
                </c:pt>
                <c:pt idx="612">
                  <c:v>-206.98355099977027</c:v>
                </c:pt>
                <c:pt idx="613">
                  <c:v>-208.62945326187133</c:v>
                </c:pt>
                <c:pt idx="614">
                  <c:v>-210.21854443545803</c:v>
                </c:pt>
                <c:pt idx="615">
                  <c:v>-211.75244909470214</c:v>
                </c:pt>
                <c:pt idx="616">
                  <c:v>-213.23271469713168</c:v>
                </c:pt>
                <c:pt idx="617">
                  <c:v>-214.66085924216216</c:v>
                </c:pt>
                <c:pt idx="618">
                  <c:v>-215.26183395446159</c:v>
                </c:pt>
                <c:pt idx="619">
                  <c:v>-215.85332665364211</c:v>
                </c:pt>
                <c:pt idx="620">
                  <c:v>-216.43551635914602</c:v>
                </c:pt>
                <c:pt idx="621">
                  <c:v>-217.00857620341367</c:v>
                </c:pt>
                <c:pt idx="622">
                  <c:v>-217.57267401475639</c:v>
                </c:pt>
                <c:pt idx="623">
                  <c:v>-218.12797281853113</c:v>
                </c:pt>
                <c:pt idx="624">
                  <c:v>-218.67463126803474</c:v>
                </c:pt>
                <c:pt idx="625">
                  <c:v>-219.21280401492166</c:v>
                </c:pt>
                <c:pt idx="626">
                  <c:v>-219.74264202757689</c:v>
                </c:pt>
                <c:pt idx="627">
                  <c:v>-220.26429286470631</c:v>
                </c:pt>
                <c:pt idx="628">
                  <c:v>-220.77790091040617</c:v>
                </c:pt>
                <c:pt idx="629">
                  <c:v>-221.28360757611571</c:v>
                </c:pt>
                <c:pt idx="630">
                  <c:v>-221.78155147412221</c:v>
                </c:pt>
                <c:pt idx="631">
                  <c:v>-222.27186856665355</c:v>
                </c:pt>
                <c:pt idx="632">
                  <c:v>-222.75469229404749</c:v>
                </c:pt>
                <c:pt idx="633">
                  <c:v>-223.23015368501578</c:v>
                </c:pt>
                <c:pt idx="634">
                  <c:v>-223.69838145161322</c:v>
                </c:pt>
                <c:pt idx="635">
                  <c:v>-224.1595020711701</c:v>
                </c:pt>
                <c:pt idx="636">
                  <c:v>-224.61363985713848</c:v>
                </c:pt>
                <c:pt idx="637">
                  <c:v>-225.06091702053928</c:v>
                </c:pt>
                <c:pt idx="638">
                  <c:v>-225.50145372346614</c:v>
                </c:pt>
                <c:pt idx="639">
                  <c:v>-225.93536812590156</c:v>
                </c:pt>
                <c:pt idx="640">
                  <c:v>-226.36277642692733</c:v>
                </c:pt>
                <c:pt idx="641">
                  <c:v>-226.78379290125935</c:v>
                </c:pt>
                <c:pt idx="642">
                  <c:v>-227.19852993190628</c:v>
                </c:pt>
                <c:pt idx="643">
                  <c:v>-227.60709803963627</c:v>
                </c:pt>
                <c:pt idx="644">
                  <c:v>-228.00960590983729</c:v>
                </c:pt>
                <c:pt idx="645">
                  <c:v>-228.40616041726912</c:v>
                </c:pt>
                <c:pt idx="646">
                  <c:v>-228.79686664913157</c:v>
                </c:pt>
                <c:pt idx="647">
                  <c:v>-229.18182792680673</c:v>
                </c:pt>
                <c:pt idx="648">
                  <c:v>-229.56114582657784</c:v>
                </c:pt>
                <c:pt idx="649">
                  <c:v>-229.93492019957731</c:v>
                </c:pt>
                <c:pt idx="650">
                  <c:v>-230.30324919117498</c:v>
                </c:pt>
                <c:pt idx="651">
                  <c:v>-230.66622925998092</c:v>
                </c:pt>
                <c:pt idx="652">
                  <c:v>-231.02395519660553</c:v>
                </c:pt>
                <c:pt idx="653">
                  <c:v>-231.37652014229121</c:v>
                </c:pt>
                <c:pt idx="654">
                  <c:v>-231.7240156075103</c:v>
                </c:pt>
                <c:pt idx="655">
                  <c:v>-232.06653149059895</c:v>
                </c:pt>
                <c:pt idx="656">
                  <c:v>-232.40415609648414</c:v>
                </c:pt>
                <c:pt idx="657">
                  <c:v>-232.7369761555444</c:v>
                </c:pt>
                <c:pt idx="658">
                  <c:v>-233.06507684263147</c:v>
                </c:pt>
                <c:pt idx="659">
                  <c:v>-233.38854179627407</c:v>
                </c:pt>
                <c:pt idx="660">
                  <c:v>-233.70745313807086</c:v>
                </c:pt>
                <c:pt idx="661">
                  <c:v>-234.0218914922765</c:v>
                </c:pt>
                <c:pt idx="662">
                  <c:v>-234.33193600557834</c:v>
                </c:pt>
                <c:pt idx="663">
                  <c:v>-234.63766436705359</c:v>
                </c:pt>
                <c:pt idx="664">
                  <c:v>-234.93915282829758</c:v>
                </c:pt>
                <c:pt idx="665">
                  <c:v>-235.23647622370649</c:v>
                </c:pt>
                <c:pt idx="666">
                  <c:v>-235.52970799089809</c:v>
                </c:pt>
                <c:pt idx="667">
                  <c:v>-235.81892019125095</c:v>
                </c:pt>
              </c:numCache>
            </c:numRef>
          </c:yVal>
          <c:smooth val="0"/>
          <c:extLst>
            <c:ext xmlns:c16="http://schemas.microsoft.com/office/drawing/2014/chart" uri="{C3380CC4-5D6E-409C-BE32-E72D297353CC}">
              <c16:uniqueId val="{0000000D-BED3-43CF-9D4A-81AF6A44D307}"/>
            </c:ext>
          </c:extLst>
        </c:ser>
        <c:ser>
          <c:idx val="1"/>
          <c:order val="8"/>
          <c:tx>
            <c:v>Fc1</c:v>
          </c:tx>
          <c:spPr>
            <a:ln w="25400">
              <a:solidFill>
                <a:schemeClr val="tx1">
                  <a:lumMod val="50000"/>
                  <a:lumOff val="50000"/>
                </a:schemeClr>
              </a:solidFill>
              <a:prstDash val="sysDash"/>
            </a:ln>
          </c:spPr>
          <c:marker>
            <c:symbol val="plus"/>
            <c:size val="10"/>
            <c:spPr>
              <a:noFill/>
              <a:ln w="28575">
                <a:solidFill>
                  <a:schemeClr val="tx1"/>
                </a:solidFill>
              </a:ln>
            </c:spPr>
          </c:marker>
          <c:dPt>
            <c:idx val="2"/>
            <c:marker>
              <c:symbol val="none"/>
            </c:marker>
            <c:bubble3D val="0"/>
            <c:extLst>
              <c:ext xmlns:c16="http://schemas.microsoft.com/office/drawing/2014/chart" uri="{C3380CC4-5D6E-409C-BE32-E72D297353CC}">
                <c16:uniqueId val="{0000000E-BED3-43CF-9D4A-81AF6A44D307}"/>
              </c:ext>
            </c:extLst>
          </c:dPt>
          <c:xVal>
            <c:numRef>
              <c:f>'Bode Plots Calculations'!$B$690:$B$691</c:f>
              <c:numCache>
                <c:formatCode>General</c:formatCode>
                <c:ptCount val="2"/>
                <c:pt idx="0">
                  <c:v>32.5</c:v>
                </c:pt>
                <c:pt idx="1">
                  <c:v>32.5</c:v>
                </c:pt>
              </c:numCache>
            </c:numRef>
          </c:xVal>
          <c:yVal>
            <c:numRef>
              <c:f>'Bode Plots Calculations'!$BG$690:$BG$691</c:f>
              <c:numCache>
                <c:formatCode>General</c:formatCode>
                <c:ptCount val="2"/>
                <c:pt idx="0">
                  <c:v>-115.05098051368076</c:v>
                </c:pt>
                <c:pt idx="1">
                  <c:v>-90</c:v>
                </c:pt>
              </c:numCache>
            </c:numRef>
          </c:yVal>
          <c:smooth val="0"/>
          <c:extLst>
            <c:ext xmlns:c16="http://schemas.microsoft.com/office/drawing/2014/chart" uri="{C3380CC4-5D6E-409C-BE32-E72D297353CC}">
              <c16:uniqueId val="{0000000F-BED3-43CF-9D4A-81AF6A44D307}"/>
            </c:ext>
          </c:extLst>
        </c:ser>
        <c:ser>
          <c:idx val="0"/>
          <c:order val="9"/>
          <c:tx>
            <c:v>Fc2</c:v>
          </c:tx>
          <c:spPr>
            <a:ln w="25400">
              <a:solidFill>
                <a:schemeClr val="tx1">
                  <a:lumMod val="50000"/>
                  <a:lumOff val="50000"/>
                </a:schemeClr>
              </a:solidFill>
              <a:prstDash val="sysDash"/>
            </a:ln>
          </c:spPr>
          <c:marker>
            <c:symbol val="none"/>
          </c:marker>
          <c:xVal>
            <c:numRef>
              <c:f>'Bode Plots Calculations'!$B$688:$B$689</c:f>
              <c:numCache>
                <c:formatCode>General</c:formatCode>
                <c:ptCount val="2"/>
                <c:pt idx="0">
                  <c:v>32.5</c:v>
                </c:pt>
                <c:pt idx="1">
                  <c:v>1000</c:v>
                </c:pt>
              </c:numCache>
            </c:numRef>
          </c:xVal>
          <c:yVal>
            <c:numRef>
              <c:f>'Bode Plots Calculations'!$BG$688:$BG$689</c:f>
              <c:numCache>
                <c:formatCode>General</c:formatCode>
                <c:ptCount val="2"/>
                <c:pt idx="0">
                  <c:v>-115.05098051368076</c:v>
                </c:pt>
                <c:pt idx="1">
                  <c:v>-115.05098051368076</c:v>
                </c:pt>
              </c:numCache>
            </c:numRef>
          </c:yVal>
          <c:smooth val="0"/>
          <c:extLst>
            <c:ext xmlns:c16="http://schemas.microsoft.com/office/drawing/2014/chart" uri="{C3380CC4-5D6E-409C-BE32-E72D297353CC}">
              <c16:uniqueId val="{00000010-BED3-43CF-9D4A-81AF6A44D307}"/>
            </c:ext>
          </c:extLst>
        </c:ser>
        <c:dLbls>
          <c:showLegendKey val="0"/>
          <c:showVal val="0"/>
          <c:showCatName val="0"/>
          <c:showSerName val="0"/>
          <c:showPercent val="0"/>
          <c:showBubbleSize val="0"/>
        </c:dLbls>
        <c:axId val="330383744"/>
        <c:axId val="330385280"/>
      </c:scatterChart>
      <c:valAx>
        <c:axId val="315151872"/>
        <c:scaling>
          <c:logBase val="10"/>
          <c:orientation val="minMax"/>
          <c:max val="1000"/>
          <c:min val="1"/>
        </c:scaling>
        <c:delete val="0"/>
        <c:axPos val="b"/>
        <c:majorGridlines>
          <c:spPr>
            <a:ln w="3175">
              <a:solidFill>
                <a:srgbClr val="969696"/>
              </a:solidFill>
              <a:prstDash val="solid"/>
            </a:ln>
          </c:spPr>
        </c:majorGridlines>
        <c:minorGridlines>
          <c:spPr>
            <a:ln w="3175">
              <a:solidFill>
                <a:srgbClr val="969696"/>
              </a:solidFill>
              <a:prstDash val="solid"/>
            </a:ln>
          </c:spPr>
        </c:minorGridlines>
        <c:title>
          <c:tx>
            <c:rich>
              <a:bodyPr/>
              <a:lstStyle/>
              <a:p>
                <a:pPr>
                  <a:defRPr sz="1200" b="1" i="0" u="none" strike="noStrike" baseline="0">
                    <a:solidFill>
                      <a:srgbClr val="000000"/>
                    </a:solidFill>
                    <a:latin typeface="Arial" pitchFamily="34" charset="0"/>
                    <a:ea typeface="Calibri"/>
                    <a:cs typeface="Arial" pitchFamily="34" charset="0"/>
                  </a:defRPr>
                </a:pPr>
                <a:r>
                  <a:rPr lang="en-US" sz="1200">
                    <a:latin typeface="Arial" pitchFamily="34" charset="0"/>
                    <a:cs typeface="Arial" pitchFamily="34" charset="0"/>
                  </a:rPr>
                  <a:t>Frequency (kHz)</a:t>
                </a:r>
              </a:p>
            </c:rich>
          </c:tx>
          <c:layout>
            <c:manualLayout>
              <c:xMode val="edge"/>
              <c:yMode val="edge"/>
              <c:x val="0.43129335085799175"/>
              <c:y val="0.92232197841820085"/>
            </c:manualLayout>
          </c:layout>
          <c:overlay val="0"/>
          <c:spPr>
            <a:noFill/>
            <a:ln w="25400">
              <a:noFill/>
            </a:ln>
          </c:spPr>
        </c:title>
        <c:numFmt formatCode="General" sourceLinked="0"/>
        <c:majorTickMark val="in"/>
        <c:minorTickMark val="in"/>
        <c:tickLblPos val="nextTo"/>
        <c:spPr>
          <a:ln w="3175">
            <a:solidFill>
              <a:srgbClr val="000000"/>
            </a:solidFill>
            <a:prstDash val="solid"/>
          </a:ln>
        </c:spPr>
        <c:txPr>
          <a:bodyPr rot="0" vert="horz"/>
          <a:lstStyle/>
          <a:p>
            <a:pPr>
              <a:defRPr sz="1100" b="1" i="0" u="none" strike="noStrike" baseline="0">
                <a:solidFill>
                  <a:srgbClr val="000000"/>
                </a:solidFill>
                <a:latin typeface="Arial" pitchFamily="34" charset="0"/>
                <a:ea typeface="Calibri"/>
                <a:cs typeface="Arial" pitchFamily="34" charset="0"/>
              </a:defRPr>
            </a:pPr>
            <a:endParaRPr lang="en-US"/>
          </a:p>
        </c:txPr>
        <c:crossAx val="315545856"/>
        <c:crossesAt val="-80"/>
        <c:crossBetween val="midCat"/>
      </c:valAx>
      <c:valAx>
        <c:axId val="315545856"/>
        <c:scaling>
          <c:orientation val="minMax"/>
          <c:max val="40"/>
          <c:min val="-40"/>
        </c:scaling>
        <c:delete val="0"/>
        <c:axPos val="l"/>
        <c:majorGridlines>
          <c:spPr>
            <a:ln w="3175">
              <a:solidFill>
                <a:srgbClr val="969696"/>
              </a:solidFill>
              <a:prstDash val="solid"/>
            </a:ln>
          </c:spPr>
        </c:majorGridlines>
        <c:title>
          <c:tx>
            <c:rich>
              <a:bodyPr/>
              <a:lstStyle/>
              <a:p>
                <a:pPr>
                  <a:defRPr sz="1200" b="1" i="0" u="none" strike="noStrike" baseline="0">
                    <a:solidFill>
                      <a:srgbClr val="FF0000"/>
                    </a:solidFill>
                    <a:latin typeface="Arial" pitchFamily="34" charset="0"/>
                    <a:ea typeface="Calibri"/>
                    <a:cs typeface="Arial" pitchFamily="34" charset="0"/>
                  </a:defRPr>
                </a:pPr>
                <a:r>
                  <a:rPr lang="en-US" sz="1200" u="none">
                    <a:solidFill>
                      <a:srgbClr val="FF0000"/>
                    </a:solidFill>
                    <a:latin typeface="Arial" pitchFamily="34" charset="0"/>
                    <a:cs typeface="Arial" pitchFamily="34" charset="0"/>
                  </a:rPr>
                  <a:t>Gain (dB)</a:t>
                </a:r>
              </a:p>
            </c:rich>
          </c:tx>
          <c:layout>
            <c:manualLayout>
              <c:xMode val="edge"/>
              <c:yMode val="edge"/>
              <c:x val="2.0807805833455456E-2"/>
              <c:y val="0.3954268675117710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15151872"/>
        <c:crossesAt val="1"/>
        <c:crossBetween val="midCat"/>
        <c:majorUnit val="10"/>
      </c:valAx>
      <c:valAx>
        <c:axId val="330383744"/>
        <c:scaling>
          <c:logBase val="10"/>
          <c:orientation val="minMax"/>
        </c:scaling>
        <c:delete val="1"/>
        <c:axPos val="b"/>
        <c:numFmt formatCode="General" sourceLinked="1"/>
        <c:majorTickMark val="out"/>
        <c:minorTickMark val="none"/>
        <c:tickLblPos val="none"/>
        <c:crossAx val="330385280"/>
        <c:crosses val="autoZero"/>
        <c:crossBetween val="midCat"/>
      </c:valAx>
      <c:valAx>
        <c:axId val="330385280"/>
        <c:scaling>
          <c:orientation val="minMax"/>
          <c:max val="0"/>
          <c:min val="-180"/>
        </c:scaling>
        <c:delete val="0"/>
        <c:axPos val="r"/>
        <c:title>
          <c:tx>
            <c:rich>
              <a:bodyPr/>
              <a:lstStyle/>
              <a:p>
                <a:pPr>
                  <a:defRPr sz="1200" b="1" i="0" u="none" strike="noStrike" baseline="0">
                    <a:solidFill>
                      <a:srgbClr val="002060"/>
                    </a:solidFill>
                    <a:latin typeface="Arial" pitchFamily="34" charset="0"/>
                    <a:ea typeface="Calibri"/>
                    <a:cs typeface="Arial" pitchFamily="34" charset="0"/>
                  </a:defRPr>
                </a:pPr>
                <a:r>
                  <a:rPr lang="en-US" sz="1200" b="1">
                    <a:solidFill>
                      <a:srgbClr val="002060"/>
                    </a:solidFill>
                    <a:latin typeface="Arial" pitchFamily="34" charset="0"/>
                    <a:cs typeface="Arial" pitchFamily="34" charset="0"/>
                  </a:rPr>
                  <a:t>Phase  (°)</a:t>
                </a:r>
              </a:p>
            </c:rich>
          </c:tx>
          <c:layout>
            <c:manualLayout>
              <c:xMode val="edge"/>
              <c:yMode val="edge"/>
              <c:x val="0.96352677492317973"/>
              <c:y val="0.39364244498015538"/>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1050" b="1" i="0" u="none" strike="noStrike" baseline="0">
                <a:solidFill>
                  <a:srgbClr val="002060"/>
                </a:solidFill>
                <a:latin typeface="Arial" pitchFamily="34" charset="0"/>
                <a:ea typeface="Calibri"/>
                <a:cs typeface="Arial" pitchFamily="34" charset="0"/>
              </a:defRPr>
            </a:pPr>
            <a:endParaRPr lang="en-US"/>
          </a:p>
        </c:txPr>
        <c:crossAx val="330383744"/>
        <c:crosses val="max"/>
        <c:crossBetween val="midCat"/>
        <c:majorUnit val="45"/>
      </c:valAx>
      <c:spPr>
        <a:noFill/>
        <a:ln w="12700">
          <a:solidFill>
            <a:srgbClr val="808080"/>
          </a:solidFill>
          <a:prstDash val="solid"/>
        </a:ln>
      </c:spPr>
    </c:plotArea>
    <c:legend>
      <c:legendPos val="r"/>
      <c:legendEntry>
        <c:idx val="0"/>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1"/>
        <c:delete val="1"/>
      </c:legendEntry>
      <c:legendEntry>
        <c:idx val="2"/>
        <c:delete val="1"/>
      </c:legendEntry>
      <c:legendEntry>
        <c:idx val="3"/>
        <c:delete val="1"/>
      </c:legendEntry>
      <c:legendEntry>
        <c:idx val="4"/>
        <c:delete val="1"/>
      </c:legendEntry>
      <c:legendEntry>
        <c:idx val="5"/>
        <c:delete val="1"/>
      </c:legendEntry>
      <c:legendEntry>
        <c:idx val="6"/>
        <c:delete val="1"/>
      </c:legendEntry>
      <c:legendEntry>
        <c:idx val="7"/>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Entry>
      <c:legendEntry>
        <c:idx val="8"/>
        <c:delete val="1"/>
      </c:legendEntry>
      <c:legendEntry>
        <c:idx val="9"/>
        <c:delete val="1"/>
      </c:legendEntry>
      <c:layout>
        <c:manualLayout>
          <c:xMode val="edge"/>
          <c:yMode val="edge"/>
          <c:x val="0.295216671637685"/>
          <c:y val="0"/>
          <c:w val="0.59720240253255119"/>
          <c:h val="9.9098873083628289E-2"/>
        </c:manualLayout>
      </c:layout>
      <c:overlay val="0"/>
      <c:spPr>
        <a:noFill/>
        <a:ln w="25400">
          <a:noFill/>
        </a:ln>
      </c:spPr>
      <c:txPr>
        <a:bodyPr/>
        <a:lstStyle/>
        <a:p>
          <a:pPr>
            <a:defRPr sz="1200" b="1" i="0" u="none" strike="noStrike" baseline="0">
              <a:solidFill>
                <a:srgbClr val="000000"/>
              </a:solidFill>
              <a:latin typeface="Arial" pitchFamily="34" charset="0"/>
              <a:ea typeface="Calibri"/>
              <a:cs typeface="Arial" pitchFamily="34" charset="0"/>
            </a:defRPr>
          </a:pPr>
          <a:endParaRPr lang="en-US"/>
        </a:p>
      </c:txPr>
    </c:legend>
    <c:plotVisOnly val="1"/>
    <c:dispBlanksAs val="span"/>
    <c:showDLblsOverMax val="0"/>
  </c:chart>
  <c:spPr>
    <a:noFill/>
    <a:ln w="9525">
      <a:solidFill>
        <a:srgbClr val="808080"/>
      </a:solidFill>
    </a:ln>
  </c:spPr>
  <c:txPr>
    <a:bodyPr/>
    <a:lstStyle/>
    <a:p>
      <a:pPr>
        <a:defRPr sz="1000" b="1" i="0" u="none" strike="noStrike" baseline="0">
          <a:solidFill>
            <a:srgbClr val="000000"/>
          </a:solidFill>
          <a:latin typeface="Arial"/>
          <a:ea typeface="Arial"/>
          <a:cs typeface="Arial"/>
        </a:defRPr>
      </a:pPr>
      <a:endParaRPr lang="en-US"/>
    </a:p>
  </c:txPr>
  <c:printSettings>
    <c:headerFooter alignWithMargins="0"/>
    <c:pageMargins b="1" l="0.75000000000000622" r="0.75000000000000622" t="1" header="0.5" footer="0.5"/>
    <c:pageSetup orientation="landscape"/>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indent="0" algn="ctr" defTabSz="914400" rtl="0" eaLnBrk="1" fontAlgn="auto" latinLnBrk="0" hangingPunct="1">
              <a:lnSpc>
                <a:spcPct val="100000"/>
              </a:lnSpc>
              <a:spcBef>
                <a:spcPts val="0"/>
              </a:spcBef>
              <a:spcAft>
                <a:spcPts val="0"/>
              </a:spcAft>
              <a:buClrTx/>
              <a:buSzTx/>
              <a:buFontTx/>
              <a:buNone/>
              <a:tabLst/>
              <a:defRPr sz="1800" b="1" i="0" u="none" strike="noStrike" kern="1200" baseline="0">
                <a:solidFill>
                  <a:srgbClr val="000000"/>
                </a:solidFill>
                <a:latin typeface="Arial" pitchFamily="34" charset="0"/>
                <a:ea typeface="Calibri"/>
                <a:cs typeface="Arial" pitchFamily="34" charset="0"/>
              </a:defRPr>
            </a:pPr>
            <a:r>
              <a:rPr lang="en-US" sz="1800" b="1" i="0" baseline="0">
                <a:effectLst/>
                <a:sym typeface="Symbol"/>
              </a:rPr>
              <a:t></a:t>
            </a:r>
            <a:r>
              <a:rPr lang="en-US" sz="1800" b="1" i="0" baseline="0">
                <a:effectLst/>
              </a:rPr>
              <a:t>, V</a:t>
            </a:r>
            <a:r>
              <a:rPr lang="en-US" sz="1800" b="1" i="0" baseline="-25000">
                <a:effectLst/>
              </a:rPr>
              <a:t>IN</a:t>
            </a:r>
            <a:r>
              <a:rPr lang="en-US" sz="1800" b="1" i="0" baseline="0">
                <a:effectLst/>
              </a:rPr>
              <a:t> = V</a:t>
            </a:r>
            <a:r>
              <a:rPr lang="en-US" sz="1800" b="1" i="0" baseline="-25000">
                <a:effectLst/>
              </a:rPr>
              <a:t>IN(nom)</a:t>
            </a:r>
            <a:endParaRPr lang="en-US">
              <a:effectLst/>
            </a:endParaRPr>
          </a:p>
        </c:rich>
      </c:tx>
      <c:layout>
        <c:manualLayout>
          <c:xMode val="edge"/>
          <c:yMode val="edge"/>
          <c:x val="8.2586704916618195E-2"/>
          <c:y val="1.8363289746112718E-2"/>
        </c:manualLayout>
      </c:layout>
      <c:overlay val="0"/>
      <c:spPr>
        <a:noFill/>
        <a:ln w="25400">
          <a:noFill/>
        </a:ln>
      </c:spPr>
    </c:title>
    <c:autoTitleDeleted val="0"/>
    <c:plotArea>
      <c:layout>
        <c:manualLayout>
          <c:layoutTarget val="inner"/>
          <c:xMode val="edge"/>
          <c:yMode val="edge"/>
          <c:x val="7.6761884085804283E-2"/>
          <c:y val="0.12133523343001466"/>
          <c:w val="0.82579990228506128"/>
          <c:h val="0.7558980268938309"/>
        </c:manualLayout>
      </c:layout>
      <c:lineChart>
        <c:grouping val="standard"/>
        <c:varyColors val="0"/>
        <c:ser>
          <c:idx val="0"/>
          <c:order val="0"/>
          <c:tx>
            <c:v>Efficiency</c:v>
          </c:tx>
          <c:spPr>
            <a:ln w="38100">
              <a:solidFill>
                <a:srgbClr val="FF0000"/>
              </a:solidFill>
              <a:prstDash val="solid"/>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Calculations'!$AU$9:$AU$209</c:f>
              <c:numCache>
                <c:formatCode>General</c:formatCode>
                <c:ptCount val="201"/>
                <c:pt idx="0">
                  <c:v>0</c:v>
                </c:pt>
                <c:pt idx="1">
                  <c:v>16.314559127200042</c:v>
                </c:pt>
                <c:pt idx="2">
                  <c:v>28.041328271162019</c:v>
                </c:pt>
                <c:pt idx="3">
                  <c:v>36.876330666335981</c:v>
                </c:pt>
                <c:pt idx="4">
                  <c:v>43.77131853692331</c:v>
                </c:pt>
                <c:pt idx="5">
                  <c:v>49.301674631784586</c:v>
                </c:pt>
                <c:pt idx="6">
                  <c:v>53.835717946341511</c:v>
                </c:pt>
                <c:pt idx="7">
                  <c:v>57.620160723032456</c:v>
                </c:pt>
                <c:pt idx="8">
                  <c:v>60.781346327144661</c:v>
                </c:pt>
                <c:pt idx="9">
                  <c:v>63.346158110337846</c:v>
                </c:pt>
                <c:pt idx="10">
                  <c:v>65.558720538147185</c:v>
                </c:pt>
                <c:pt idx="11">
                  <c:v>67.486784189606922</c:v>
                </c:pt>
                <c:pt idx="12">
                  <c:v>69.181771795594443</c:v>
                </c:pt>
                <c:pt idx="13">
                  <c:v>70.683417475958095</c:v>
                </c:pt>
                <c:pt idx="14">
                  <c:v>72.022909251970518</c:v>
                </c:pt>
                <c:pt idx="15">
                  <c:v>73.225069445263813</c:v>
                </c:pt>
                <c:pt idx="16">
                  <c:v>74.309899933797041</c:v>
                </c:pt>
                <c:pt idx="17">
                  <c:v>75.293698121506154</c:v>
                </c:pt>
                <c:pt idx="18">
                  <c:v>76.189876600798442</c:v>
                </c:pt>
                <c:pt idx="19">
                  <c:v>77.009574404704921</c:v>
                </c:pt>
                <c:pt idx="20">
                  <c:v>77.762119158336105</c:v>
                </c:pt>
                <c:pt idx="21">
                  <c:v>78.455380903253641</c:v>
                </c:pt>
                <c:pt idx="22">
                  <c:v>79.096046104503202</c:v>
                </c:pt>
                <c:pt idx="23">
                  <c:v>79.689832085628623</c:v>
                </c:pt>
                <c:pt idx="24">
                  <c:v>80.241656473476567</c:v>
                </c:pt>
                <c:pt idx="25">
                  <c:v>80.755772293246551</c:v>
                </c:pt>
                <c:pt idx="26">
                  <c:v>81.235876572200667</c:v>
                </c:pt>
                <c:pt idx="27">
                  <c:v>81.685198320821513</c:v>
                </c:pt>
                <c:pt idx="28">
                  <c:v>82.10657031990533</c:v>
                </c:pt>
                <c:pt idx="29">
                  <c:v>82.502488087599573</c:v>
                </c:pt>
                <c:pt idx="30">
                  <c:v>82.875158620220205</c:v>
                </c:pt>
                <c:pt idx="31">
                  <c:v>83.29192992452171</c:v>
                </c:pt>
                <c:pt idx="32">
                  <c:v>83.703294965469794</c:v>
                </c:pt>
                <c:pt idx="33">
                  <c:v>84.093155817429718</c:v>
                </c:pt>
                <c:pt idx="34">
                  <c:v>84.463130148242755</c:v>
                </c:pt>
                <c:pt idx="35">
                  <c:v>84.814677333713689</c:v>
                </c:pt>
                <c:pt idx="36">
                  <c:v>85.14911735652997</c:v>
                </c:pt>
                <c:pt idx="37">
                  <c:v>85.467647060655537</c:v>
                </c:pt>
                <c:pt idx="38">
                  <c:v>85.771354183083915</c:v>
                </c:pt>
                <c:pt idx="39">
                  <c:v>86.061229509629399</c:v>
                </c:pt>
                <c:pt idx="40">
                  <c:v>86.338177440984708</c:v>
                </c:pt>
                <c:pt idx="41">
                  <c:v>86.603025206426807</c:v>
                </c:pt>
                <c:pt idx="42">
                  <c:v>86.856530922889135</c:v>
                </c:pt>
                <c:pt idx="43">
                  <c:v>87.099390664757436</c:v>
                </c:pt>
                <c:pt idx="44">
                  <c:v>87.332244683225213</c:v>
                </c:pt>
                <c:pt idx="45">
                  <c:v>87.555682892214179</c:v>
                </c:pt>
                <c:pt idx="46">
                  <c:v>87.770249719822672</c:v>
                </c:pt>
                <c:pt idx="47">
                  <c:v>87.976448409292402</c:v>
                </c:pt>
                <c:pt idx="48">
                  <c:v>88.17474484101318</c:v>
                </c:pt>
                <c:pt idx="49">
                  <c:v>88.365570936659196</c:v>
                </c:pt>
                <c:pt idx="50">
                  <c:v>88.54932769780406</c:v>
                </c:pt>
                <c:pt idx="51">
                  <c:v>88.726387923998729</c:v>
                </c:pt>
                <c:pt idx="52">
                  <c:v>88.89709864907924</c:v>
                </c:pt>
                <c:pt idx="53">
                  <c:v>89.061783329203408</c:v>
                </c:pt>
                <c:pt idx="54">
                  <c:v>89.220743811640162</c:v>
                </c:pt>
                <c:pt idx="55">
                  <c:v>89.374262109521226</c:v>
                </c:pt>
                <c:pt idx="56">
                  <c:v>89.522602004505785</c:v>
                </c:pt>
                <c:pt idx="57">
                  <c:v>89.666010496515483</c:v>
                </c:pt>
                <c:pt idx="58">
                  <c:v>89.804719117298617</c:v>
                </c:pt>
                <c:pt idx="59">
                  <c:v>89.93894512251515</c:v>
                </c:pt>
                <c:pt idx="60">
                  <c:v>90.068892575250814</c:v>
                </c:pt>
                <c:pt idx="61">
                  <c:v>90.1947533323237</c:v>
                </c:pt>
                <c:pt idx="62">
                  <c:v>90.316707943408346</c:v>
                </c:pt>
                <c:pt idx="63">
                  <c:v>90.434926471837144</c:v>
                </c:pt>
                <c:pt idx="64">
                  <c:v>90.549569244925138</c:v>
                </c:pt>
                <c:pt idx="65">
                  <c:v>90.660787540778387</c:v>
                </c:pt>
                <c:pt idx="66">
                  <c:v>90.768724217771705</c:v>
                </c:pt>
                <c:pt idx="67">
                  <c:v>90.873514292202273</c:v>
                </c:pt>
                <c:pt idx="68">
                  <c:v>90.975285469029387</c:v>
                </c:pt>
                <c:pt idx="69">
                  <c:v>91.074158630086245</c:v>
                </c:pt>
                <c:pt idx="70">
                  <c:v>91.170248283687044</c:v>
                </c:pt>
                <c:pt idx="71">
                  <c:v>91.263662979144272</c:v>
                </c:pt>
                <c:pt idx="72">
                  <c:v>91.354505689350418</c:v>
                </c:pt>
                <c:pt idx="73">
                  <c:v>91.442874164258185</c:v>
                </c:pt>
                <c:pt idx="74">
                  <c:v>91.528861257809112</c:v>
                </c:pt>
                <c:pt idx="75">
                  <c:v>91.612555230609146</c:v>
                </c:pt>
                <c:pt idx="76">
                  <c:v>91.694040030424276</c:v>
                </c:pt>
                <c:pt idx="77">
                  <c:v>91.773395552369536</c:v>
                </c:pt>
                <c:pt idx="78">
                  <c:v>91.850697880486351</c:v>
                </c:pt>
                <c:pt idx="79">
                  <c:v>91.926019512242846</c:v>
                </c:pt>
                <c:pt idx="80">
                  <c:v>91.999429567349083</c:v>
                </c:pt>
                <c:pt idx="81">
                  <c:v>92.070993982151421</c:v>
                </c:pt>
                <c:pt idx="82">
                  <c:v>92.140775690753941</c:v>
                </c:pt>
                <c:pt idx="83">
                  <c:v>92.208834793913113</c:v>
                </c:pt>
                <c:pt idx="84">
                  <c:v>92.275228716657395</c:v>
                </c:pt>
                <c:pt idx="85">
                  <c:v>92.340012355500519</c:v>
                </c:pt>
                <c:pt idx="86">
                  <c:v>92.403238216041089</c:v>
                </c:pt>
                <c:pt idx="87">
                  <c:v>92.464956541673331</c:v>
                </c:pt>
                <c:pt idx="88">
                  <c:v>92.525215434071413</c:v>
                </c:pt>
                <c:pt idx="89">
                  <c:v>92.584060966054722</c:v>
                </c:pt>
                <c:pt idx="90">
                  <c:v>92.641537287389795</c:v>
                </c:pt>
                <c:pt idx="91">
                  <c:v>92.697686724039983</c:v>
                </c:pt>
                <c:pt idx="92">
                  <c:v>92.752549871330586</c:v>
                </c:pt>
                <c:pt idx="93">
                  <c:v>92.806165681461053</c:v>
                </c:pt>
                <c:pt idx="94">
                  <c:v>92.858571545759858</c:v>
                </c:pt>
                <c:pt idx="95">
                  <c:v>92.90980337204708</c:v>
                </c:pt>
                <c:pt idx="96">
                  <c:v>92.959895657440768</c:v>
                </c:pt>
                <c:pt idx="97">
                  <c:v>93.008881556917345</c:v>
                </c:pt>
                <c:pt idx="98">
                  <c:v>93.056792947911518</c:v>
                </c:pt>
                <c:pt idx="99">
                  <c:v>93.103660491220978</c:v>
                </c:pt>
                <c:pt idx="100">
                  <c:v>93.149513688459422</c:v>
                </c:pt>
                <c:pt idx="101">
                  <c:v>93.194380936284176</c:v>
                </c:pt>
                <c:pt idx="102">
                  <c:v>93.238289577607929</c:v>
                </c:pt>
                <c:pt idx="103">
                  <c:v>93.281265949988324</c:v>
                </c:pt>
                <c:pt idx="104">
                  <c:v>93.323335431374971</c:v>
                </c:pt>
                <c:pt idx="105">
                  <c:v>93.36452248338108</c:v>
                </c:pt>
                <c:pt idx="106">
                  <c:v>93.404850692234547</c:v>
                </c:pt>
                <c:pt idx="107">
                  <c:v>93.444342807551976</c:v>
                </c:pt>
                <c:pt idx="108">
                  <c:v>93.483020779070102</c:v>
                </c:pt>
                <c:pt idx="109">
                  <c:v>93.520905791458503</c:v>
                </c:pt>
                <c:pt idx="110">
                  <c:v>93.55801829732988</c:v>
                </c:pt>
                <c:pt idx="111">
                  <c:v>93.594378048555754</c:v>
                </c:pt>
                <c:pt idx="112">
                  <c:v>93.630004125988037</c:v>
                </c:pt>
                <c:pt idx="113">
                  <c:v>93.664914967680588</c:v>
                </c:pt>
                <c:pt idx="114">
                  <c:v>93.699128395698295</c:v>
                </c:pt>
                <c:pt idx="115">
                  <c:v>93.732661641595314</c:v>
                </c:pt>
                <c:pt idx="116">
                  <c:v>93.765531370639096</c:v>
                </c:pt>
                <c:pt idx="117">
                  <c:v>93.797753704851573</c:v>
                </c:pt>
                <c:pt idx="118">
                  <c:v>93.829344244934191</c:v>
                </c:pt>
                <c:pt idx="119">
                  <c:v>93.860318091139774</c:v>
                </c:pt>
                <c:pt idx="120">
                  <c:v>93.890689863149262</c:v>
                </c:pt>
                <c:pt idx="121">
                  <c:v>93.920473719008626</c:v>
                </c:pt>
                <c:pt idx="122">
                  <c:v>93.94968337317718</c:v>
                </c:pt>
                <c:pt idx="123">
                  <c:v>93.978332113735675</c:v>
                </c:pt>
                <c:pt idx="124">
                  <c:v>94.006432818799382</c:v>
                </c:pt>
                <c:pt idx="125">
                  <c:v>94.03399797217871</c:v>
                </c:pt>
                <c:pt idx="126">
                  <c:v>94.061039678327376</c:v>
                </c:pt>
                <c:pt idx="127">
                  <c:v>94.087569676615573</c:v>
                </c:pt>
                <c:pt idx="128">
                  <c:v>94.113599354963299</c:v>
                </c:pt>
                <c:pt idx="129">
                  <c:v>94.139139762867401</c:v>
                </c:pt>
                <c:pt idx="130">
                  <c:v>94.164201623853273</c:v>
                </c:pt>
                <c:pt idx="131">
                  <c:v>94.188795347380733</c:v>
                </c:pt>
                <c:pt idx="132">
                  <c:v>94.212931040231766</c:v>
                </c:pt>
                <c:pt idx="133">
                  <c:v>94.236618517406271</c:v>
                </c:pt>
                <c:pt idx="134">
                  <c:v>94.259867312550483</c:v>
                </c:pt>
                <c:pt idx="135">
                  <c:v>94.28268668794118</c:v>
                </c:pt>
                <c:pt idx="136">
                  <c:v>94.30508564404758</c:v>
                </c:pt>
                <c:pt idx="137">
                  <c:v>94.327072928691891</c:v>
                </c:pt>
                <c:pt idx="138">
                  <c:v>94.348657045827565</c:v>
                </c:pt>
                <c:pt idx="139">
                  <c:v>94.369846263954258</c:v>
                </c:pt>
                <c:pt idx="140">
                  <c:v>94.390648624186426</c:v>
                </c:pt>
                <c:pt idx="141">
                  <c:v>94.411071947992468</c:v>
                </c:pt>
                <c:pt idx="142">
                  <c:v>94.431123844619847</c:v>
                </c:pt>
                <c:pt idx="143">
                  <c:v>94.450811718220805</c:v>
                </c:pt>
                <c:pt idx="144">
                  <c:v>94.470142774692974</c:v>
                </c:pt>
                <c:pt idx="145">
                  <c:v>94.489124028247858</c:v>
                </c:pt>
                <c:pt idx="146">
                  <c:v>94.507762307719773</c:v>
                </c:pt>
                <c:pt idx="147">
                  <c:v>94.526064262627301</c:v>
                </c:pt>
                <c:pt idx="148">
                  <c:v>94.544036368998235</c:v>
                </c:pt>
                <c:pt idx="149">
                  <c:v>94.561684934968881</c:v>
                </c:pt>
                <c:pt idx="150">
                  <c:v>94.57901610616797</c:v>
                </c:pt>
                <c:pt idx="151">
                  <c:v>94.596035870894397</c:v>
                </c:pt>
                <c:pt idx="152">
                  <c:v>94.612750065098368</c:v>
                </c:pt>
                <c:pt idx="153">
                  <c:v>94.629164377174362</c:v>
                </c:pt>
                <c:pt idx="154">
                  <c:v>94.645284352574123</c:v>
                </c:pt>
                <c:pt idx="155">
                  <c:v>94.661115398247702</c:v>
                </c:pt>
                <c:pt idx="156">
                  <c:v>94.676662786919906</c:v>
                </c:pt>
                <c:pt idx="157">
                  <c:v>94.691931661208997</c:v>
                </c:pt>
                <c:pt idx="158">
                  <c:v>94.706927037594838</c:v>
                </c:pt>
                <c:pt idx="159">
                  <c:v>94.721653810242458</c:v>
                </c:pt>
                <c:pt idx="160">
                  <c:v>94.736116754687345</c:v>
                </c:pt>
                <c:pt idx="161">
                  <c:v>94.750320531388226</c:v>
                </c:pt>
                <c:pt idx="162">
                  <c:v>94.764269689152869</c:v>
                </c:pt>
                <c:pt idx="163">
                  <c:v>94.777968668442085</c:v>
                </c:pt>
                <c:pt idx="164">
                  <c:v>94.791421804557174</c:v>
                </c:pt>
                <c:pt idx="165">
                  <c:v>94.804633330715205</c:v>
                </c:pt>
                <c:pt idx="166">
                  <c:v>94.817607381017183</c:v>
                </c:pt>
                <c:pt idx="167">
                  <c:v>94.83034799331304</c:v>
                </c:pt>
                <c:pt idx="168">
                  <c:v>94.842859111967698</c:v>
                </c:pt>
                <c:pt idx="169">
                  <c:v>94.855144590532376</c:v>
                </c:pt>
                <c:pt idx="170">
                  <c:v>94.867208194324661</c:v>
                </c:pt>
                <c:pt idx="171">
                  <c:v>94.879053602921005</c:v>
                </c:pt>
                <c:pt idx="172">
                  <c:v>94.890684412565236</c:v>
                </c:pt>
                <c:pt idx="173">
                  <c:v>94.902104138496199</c:v>
                </c:pt>
                <c:pt idx="174">
                  <c:v>94.913316217197689</c:v>
                </c:pt>
                <c:pt idx="175">
                  <c:v>94.924324008573947</c:v>
                </c:pt>
                <c:pt idx="176">
                  <c:v>94.935130798053066</c:v>
                </c:pt>
                <c:pt idx="177">
                  <c:v>94.945739798621659</c:v>
                </c:pt>
                <c:pt idx="178">
                  <c:v>94.956154152792976</c:v>
                </c:pt>
                <c:pt idx="179">
                  <c:v>94.966376934511075</c:v>
                </c:pt>
                <c:pt idx="180">
                  <c:v>94.976411150993727</c:v>
                </c:pt>
                <c:pt idx="181">
                  <c:v>94.986259744515905</c:v>
                </c:pt>
                <c:pt idx="182">
                  <c:v>94.995925594136423</c:v>
                </c:pt>
                <c:pt idx="183">
                  <c:v>95.005411517369737</c:v>
                </c:pt>
                <c:pt idx="184">
                  <c:v>95.014720271804819</c:v>
                </c:pt>
                <c:pt idx="185">
                  <c:v>95.023854556673172</c:v>
                </c:pt>
                <c:pt idx="186">
                  <c:v>95.032817014367808</c:v>
                </c:pt>
                <c:pt idx="187">
                  <c:v>95.041610231914945</c:v>
                </c:pt>
                <c:pt idx="188">
                  <c:v>95.050236742400131</c:v>
                </c:pt>
                <c:pt idx="189">
                  <c:v>95.05869902635051</c:v>
                </c:pt>
                <c:pt idx="190">
                  <c:v>95.06699951307462</c:v>
                </c:pt>
                <c:pt idx="191">
                  <c:v>95.075140581961477</c:v>
                </c:pt>
                <c:pt idx="192">
                  <c:v>95.083124563740114</c:v>
                </c:pt>
                <c:pt idx="193">
                  <c:v>95.090953741701284</c:v>
                </c:pt>
                <c:pt idx="194">
                  <c:v>95.098630352882225</c:v>
                </c:pt>
                <c:pt idx="195">
                  <c:v>95.106156589216369</c:v>
                </c:pt>
                <c:pt idx="196">
                  <c:v>95.113534598648471</c:v>
                </c:pt>
                <c:pt idx="197">
                  <c:v>95.120766486217008</c:v>
                </c:pt>
                <c:pt idx="198">
                  <c:v>95.127854315104742</c:v>
                </c:pt>
                <c:pt idx="199">
                  <c:v>95.134800107658222</c:v>
                </c:pt>
                <c:pt idx="200">
                  <c:v>95.141605846377914</c:v>
                </c:pt>
              </c:numCache>
            </c:numRef>
          </c:val>
          <c:smooth val="0"/>
          <c:extLst>
            <c:ext xmlns:c16="http://schemas.microsoft.com/office/drawing/2014/chart" uri="{C3380CC4-5D6E-409C-BE32-E72D297353CC}">
              <c16:uniqueId val="{00000000-7890-472B-AAE1-D1CB0E55BFDF}"/>
            </c:ext>
          </c:extLst>
        </c:ser>
        <c:dLbls>
          <c:showLegendKey val="0"/>
          <c:showVal val="0"/>
          <c:showCatName val="0"/>
          <c:showSerName val="0"/>
          <c:showPercent val="0"/>
          <c:showBubbleSize val="0"/>
        </c:dLbls>
        <c:marker val="1"/>
        <c:smooth val="0"/>
        <c:axId val="308580352"/>
        <c:axId val="308582272"/>
      </c:lineChart>
      <c:lineChart>
        <c:grouping val="standard"/>
        <c:varyColors val="0"/>
        <c:ser>
          <c:idx val="3"/>
          <c:order val="1"/>
          <c:tx>
            <c:v> Inductor Copper &amp; Core Loss</c:v>
          </c:tx>
          <c:spPr>
            <a:ln w="38100">
              <a:solidFill>
                <a:srgbClr val="800080"/>
              </a:solidFill>
              <a:prstDash val="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Calculations'!$Q$9:$Q$209</c:f>
              <c:numCache>
                <c:formatCode>0.0000</c:formatCode>
                <c:ptCount val="201"/>
                <c:pt idx="0">
                  <c:v>0.20136386589493738</c:v>
                </c:pt>
                <c:pt idx="1">
                  <c:v>0.20136854340398558</c:v>
                </c:pt>
                <c:pt idx="2">
                  <c:v>0.20138222291198479</c:v>
                </c:pt>
                <c:pt idx="3">
                  <c:v>0.20140490447803727</c:v>
                </c:pt>
                <c:pt idx="4">
                  <c:v>0.20143658820013896</c:v>
                </c:pt>
                <c:pt idx="5">
                  <c:v>0.20147727421518066</c:v>
                </c:pt>
                <c:pt idx="6">
                  <c:v>0.20152696269894943</c:v>
                </c:pt>
                <c:pt idx="7">
                  <c:v>0.20158565386613053</c:v>
                </c:pt>
                <c:pt idx="8">
                  <c:v>0.2016533479703097</c:v>
                </c:pt>
                <c:pt idx="9">
                  <c:v>0.20173004530397601</c:v>
                </c:pt>
                <c:pt idx="10">
                  <c:v>0.20181574619852483</c:v>
                </c:pt>
                <c:pt idx="11">
                  <c:v>0.20191045102426161</c:v>
                </c:pt>
                <c:pt idx="12">
                  <c:v>0.20201416019040572</c:v>
                </c:pt>
                <c:pt idx="13">
                  <c:v>0.20212687414509495</c:v>
                </c:pt>
                <c:pt idx="14">
                  <c:v>0.20224859337539036</c:v>
                </c:pt>
                <c:pt idx="15">
                  <c:v>0.20237931840728154</c:v>
                </c:pt>
                <c:pt idx="16">
                  <c:v>0.20251904980569224</c:v>
                </c:pt>
                <c:pt idx="17">
                  <c:v>0.20266778817448652</c:v>
                </c:pt>
                <c:pt idx="18">
                  <c:v>0.20282553415647522</c:v>
                </c:pt>
                <c:pt idx="19">
                  <c:v>0.20299228843342304</c:v>
                </c:pt>
                <c:pt idx="20">
                  <c:v>0.20316805172605573</c:v>
                </c:pt>
                <c:pt idx="21">
                  <c:v>0.20335282479406802</c:v>
                </c:pt>
                <c:pt idx="22">
                  <c:v>0.20354660843613176</c:v>
                </c:pt>
                <c:pt idx="23">
                  <c:v>0.20374940348990458</c:v>
                </c:pt>
                <c:pt idx="24">
                  <c:v>0.20396121083203889</c:v>
                </c:pt>
                <c:pt idx="25">
                  <c:v>0.20418203137819141</c:v>
                </c:pt>
                <c:pt idx="26">
                  <c:v>0.20441186608303313</c:v>
                </c:pt>
                <c:pt idx="27">
                  <c:v>0.20465071594025949</c:v>
                </c:pt>
                <c:pt idx="28">
                  <c:v>0.20489858198260119</c:v>
                </c:pt>
                <c:pt idx="29">
                  <c:v>0.2051554652818354</c:v>
                </c:pt>
                <c:pt idx="30">
                  <c:v>0.20542136694879728</c:v>
                </c:pt>
                <c:pt idx="31">
                  <c:v>0.20569628813339202</c:v>
                </c:pt>
                <c:pt idx="32">
                  <c:v>0.20598023002460733</c:v>
                </c:pt>
                <c:pt idx="33">
                  <c:v>0.2062731938505262</c:v>
                </c:pt>
                <c:pt idx="34">
                  <c:v>0.20657518087834023</c:v>
                </c:pt>
                <c:pt idx="35">
                  <c:v>0.2068861924143634</c:v>
                </c:pt>
                <c:pt idx="36">
                  <c:v>0.20720622980404613</c:v>
                </c:pt>
                <c:pt idx="37">
                  <c:v>0.20753529443198984</c:v>
                </c:pt>
                <c:pt idx="38">
                  <c:v>0.20787338772196198</c:v>
                </c:pt>
                <c:pt idx="39">
                  <c:v>0.20822051113691142</c:v>
                </c:pt>
                <c:pt idx="40">
                  <c:v>0.20857666617898429</c:v>
                </c:pt>
                <c:pt idx="41">
                  <c:v>0.20894185438954016</c:v>
                </c:pt>
                <c:pt idx="42">
                  <c:v>0.20931607734916893</c:v>
                </c:pt>
                <c:pt idx="43">
                  <c:v>0.20969933667770771</c:v>
                </c:pt>
                <c:pt idx="44">
                  <c:v>0.21009163403425854</c:v>
                </c:pt>
                <c:pt idx="45">
                  <c:v>0.2104929711172063</c:v>
                </c:pt>
                <c:pt idx="46">
                  <c:v>0.21090334966423704</c:v>
                </c:pt>
                <c:pt idx="47">
                  <c:v>0.21132277145235695</c:v>
                </c:pt>
                <c:pt idx="48">
                  <c:v>0.21175123829791148</c:v>
                </c:pt>
                <c:pt idx="49">
                  <c:v>0.21218875205660509</c:v>
                </c:pt>
                <c:pt idx="50">
                  <c:v>0.21263531462352142</c:v>
                </c:pt>
                <c:pt idx="51">
                  <c:v>0.21309092793314366</c:v>
                </c:pt>
                <c:pt idx="52">
                  <c:v>0.21355559395937573</c:v>
                </c:pt>
                <c:pt idx="53">
                  <c:v>0.21402931471556358</c:v>
                </c:pt>
                <c:pt idx="54">
                  <c:v>0.21451209225451701</c:v>
                </c:pt>
                <c:pt idx="55">
                  <c:v>0.21500392866853194</c:v>
                </c:pt>
                <c:pt idx="56">
                  <c:v>0.21550482608941321</c:v>
                </c:pt>
                <c:pt idx="57">
                  <c:v>0.21601478668849761</c:v>
                </c:pt>
                <c:pt idx="58">
                  <c:v>0.21653381267667746</c:v>
                </c:pt>
                <c:pt idx="59">
                  <c:v>0.21706190630442462</c:v>
                </c:pt>
                <c:pt idx="60">
                  <c:v>0.21759906986181501</c:v>
                </c:pt>
                <c:pt idx="61">
                  <c:v>0.21814530567855328</c:v>
                </c:pt>
                <c:pt idx="62">
                  <c:v>0.21870061612399833</c:v>
                </c:pt>
                <c:pt idx="63">
                  <c:v>0.2192650036071889</c:v>
                </c:pt>
                <c:pt idx="64">
                  <c:v>0.21983847057686975</c:v>
                </c:pt>
                <c:pt idx="65">
                  <c:v>0.22042101952151844</c:v>
                </c:pt>
                <c:pt idx="66">
                  <c:v>0.22101265296937214</c:v>
                </c:pt>
                <c:pt idx="67">
                  <c:v>0.22161337348845531</c:v>
                </c:pt>
                <c:pt idx="68">
                  <c:v>0.22222318368660743</c:v>
                </c:pt>
                <c:pt idx="69">
                  <c:v>0.22284208621151164</c:v>
                </c:pt>
                <c:pt idx="70">
                  <c:v>0.22347008375072322</c:v>
                </c:pt>
                <c:pt idx="71">
                  <c:v>0.22410717903169908</c:v>
                </c:pt>
                <c:pt idx="72">
                  <c:v>0.22475337482182733</c:v>
                </c:pt>
                <c:pt idx="73">
                  <c:v>0.22540867392845745</c:v>
                </c:pt>
                <c:pt idx="74">
                  <c:v>0.22607307919893077</c:v>
                </c:pt>
                <c:pt idx="75">
                  <c:v>0.22674659352061161</c:v>
                </c:pt>
                <c:pt idx="76">
                  <c:v>0.2274292198209186</c:v>
                </c:pt>
                <c:pt idx="77">
                  <c:v>0.22812096106735669</c:v>
                </c:pt>
                <c:pt idx="78">
                  <c:v>0.22882182026754938</c:v>
                </c:pt>
                <c:pt idx="79">
                  <c:v>0.22953180046927163</c:v>
                </c:pt>
                <c:pt idx="80">
                  <c:v>0.23025090476048291</c:v>
                </c:pt>
                <c:pt idx="81">
                  <c:v>0.23097913626936106</c:v>
                </c:pt>
                <c:pt idx="82">
                  <c:v>0.23171649816433637</c:v>
                </c:pt>
                <c:pt idx="83">
                  <c:v>0.23246299365412601</c:v>
                </c:pt>
                <c:pt idx="84">
                  <c:v>0.23321862598776921</c:v>
                </c:pt>
                <c:pt idx="85">
                  <c:v>0.23398339845466271</c:v>
                </c:pt>
                <c:pt idx="86">
                  <c:v>0.23475731438459657</c:v>
                </c:pt>
                <c:pt idx="87">
                  <c:v>0.23554037714779061</c:v>
                </c:pt>
                <c:pt idx="88">
                  <c:v>0.2363325901549313</c:v>
                </c:pt>
                <c:pt idx="89">
                  <c:v>0.23713395685720884</c:v>
                </c:pt>
                <c:pt idx="90">
                  <c:v>0.23794448074635516</c:v>
                </c:pt>
                <c:pt idx="91">
                  <c:v>0.23876416535468181</c:v>
                </c:pt>
                <c:pt idx="92">
                  <c:v>0.23959301425511878</c:v>
                </c:pt>
                <c:pt idx="93">
                  <c:v>0.24043103106125349</c:v>
                </c:pt>
                <c:pt idx="94">
                  <c:v>0.24127821942737043</c:v>
                </c:pt>
                <c:pt idx="95">
                  <c:v>0.24213458304849106</c:v>
                </c:pt>
                <c:pt idx="96">
                  <c:v>0.24300012566041435</c:v>
                </c:pt>
                <c:pt idx="97">
                  <c:v>0.24387485103975759</c:v>
                </c:pt>
                <c:pt idx="98">
                  <c:v>0.24475876300399793</c:v>
                </c:pt>
                <c:pt idx="99">
                  <c:v>0.24565186541151401</c:v>
                </c:pt>
                <c:pt idx="100">
                  <c:v>0.24655416216162851</c:v>
                </c:pt>
                <c:pt idx="101">
                  <c:v>0.24746565719465063</c:v>
                </c:pt>
                <c:pt idx="102">
                  <c:v>0.24838635449191948</c:v>
                </c:pt>
                <c:pt idx="103">
                  <c:v>0.24931625807584779</c:v>
                </c:pt>
                <c:pt idx="104">
                  <c:v>0.25025537200996595</c:v>
                </c:pt>
                <c:pt idx="105">
                  <c:v>0.25120370039896667</c:v>
                </c:pt>
                <c:pt idx="106">
                  <c:v>0.25216124738875001</c:v>
                </c:pt>
                <c:pt idx="107">
                  <c:v>0.25312801716646915</c:v>
                </c:pt>
                <c:pt idx="108">
                  <c:v>0.25410401396057619</c:v>
                </c:pt>
                <c:pt idx="109">
                  <c:v>0.25508924204086852</c:v>
                </c:pt>
                <c:pt idx="110">
                  <c:v>0.25608370571853611</c:v>
                </c:pt>
                <c:pt idx="111">
                  <c:v>0.25708740934620877</c:v>
                </c:pt>
                <c:pt idx="112">
                  <c:v>0.25810035731800396</c:v>
                </c:pt>
                <c:pt idx="113">
                  <c:v>0.25912255406957529</c:v>
                </c:pt>
                <c:pt idx="114">
                  <c:v>0.26015400407816136</c:v>
                </c:pt>
                <c:pt idx="115">
                  <c:v>0.26119471186263504</c:v>
                </c:pt>
                <c:pt idx="116">
                  <c:v>0.26224468198355322</c:v>
                </c:pt>
                <c:pt idx="117">
                  <c:v>0.26330391904320721</c:v>
                </c:pt>
                <c:pt idx="118">
                  <c:v>0.26437242768567343</c:v>
                </c:pt>
                <c:pt idx="119">
                  <c:v>0.26545021259686452</c:v>
                </c:pt>
                <c:pt idx="120">
                  <c:v>0.2665372785045812</c:v>
                </c:pt>
                <c:pt idx="121">
                  <c:v>0.26763363017856473</c:v>
                </c:pt>
                <c:pt idx="122">
                  <c:v>0.26873927243054879</c:v>
                </c:pt>
                <c:pt idx="123">
                  <c:v>0.26985421011431343</c:v>
                </c:pt>
                <c:pt idx="124">
                  <c:v>0.27097844812573846</c:v>
                </c:pt>
                <c:pt idx="125">
                  <c:v>0.27211199140285747</c:v>
                </c:pt>
                <c:pt idx="126">
                  <c:v>0.27325484492591234</c:v>
                </c:pt>
                <c:pt idx="127">
                  <c:v>0.27440701371740883</c:v>
                </c:pt>
                <c:pt idx="128">
                  <c:v>0.27556850284217166</c:v>
                </c:pt>
                <c:pt idx="129">
                  <c:v>0.27673931740740088</c:v>
                </c:pt>
                <c:pt idx="130">
                  <c:v>0.27791946256272837</c:v>
                </c:pt>
                <c:pt idx="131">
                  <c:v>0.27910894350027482</c:v>
                </c:pt>
                <c:pt idx="132">
                  <c:v>0.28030776545470748</c:v>
                </c:pt>
                <c:pt idx="133">
                  <c:v>0.28151593370329803</c:v>
                </c:pt>
                <c:pt idx="134">
                  <c:v>0.28273345356598134</c:v>
                </c:pt>
                <c:pt idx="135">
                  <c:v>0.28396033040541424</c:v>
                </c:pt>
                <c:pt idx="136">
                  <c:v>0.28519656962703527</c:v>
                </c:pt>
                <c:pt idx="137">
                  <c:v>0.2864421766791248</c:v>
                </c:pt>
                <c:pt idx="138">
                  <c:v>0.2876971570528653</c:v>
                </c:pt>
                <c:pt idx="139">
                  <c:v>0.28896151628240274</c:v>
                </c:pt>
                <c:pt idx="140">
                  <c:v>0.29023525994490773</c:v>
                </c:pt>
                <c:pt idx="141">
                  <c:v>0.29151839366063814</c:v>
                </c:pt>
                <c:pt idx="142">
                  <c:v>0.29281092309300105</c:v>
                </c:pt>
                <c:pt idx="143">
                  <c:v>0.2941128539486163</c:v>
                </c:pt>
                <c:pt idx="144">
                  <c:v>0.29542419197737979</c:v>
                </c:pt>
                <c:pt idx="145">
                  <c:v>0.29674494297252774</c:v>
                </c:pt>
                <c:pt idx="146">
                  <c:v>0.29807511277070137</c:v>
                </c:pt>
                <c:pt idx="147">
                  <c:v>0.29941470725201158</c:v>
                </c:pt>
                <c:pt idx="148">
                  <c:v>0.30076373234010512</c:v>
                </c:pt>
                <c:pt idx="149">
                  <c:v>0.30212219400223056</c:v>
                </c:pt>
                <c:pt idx="150">
                  <c:v>0.30349009824930473</c:v>
                </c:pt>
                <c:pt idx="151">
                  <c:v>0.30486745113598024</c:v>
                </c:pt>
                <c:pt idx="152">
                  <c:v>0.30625425876071299</c:v>
                </c:pt>
                <c:pt idx="153">
                  <c:v>0.30765052726583031</c:v>
                </c:pt>
                <c:pt idx="154">
                  <c:v>0.30905626283760013</c:v>
                </c:pt>
                <c:pt idx="155">
                  <c:v>0.31047147170629963</c:v>
                </c:pt>
                <c:pt idx="156">
                  <c:v>0.31189616014628563</c:v>
                </c:pt>
                <c:pt idx="157">
                  <c:v>0.31333033447606468</c:v>
                </c:pt>
                <c:pt idx="158">
                  <c:v>0.31477400105836362</c:v>
                </c:pt>
                <c:pt idx="159">
                  <c:v>0.31622716630020165</c:v>
                </c:pt>
                <c:pt idx="160">
                  <c:v>0.31768983665296141</c:v>
                </c:pt>
                <c:pt idx="161">
                  <c:v>0.31916201861246207</c:v>
                </c:pt>
                <c:pt idx="162">
                  <c:v>0.3206437187190323</c:v>
                </c:pt>
                <c:pt idx="163">
                  <c:v>0.32213494355758332</c:v>
                </c:pt>
                <c:pt idx="164">
                  <c:v>0.32363569975768336</c:v>
                </c:pt>
                <c:pt idx="165">
                  <c:v>0.3251459939936322</c:v>
                </c:pt>
                <c:pt idx="166">
                  <c:v>0.32666583298453611</c:v>
                </c:pt>
                <c:pt idx="167">
                  <c:v>0.32819522349438368</c:v>
                </c:pt>
                <c:pt idx="168">
                  <c:v>0.32973417233212243</c:v>
                </c:pt>
                <c:pt idx="169">
                  <c:v>0.33128268635173463</c:v>
                </c:pt>
                <c:pt idx="170">
                  <c:v>0.33284077245231553</c:v>
                </c:pt>
                <c:pt idx="171">
                  <c:v>0.33440843757815086</c:v>
                </c:pt>
                <c:pt idx="172">
                  <c:v>0.33598568871879525</c:v>
                </c:pt>
                <c:pt idx="173">
                  <c:v>0.33757253290915118</c:v>
                </c:pt>
                <c:pt idx="174">
                  <c:v>0.33916897722954875</c:v>
                </c:pt>
                <c:pt idx="175">
                  <c:v>0.34077502880582544</c:v>
                </c:pt>
                <c:pt idx="176">
                  <c:v>0.34239069480940676</c:v>
                </c:pt>
                <c:pt idx="177">
                  <c:v>0.34401598245738785</c:v>
                </c:pt>
                <c:pt idx="178">
                  <c:v>0.34565089901261487</c:v>
                </c:pt>
                <c:pt idx="179">
                  <c:v>0.34729545178376736</c:v>
                </c:pt>
                <c:pt idx="180">
                  <c:v>0.34894964812544138</c:v>
                </c:pt>
                <c:pt idx="181">
                  <c:v>0.35061349543823245</c:v>
                </c:pt>
                <c:pt idx="182">
                  <c:v>0.35228700116882028</c:v>
                </c:pt>
                <c:pt idx="183">
                  <c:v>0.35397017281005283</c:v>
                </c:pt>
                <c:pt idx="184">
                  <c:v>0.35566301790103166</c:v>
                </c:pt>
                <c:pt idx="185">
                  <c:v>0.35736554402719756</c:v>
                </c:pt>
                <c:pt idx="186">
                  <c:v>0.35907775882041704</c:v>
                </c:pt>
                <c:pt idx="187">
                  <c:v>0.3607996699590692</c:v>
                </c:pt>
                <c:pt idx="188">
                  <c:v>0.36253128516813304</c:v>
                </c:pt>
                <c:pt idx="189">
                  <c:v>0.36427261221927554</c:v>
                </c:pt>
                <c:pt idx="190">
                  <c:v>0.36602365893094058</c:v>
                </c:pt>
                <c:pt idx="191">
                  <c:v>0.36778443316843767</c:v>
                </c:pt>
                <c:pt idx="192">
                  <c:v>0.3695549428440324</c:v>
                </c:pt>
                <c:pt idx="193">
                  <c:v>0.37133519591703612</c:v>
                </c:pt>
                <c:pt idx="194">
                  <c:v>0.37312520039389757</c:v>
                </c:pt>
                <c:pt idx="195">
                  <c:v>0.3749249643282937</c:v>
                </c:pt>
                <c:pt idx="196">
                  <c:v>0.37673449582122287</c:v>
                </c:pt>
                <c:pt idx="197">
                  <c:v>0.37855380302109687</c:v>
                </c:pt>
                <c:pt idx="198">
                  <c:v>0.38038289412383419</c:v>
                </c:pt>
                <c:pt idx="199">
                  <c:v>0.38222177737295465</c:v>
                </c:pt>
                <c:pt idx="200">
                  <c:v>0.38407046105967363</c:v>
                </c:pt>
              </c:numCache>
            </c:numRef>
          </c:val>
          <c:smooth val="0"/>
          <c:extLst>
            <c:ext xmlns:c16="http://schemas.microsoft.com/office/drawing/2014/chart" uri="{C3380CC4-5D6E-409C-BE32-E72D297353CC}">
              <c16:uniqueId val="{00000001-7890-472B-AAE1-D1CB0E55BFDF}"/>
            </c:ext>
          </c:extLst>
        </c:ser>
        <c:ser>
          <c:idx val="2"/>
          <c:order val="2"/>
          <c:tx>
            <c:v> High-Side MOSFET Loss</c:v>
          </c:tx>
          <c:spPr>
            <a:ln w="38100">
              <a:solidFill>
                <a:srgbClr val="808000"/>
              </a:solidFill>
              <a:prstDash val="sysDash"/>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Calculations'!$AC$9:$AC$209</c:f>
              <c:numCache>
                <c:formatCode>0.0000</c:formatCode>
                <c:ptCount val="201"/>
                <c:pt idx="0">
                  <c:v>1.8224357858228363E-2</c:v>
                </c:pt>
                <c:pt idx="1">
                  <c:v>1.8387585892376421E-2</c:v>
                </c:pt>
                <c:pt idx="2">
                  <c:v>1.8553118139038722E-2</c:v>
                </c:pt>
                <c:pt idx="3">
                  <c:v>1.8720955278269027E-2</c:v>
                </c:pt>
                <c:pt idx="4">
                  <c:v>1.8891097996533691E-2</c:v>
                </c:pt>
                <c:pt idx="5">
                  <c:v>1.906354698671683E-2</c:v>
                </c:pt>
                <c:pt idx="6">
                  <c:v>1.9238302948125754E-2</c:v>
                </c:pt>
                <c:pt idx="7">
                  <c:v>1.9415366586496154E-2</c:v>
                </c:pt>
                <c:pt idx="8">
                  <c:v>2.1088638760585841E-2</c:v>
                </c:pt>
                <c:pt idx="9">
                  <c:v>2.7686921351004975E-2</c:v>
                </c:pt>
                <c:pt idx="10">
                  <c:v>3.4287570650685849E-2</c:v>
                </c:pt>
                <c:pt idx="11">
                  <c:v>4.0890596245799542E-2</c:v>
                </c:pt>
                <c:pt idx="12">
                  <c:v>4.7496007731604499E-2</c:v>
                </c:pt>
                <c:pt idx="13">
                  <c:v>5.4103814712493391E-2</c:v>
                </c:pt>
                <c:pt idx="14">
                  <c:v>6.0714026802039488E-2</c:v>
                </c:pt>
                <c:pt idx="15">
                  <c:v>6.7326653623043131E-2</c:v>
                </c:pt>
                <c:pt idx="16">
                  <c:v>7.3941704807578931E-2</c:v>
                </c:pt>
                <c:pt idx="17">
                  <c:v>8.0559189997042091E-2</c:v>
                </c:pt>
                <c:pt idx="18">
                  <c:v>8.7179118842195466E-2</c:v>
                </c:pt>
                <c:pt idx="19">
                  <c:v>9.3801501003216659E-2</c:v>
                </c:pt>
                <c:pt idx="20">
                  <c:v>0.10042634614974499</c:v>
                </c:pt>
                <c:pt idx="21">
                  <c:v>0.10705366396092848</c:v>
                </c:pt>
                <c:pt idx="22">
                  <c:v>0.11368346412547146</c:v>
                </c:pt>
                <c:pt idx="23">
                  <c:v>0.12031575634168154</c:v>
                </c:pt>
                <c:pt idx="24">
                  <c:v>0.12695055031751709</c:v>
                </c:pt>
                <c:pt idx="25">
                  <c:v>0.13358785577063484</c:v>
                </c:pt>
                <c:pt idx="26">
                  <c:v>0.14022768242843747</c:v>
                </c:pt>
                <c:pt idx="27">
                  <c:v>0.14687004002812099</c:v>
                </c:pt>
                <c:pt idx="28">
                  <c:v>0.15351493831672292</c:v>
                </c:pt>
                <c:pt idx="29">
                  <c:v>0.1601623870511697</c:v>
                </c:pt>
                <c:pt idx="30">
                  <c:v>0.16681239599832492</c:v>
                </c:pt>
                <c:pt idx="31">
                  <c:v>0.16879943816623519</c:v>
                </c:pt>
                <c:pt idx="32">
                  <c:v>0.16954144748202296</c:v>
                </c:pt>
                <c:pt idx="33">
                  <c:v>0.17028586702325771</c:v>
                </c:pt>
                <c:pt idx="34">
                  <c:v>0.17103269839095578</c:v>
                </c:pt>
                <c:pt idx="35">
                  <c:v>0.17178194319318393</c:v>
                </c:pt>
                <c:pt idx="36">
                  <c:v>0.17253360304506934</c:v>
                </c:pt>
                <c:pt idx="37">
                  <c:v>0.17328767956880997</c:v>
                </c:pt>
                <c:pt idx="38">
                  <c:v>0.17404417439368461</c:v>
                </c:pt>
                <c:pt idx="39">
                  <c:v>0.17480308915606327</c:v>
                </c:pt>
                <c:pt idx="40">
                  <c:v>0.1755644254994175</c:v>
                </c:pt>
                <c:pt idx="41">
                  <c:v>0.17632818507433071</c:v>
                </c:pt>
                <c:pt idx="42">
                  <c:v>0.17709436953850874</c:v>
                </c:pt>
                <c:pt idx="43">
                  <c:v>0.17786298055679028</c:v>
                </c:pt>
                <c:pt idx="44">
                  <c:v>0.17863401980115742</c:v>
                </c:pt>
                <c:pt idx="45">
                  <c:v>0.17940748895074629</c:v>
                </c:pt>
                <c:pt idx="46">
                  <c:v>0.18018338969185771</c:v>
                </c:pt>
                <c:pt idx="47">
                  <c:v>0.18096172371796784</c:v>
                </c:pt>
                <c:pt idx="48">
                  <c:v>0.18174249272973911</c:v>
                </c:pt>
                <c:pt idx="49">
                  <c:v>0.18252569843503086</c:v>
                </c:pt>
                <c:pt idx="50">
                  <c:v>0.18331134254891029</c:v>
                </c:pt>
                <c:pt idx="51">
                  <c:v>0.18409942679366351</c:v>
                </c:pt>
                <c:pt idx="52">
                  <c:v>0.18488995289880625</c:v>
                </c:pt>
                <c:pt idx="53">
                  <c:v>0.18568292260109523</c:v>
                </c:pt>
                <c:pt idx="54">
                  <c:v>0.18647833764453894</c:v>
                </c:pt>
                <c:pt idx="55">
                  <c:v>0.1872761997804091</c:v>
                </c:pt>
                <c:pt idx="56">
                  <c:v>0.1880765107672516</c:v>
                </c:pt>
                <c:pt idx="57">
                  <c:v>0.18887927237089791</c:v>
                </c:pt>
                <c:pt idx="58">
                  <c:v>0.18968448636447641</c:v>
                </c:pt>
                <c:pt idx="59">
                  <c:v>0.19049215452842366</c:v>
                </c:pt>
                <c:pt idx="60">
                  <c:v>0.1913022786504959</c:v>
                </c:pt>
                <c:pt idx="61">
                  <c:v>0.19211486052578056</c:v>
                </c:pt>
                <c:pt idx="62">
                  <c:v>0.19292990195670773</c:v>
                </c:pt>
                <c:pt idx="63">
                  <c:v>0.19374740475306176</c:v>
                </c:pt>
                <c:pt idx="64">
                  <c:v>0.19456737073199304</c:v>
                </c:pt>
                <c:pt idx="65">
                  <c:v>0.19538980171802961</c:v>
                </c:pt>
                <c:pt idx="66">
                  <c:v>0.19621469954308882</c:v>
                </c:pt>
                <c:pt idx="67">
                  <c:v>0.19704206604648947</c:v>
                </c:pt>
                <c:pt idx="68">
                  <c:v>0.19787190307496327</c:v>
                </c:pt>
                <c:pt idx="69">
                  <c:v>0.19870421248266723</c:v>
                </c:pt>
                <c:pt idx="70">
                  <c:v>0.19953899613119527</c:v>
                </c:pt>
                <c:pt idx="71">
                  <c:v>0.20037625588959052</c:v>
                </c:pt>
                <c:pt idx="72">
                  <c:v>0.20121599363435735</c:v>
                </c:pt>
                <c:pt idx="73">
                  <c:v>0.20205821124947346</c:v>
                </c:pt>
                <c:pt idx="74">
                  <c:v>0.20290291062640234</c:v>
                </c:pt>
                <c:pt idx="75">
                  <c:v>0.20375009366410518</c:v>
                </c:pt>
                <c:pt idx="76">
                  <c:v>0.20459976226905371</c:v>
                </c:pt>
                <c:pt idx="77">
                  <c:v>0.2054519183552421</c:v>
                </c:pt>
                <c:pt idx="78">
                  <c:v>0.20630656384419976</c:v>
                </c:pt>
                <c:pt idx="79">
                  <c:v>0.20716370066500375</c:v>
                </c:pt>
                <c:pt idx="80">
                  <c:v>0.20802333075429136</c:v>
                </c:pt>
                <c:pt idx="81">
                  <c:v>0.20888545605627273</c:v>
                </c:pt>
                <c:pt idx="82">
                  <c:v>0.2097500785227436</c:v>
                </c:pt>
                <c:pt idx="83">
                  <c:v>0.21061720011309792</c:v>
                </c:pt>
                <c:pt idx="84">
                  <c:v>0.211486822794341</c:v>
                </c:pt>
                <c:pt idx="85">
                  <c:v>0.21235894854110196</c:v>
                </c:pt>
                <c:pt idx="86">
                  <c:v>0.21323357933564699</c:v>
                </c:pt>
                <c:pt idx="87">
                  <c:v>0.21411071716789218</c:v>
                </c:pt>
                <c:pt idx="88">
                  <c:v>0.21499036403541658</c:v>
                </c:pt>
                <c:pt idx="89">
                  <c:v>0.21587252194347559</c:v>
                </c:pt>
                <c:pt idx="90">
                  <c:v>0.21675719290501355</c:v>
                </c:pt>
                <c:pt idx="91">
                  <c:v>0.21764437894067767</c:v>
                </c:pt>
                <c:pt idx="92">
                  <c:v>0.21853408207883082</c:v>
                </c:pt>
                <c:pt idx="93">
                  <c:v>0.21942630435556515</c:v>
                </c:pt>
                <c:pt idx="94">
                  <c:v>0.22032104781471534</c:v>
                </c:pt>
                <c:pt idx="95">
                  <c:v>0.22121831450787224</c:v>
                </c:pt>
                <c:pt idx="96">
                  <c:v>0.22211810649439639</c:v>
                </c:pt>
                <c:pt idx="97">
                  <c:v>0.22302042584143147</c:v>
                </c:pt>
                <c:pt idx="98">
                  <c:v>0.2239252746239182</c:v>
                </c:pt>
                <c:pt idx="99">
                  <c:v>0.2248326549246078</c:v>
                </c:pt>
                <c:pt idx="100">
                  <c:v>0.2257425688340762</c:v>
                </c:pt>
                <c:pt idx="101">
                  <c:v>0.22665501845073738</c:v>
                </c:pt>
                <c:pt idx="102">
                  <c:v>0.22757000588085763</c:v>
                </c:pt>
                <c:pt idx="103">
                  <c:v>0.22848753323856946</c:v>
                </c:pt>
                <c:pt idx="104">
                  <c:v>0.22940760264588567</c:v>
                </c:pt>
                <c:pt idx="105">
                  <c:v>0.23033021623271333</c:v>
                </c:pt>
                <c:pt idx="106">
                  <c:v>0.231255376136868</c:v>
                </c:pt>
                <c:pt idx="107">
                  <c:v>0.23218308450408817</c:v>
                </c:pt>
                <c:pt idx="108">
                  <c:v>0.23311334348804921</c:v>
                </c:pt>
                <c:pt idx="109">
                  <c:v>0.23404615525037806</c:v>
                </c:pt>
                <c:pt idx="110">
                  <c:v>0.23498152196066743</c:v>
                </c:pt>
                <c:pt idx="111">
                  <c:v>0.2359194457964903</c:v>
                </c:pt>
                <c:pt idx="112">
                  <c:v>0.23685992894341473</c:v>
                </c:pt>
                <c:pt idx="113">
                  <c:v>0.23780297359501806</c:v>
                </c:pt>
                <c:pt idx="114">
                  <c:v>0.23874858195290211</c:v>
                </c:pt>
                <c:pt idx="115">
                  <c:v>0.23969675622670736</c:v>
                </c:pt>
                <c:pt idx="116">
                  <c:v>0.24064749863412827</c:v>
                </c:pt>
                <c:pt idx="117">
                  <c:v>0.24160081140092787</c:v>
                </c:pt>
                <c:pt idx="118">
                  <c:v>0.24255669676095276</c:v>
                </c:pt>
                <c:pt idx="119">
                  <c:v>0.2435151569561482</c:v>
                </c:pt>
                <c:pt idx="120">
                  <c:v>0.24447619423657307</c:v>
                </c:pt>
                <c:pt idx="121">
                  <c:v>0.24543981086041514</c:v>
                </c:pt>
                <c:pt idx="122">
                  <c:v>0.24640600909400631</c:v>
                </c:pt>
                <c:pt idx="123">
                  <c:v>0.24737479121183753</c:v>
                </c:pt>
                <c:pt idx="124">
                  <c:v>0.24834615949657468</c:v>
                </c:pt>
                <c:pt idx="125">
                  <c:v>0.24932011623907371</c:v>
                </c:pt>
                <c:pt idx="126">
                  <c:v>0.25029666373839587</c:v>
                </c:pt>
                <c:pt idx="127">
                  <c:v>0.25127580430182389</c:v>
                </c:pt>
                <c:pt idx="128">
                  <c:v>0.25225754024487695</c:v>
                </c:pt>
                <c:pt idx="129">
                  <c:v>0.25324187389132674</c:v>
                </c:pt>
                <c:pt idx="130">
                  <c:v>0.25422880757321303</c:v>
                </c:pt>
                <c:pt idx="131">
                  <c:v>0.25521834363085977</c:v>
                </c:pt>
                <c:pt idx="132">
                  <c:v>0.25621048441289052</c:v>
                </c:pt>
                <c:pt idx="133">
                  <c:v>0.25720523227624481</c:v>
                </c:pt>
                <c:pt idx="134">
                  <c:v>0.25820258958619419</c:v>
                </c:pt>
                <c:pt idx="135">
                  <c:v>0.25920255871635767</c:v>
                </c:pt>
                <c:pt idx="136">
                  <c:v>0.26020514204871886</c:v>
                </c:pt>
                <c:pt idx="137">
                  <c:v>0.26121034197364151</c:v>
                </c:pt>
                <c:pt idx="138">
                  <c:v>0.26221816088988603</c:v>
                </c:pt>
                <c:pt idx="139">
                  <c:v>0.26322860120462588</c:v>
                </c:pt>
                <c:pt idx="140">
                  <c:v>0.26424166533346394</c:v>
                </c:pt>
                <c:pt idx="141">
                  <c:v>0.26525735570044917</c:v>
                </c:pt>
                <c:pt idx="142">
                  <c:v>0.2662756747380931</c:v>
                </c:pt>
                <c:pt idx="143">
                  <c:v>0.26729662488738642</c:v>
                </c:pt>
                <c:pt idx="144">
                  <c:v>0.26832020859781575</c:v>
                </c:pt>
                <c:pt idx="145">
                  <c:v>0.26934642832738054</c:v>
                </c:pt>
                <c:pt idx="146">
                  <c:v>0.27037528654260995</c:v>
                </c:pt>
                <c:pt idx="147">
                  <c:v>0.27140678571857957</c:v>
                </c:pt>
                <c:pt idx="148">
                  <c:v>0.27244092833892863</c:v>
                </c:pt>
                <c:pt idx="149">
                  <c:v>0.27347771689587713</c:v>
                </c:pt>
                <c:pt idx="150">
                  <c:v>0.27451715389024284</c:v>
                </c:pt>
                <c:pt idx="151">
                  <c:v>0.27555924183145847</c:v>
                </c:pt>
                <c:pt idx="152">
                  <c:v>0.27660398323758933</c:v>
                </c:pt>
                <c:pt idx="153">
                  <c:v>0.27765138063535044</c:v>
                </c:pt>
                <c:pt idx="154">
                  <c:v>0.27870143656012392</c:v>
                </c:pt>
                <c:pt idx="155">
                  <c:v>0.27975415355597683</c:v>
                </c:pt>
                <c:pt idx="156">
                  <c:v>0.28080953417567828</c:v>
                </c:pt>
                <c:pt idx="157">
                  <c:v>0.28186758098071774</c:v>
                </c:pt>
                <c:pt idx="158">
                  <c:v>0.28292829654132218</c:v>
                </c:pt>
                <c:pt idx="159">
                  <c:v>0.28399168343647446</c:v>
                </c:pt>
                <c:pt idx="160">
                  <c:v>0.28505774425393049</c:v>
                </c:pt>
                <c:pt idx="161">
                  <c:v>0.28612648159023801</c:v>
                </c:pt>
                <c:pt idx="162">
                  <c:v>0.28719789805075435</c:v>
                </c:pt>
                <c:pt idx="163">
                  <c:v>0.28827199624966404</c:v>
                </c:pt>
                <c:pt idx="164">
                  <c:v>0.28934877880999782</c:v>
                </c:pt>
                <c:pt idx="165">
                  <c:v>0.29042824836365061</c:v>
                </c:pt>
                <c:pt idx="166">
                  <c:v>0.29151040755139956</c:v>
                </c:pt>
                <c:pt idx="167">
                  <c:v>0.29259525902292294</c:v>
                </c:pt>
                <c:pt idx="168">
                  <c:v>0.29368280543681818</c:v>
                </c:pt>
                <c:pt idx="169">
                  <c:v>0.29477304946062099</c:v>
                </c:pt>
                <c:pt idx="170">
                  <c:v>0.29586599377082357</c:v>
                </c:pt>
                <c:pt idx="171">
                  <c:v>0.29696164105289391</c:v>
                </c:pt>
                <c:pt idx="172">
                  <c:v>0.29805999400129357</c:v>
                </c:pt>
                <c:pt idx="173">
                  <c:v>0.29916105531949783</c:v>
                </c:pt>
                <c:pt idx="174">
                  <c:v>0.30026482772001367</c:v>
                </c:pt>
                <c:pt idx="175">
                  <c:v>0.3013713139243997</c:v>
                </c:pt>
                <c:pt idx="176">
                  <c:v>0.30248051666328418</c:v>
                </c:pt>
                <c:pt idx="177">
                  <c:v>0.30359243867638547</c:v>
                </c:pt>
                <c:pt idx="178">
                  <c:v>0.30470708271253044</c:v>
                </c:pt>
                <c:pt idx="179">
                  <c:v>0.30582445152967419</c:v>
                </c:pt>
                <c:pt idx="180">
                  <c:v>0.30694454789491937</c:v>
                </c:pt>
                <c:pt idx="181">
                  <c:v>0.30806737458453598</c:v>
                </c:pt>
                <c:pt idx="182">
                  <c:v>0.30919293438398054</c:v>
                </c:pt>
                <c:pt idx="183">
                  <c:v>0.31032123008791634</c:v>
                </c:pt>
                <c:pt idx="184">
                  <c:v>0.3114522645002325</c:v>
                </c:pt>
                <c:pt idx="185">
                  <c:v>0.31258604043406474</c:v>
                </c:pt>
                <c:pt idx="186">
                  <c:v>0.31372256071181442</c:v>
                </c:pt>
                <c:pt idx="187">
                  <c:v>0.31486182816516917</c:v>
                </c:pt>
                <c:pt idx="188">
                  <c:v>0.31600384563512257</c:v>
                </c:pt>
                <c:pt idx="189">
                  <c:v>0.31714861597199479</c:v>
                </c:pt>
                <c:pt idx="190">
                  <c:v>0.31829614203545253</c:v>
                </c:pt>
                <c:pt idx="191">
                  <c:v>0.3194464266945295</c:v>
                </c:pt>
                <c:pt idx="192">
                  <c:v>0.32059947282764673</c:v>
                </c:pt>
                <c:pt idx="193">
                  <c:v>0.32175528332263326</c:v>
                </c:pt>
                <c:pt idx="194">
                  <c:v>0.32291386107674652</c:v>
                </c:pt>
                <c:pt idx="195">
                  <c:v>0.32407520899669334</c:v>
                </c:pt>
                <c:pt idx="196">
                  <c:v>0.32523932999865052</c:v>
                </c:pt>
                <c:pt idx="197">
                  <c:v>0.32640622700828548</c:v>
                </c:pt>
                <c:pt idx="198">
                  <c:v>0.32757590296077782</c:v>
                </c:pt>
                <c:pt idx="199">
                  <c:v>0.32874836080083947</c:v>
                </c:pt>
                <c:pt idx="200">
                  <c:v>0.3299236034827368</c:v>
                </c:pt>
              </c:numCache>
            </c:numRef>
          </c:val>
          <c:smooth val="0"/>
          <c:extLst>
            <c:ext xmlns:c16="http://schemas.microsoft.com/office/drawing/2014/chart" uri="{C3380CC4-5D6E-409C-BE32-E72D297353CC}">
              <c16:uniqueId val="{00000002-7890-472B-AAE1-D1CB0E55BFDF}"/>
            </c:ext>
          </c:extLst>
        </c:ser>
        <c:ser>
          <c:idx val="1"/>
          <c:order val="3"/>
          <c:tx>
            <c:v> Low-Side MOSFET Loss</c:v>
          </c:tx>
          <c:spPr>
            <a:ln w="38100">
              <a:solidFill>
                <a:srgbClr val="002060"/>
              </a:solidFill>
              <a:prstDash val="sysDot"/>
            </a:ln>
          </c:spPr>
          <c:marker>
            <c:symbol val="none"/>
          </c:marker>
          <c:cat>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cat>
          <c:val>
            <c:numRef>
              <c:f>'Power Calculations'!$AG$9:$AG$209</c:f>
              <c:numCache>
                <c:formatCode>0.0000</c:formatCode>
                <c:ptCount val="201"/>
                <c:pt idx="0">
                  <c:v>8.6178764210733394E-3</c:v>
                </c:pt>
                <c:pt idx="1">
                  <c:v>8.8658189202375035E-3</c:v>
                </c:pt>
                <c:pt idx="2">
                  <c:v>9.1222841427788335E-3</c:v>
                </c:pt>
                <c:pt idx="3">
                  <c:v>9.3872730172534381E-3</c:v>
                </c:pt>
                <c:pt idx="4">
                  <c:v>9.6607865591441817E-3</c:v>
                </c:pt>
                <c:pt idx="5">
                  <c:v>9.9428258708721875E-3</c:v>
                </c:pt>
                <c:pt idx="6">
                  <c:v>1.0233392141810665E-2</c:v>
                </c:pt>
                <c:pt idx="7">
                  <c:v>1.0532486648300808E-2</c:v>
                </c:pt>
                <c:pt idx="8">
                  <c:v>1.0840110753670017E-2</c:v>
                </c:pt>
                <c:pt idx="9">
                  <c:v>1.1156265908252338E-2</c:v>
                </c:pt>
                <c:pt idx="10">
                  <c:v>1.1480953649411032E-2</c:v>
                </c:pt>
                <c:pt idx="11">
                  <c:v>1.1814175601563483E-2</c:v>
                </c:pt>
                <c:pt idx="12">
                  <c:v>1.2155933476208226E-2</c:v>
                </c:pt>
                <c:pt idx="13">
                  <c:v>1.2506229071954264E-2</c:v>
                </c:pt>
                <c:pt idx="14">
                  <c:v>1.286506427455255E-2</c:v>
                </c:pt>
                <c:pt idx="15">
                  <c:v>1.3232441056929757E-2</c:v>
                </c:pt>
                <c:pt idx="16">
                  <c:v>1.3608361479224231E-2</c:v>
                </c:pt>
                <c:pt idx="17">
                  <c:v>1.3992827688824159E-2</c:v>
                </c:pt>
                <c:pt idx="18">
                  <c:v>1.4385841920408008E-2</c:v>
                </c:pt>
                <c:pt idx="19">
                  <c:v>1.4787406495987155E-2</c:v>
                </c:pt>
                <c:pt idx="20">
                  <c:v>1.5197523824950772E-2</c:v>
                </c:pt>
                <c:pt idx="21">
                  <c:v>1.5616196404112926E-2</c:v>
                </c:pt>
                <c:pt idx="22">
                  <c:v>1.6043426817761934E-2</c:v>
                </c:pt>
                <c:pt idx="23">
                  <c:v>1.6479217737711931E-2</c:v>
                </c:pt>
                <c:pt idx="24">
                  <c:v>1.6923571923356695E-2</c:v>
                </c:pt>
                <c:pt idx="25">
                  <c:v>1.7376492221725704E-2</c:v>
                </c:pt>
                <c:pt idx="26">
                  <c:v>1.783798156754245E-2</c:v>
                </c:pt>
                <c:pt idx="27">
                  <c:v>1.830804298328496E-2</c:v>
                </c:pt>
                <c:pt idx="28">
                  <c:v>1.8786679579248632E-2</c:v>
                </c:pt>
                <c:pt idx="29">
                  <c:v>1.927389455361124E-2</c:v>
                </c:pt>
                <c:pt idx="30">
                  <c:v>1.9769691192500296E-2</c:v>
                </c:pt>
                <c:pt idx="31">
                  <c:v>2.046563935235475E-2</c:v>
                </c:pt>
                <c:pt idx="32">
                  <c:v>2.1221419851166181E-2</c:v>
                </c:pt>
                <c:pt idx="33">
                  <c:v>2.1985819596306782E-2</c:v>
                </c:pt>
                <c:pt idx="34">
                  <c:v>2.27588434695143E-2</c:v>
                </c:pt>
                <c:pt idx="35">
                  <c:v>2.3540496441329443E-2</c:v>
                </c:pt>
                <c:pt idx="36">
                  <c:v>2.4330783571198038E-2</c:v>
                </c:pt>
                <c:pt idx="37">
                  <c:v>2.5129710007575412E-2</c:v>
                </c:pt>
                <c:pt idx="38">
                  <c:v>2.59372809880332E-2</c:v>
                </c:pt>
                <c:pt idx="39">
                  <c:v>2.6753501839368317E-2</c:v>
                </c:pt>
                <c:pt idx="40">
                  <c:v>2.757837797771439E-2</c:v>
                </c:pt>
                <c:pt idx="41">
                  <c:v>2.8411914908655314E-2</c:v>
                </c:pt>
                <c:pt idx="42">
                  <c:v>2.9254118227341336E-2</c:v>
                </c:pt>
                <c:pt idx="43">
                  <c:v>3.010499361860728E-2</c:v>
                </c:pt>
                <c:pt idx="44">
                  <c:v>3.0964546857093211E-2</c:v>
                </c:pt>
                <c:pt idx="45">
                  <c:v>3.1832783807367378E-2</c:v>
                </c:pt>
                <c:pt idx="46">
                  <c:v>3.270971042405154E-2</c:v>
                </c:pt>
                <c:pt idx="47">
                  <c:v>3.3595332751948551E-2</c:v>
                </c:pt>
                <c:pt idx="48">
                  <c:v>3.4489656926172431E-2</c:v>
                </c:pt>
                <c:pt idx="49">
                  <c:v>3.5392689172280611E-2</c:v>
                </c:pt>
                <c:pt idx="50">
                  <c:v>3.6304435806408741E-2</c:v>
                </c:pt>
                <c:pt idx="51">
                  <c:v>3.7224903235407683E-2</c:v>
                </c:pt>
                <c:pt idx="52">
                  <c:v>3.8154097956982963E-2</c:v>
                </c:pt>
                <c:pt idx="53">
                  <c:v>3.9092026559836623E-2</c:v>
                </c:pt>
                <c:pt idx="54">
                  <c:v>4.0038695723811427E-2</c:v>
                </c:pt>
                <c:pt idx="55">
                  <c:v>4.0994112220037397E-2</c:v>
                </c:pt>
                <c:pt idx="56">
                  <c:v>4.1958282911080863E-2</c:v>
                </c:pt>
                <c:pt idx="57">
                  <c:v>4.2931214751095848E-2</c:v>
                </c:pt>
                <c:pt idx="58">
                  <c:v>4.3912914785977829E-2</c:v>
                </c:pt>
                <c:pt idx="59">
                  <c:v>4.4903390153520052E-2</c:v>
                </c:pt>
                <c:pt idx="60">
                  <c:v>4.5902648083572035E-2</c:v>
                </c:pt>
                <c:pt idx="61">
                  <c:v>4.6910695898200828E-2</c:v>
                </c:pt>
                <c:pt idx="62">
                  <c:v>4.792754101185432E-2</c:v>
                </c:pt>
                <c:pt idx="63">
                  <c:v>4.8953190931527411E-2</c:v>
                </c:pt>
                <c:pt idx="64">
                  <c:v>4.9987653256930248E-2</c:v>
                </c:pt>
                <c:pt idx="65">
                  <c:v>5.1030935680659223E-2</c:v>
                </c:pt>
                <c:pt idx="66">
                  <c:v>5.2083045988370213E-2</c:v>
                </c:pt>
                <c:pt idx="67">
                  <c:v>5.3143992058954523E-2</c:v>
                </c:pt>
                <c:pt idx="68">
                  <c:v>5.4213781864717037E-2</c:v>
                </c:pt>
                <c:pt idx="69">
                  <c:v>5.5292423471557141E-2</c:v>
                </c:pt>
                <c:pt idx="70">
                  <c:v>5.637992503915195E-2</c:v>
                </c:pt>
                <c:pt idx="71">
                  <c:v>5.7476294821142131E-2</c:v>
                </c:pt>
                <c:pt idx="72">
                  <c:v>5.8581541165320196E-2</c:v>
                </c:pt>
                <c:pt idx="73">
                  <c:v>5.9695672513821338E-2</c:v>
                </c:pt>
                <c:pt idx="74">
                  <c:v>6.0818697403316906E-2</c:v>
                </c:pt>
                <c:pt idx="75">
                  <c:v>6.1950624465210179E-2</c:v>
                </c:pt>
                <c:pt idx="76">
                  <c:v>6.3091462425834952E-2</c:v>
                </c:pt>
                <c:pt idx="77">
                  <c:v>6.4241220106656449E-2</c:v>
                </c:pt>
                <c:pt idx="78">
                  <c:v>6.5399906424475115E-2</c:v>
                </c:pt>
                <c:pt idx="79">
                  <c:v>6.6567530391632573E-2</c:v>
                </c:pt>
                <c:pt idx="80">
                  <c:v>6.7744101116220548E-2</c:v>
                </c:pt>
                <c:pt idx="81">
                  <c:v>6.8929627802292157E-2</c:v>
                </c:pt>
                <c:pt idx="82">
                  <c:v>7.0124119750075931E-2</c:v>
                </c:pt>
                <c:pt idx="83">
                  <c:v>7.1327586356192352E-2</c:v>
                </c:pt>
                <c:pt idx="84">
                  <c:v>7.2540037113873176E-2</c:v>
                </c:pt>
                <c:pt idx="85">
                  <c:v>7.3761481613183064E-2</c:v>
                </c:pt>
                <c:pt idx="86">
                  <c:v>7.4991929541244423E-2</c:v>
                </c:pt>
                <c:pt idx="87">
                  <c:v>7.6231390682464248E-2</c:v>
                </c:pt>
                <c:pt idx="88">
                  <c:v>7.7479874918764152E-2</c:v>
                </c:pt>
                <c:pt idx="89">
                  <c:v>7.8737392229812783E-2</c:v>
                </c:pt>
                <c:pt idx="90">
                  <c:v>8.0003952693261091E-2</c:v>
                </c:pt>
                <c:pt idx="91">
                  <c:v>8.1279566484980095E-2</c:v>
                </c:pt>
                <c:pt idx="92">
                  <c:v>8.2564243879301766E-2</c:v>
                </c:pt>
                <c:pt idx="93">
                  <c:v>8.385799524926206E-2</c:v>
                </c:pt>
                <c:pt idx="94">
                  <c:v>8.5160831066847173E-2</c:v>
                </c:pt>
                <c:pt idx="95">
                  <c:v>8.6472761903242254E-2</c:v>
                </c:pt>
                <c:pt idx="96">
                  <c:v>8.7793798429083178E-2</c:v>
                </c:pt>
                <c:pt idx="97">
                  <c:v>8.9123951414710564E-2</c:v>
                </c:pt>
                <c:pt idx="98">
                  <c:v>9.0463231730427224E-2</c:v>
                </c:pt>
                <c:pt idx="99">
                  <c:v>9.1811650346757909E-2</c:v>
                </c:pt>
                <c:pt idx="100">
                  <c:v>9.3169218334712131E-2</c:v>
                </c:pt>
                <c:pt idx="101">
                  <c:v>9.4535946866049533E-2</c:v>
                </c:pt>
                <c:pt idx="102">
                  <c:v>9.5911847213548507E-2</c:v>
                </c:pt>
                <c:pt idx="103">
                  <c:v>9.7296930751277252E-2</c:v>
                </c:pt>
                <c:pt idx="104">
                  <c:v>9.8691208954867923E-2</c:v>
                </c:pt>
                <c:pt idx="105">
                  <c:v>0.10009469340179349</c:v>
                </c:pt>
                <c:pt idx="106">
                  <c:v>0.10150739577164766</c:v>
                </c:pt>
                <c:pt idx="107">
                  <c:v>0.10292932784642758</c:v>
                </c:pt>
                <c:pt idx="108">
                  <c:v>0.10436050151081951</c:v>
                </c:pt>
                <c:pt idx="109">
                  <c:v>0.10580092875248719</c:v>
                </c:pt>
                <c:pt idx="110">
                  <c:v>0.10725062166236356</c:v>
                </c:pt>
                <c:pt idx="111">
                  <c:v>0.10870959243494516</c:v>
                </c:pt>
                <c:pt idx="112">
                  <c:v>0.11017785336858935</c:v>
                </c:pt>
                <c:pt idx="113">
                  <c:v>0.11165541686581502</c:v>
                </c:pt>
                <c:pt idx="114">
                  <c:v>0.11314229543360571</c:v>
                </c:pt>
                <c:pt idx="115">
                  <c:v>0.11463850168371599</c:v>
                </c:pt>
                <c:pt idx="116">
                  <c:v>0.11614404833298118</c:v>
                </c:pt>
                <c:pt idx="117">
                  <c:v>0.11765894820362945</c:v>
                </c:pt>
                <c:pt idx="118">
                  <c:v>0.11918321422359737</c:v>
                </c:pt>
                <c:pt idx="119">
                  <c:v>0.12071685942684869</c:v>
                </c:pt>
                <c:pt idx="120">
                  <c:v>0.12225989695369589</c:v>
                </c:pt>
                <c:pt idx="121">
                  <c:v>0.12381234005112489</c:v>
                </c:pt>
                <c:pt idx="122">
                  <c:v>0.12537420207312283</c:v>
                </c:pt>
                <c:pt idx="123">
                  <c:v>0.12694549648100928</c:v>
                </c:pt>
                <c:pt idx="124">
                  <c:v>0.12852623684377032</c:v>
                </c:pt>
                <c:pt idx="125">
                  <c:v>0.13011643683839574</c:v>
                </c:pt>
                <c:pt idx="126">
                  <c:v>0.13171611025021956</c:v>
                </c:pt>
                <c:pt idx="127">
                  <c:v>0.13332527097326385</c:v>
                </c:pt>
                <c:pt idx="128">
                  <c:v>0.13494393301058549</c:v>
                </c:pt>
                <c:pt idx="129">
                  <c:v>0.13657211047462622</c:v>
                </c:pt>
                <c:pt idx="130">
                  <c:v>0.13820981758756631</c:v>
                </c:pt>
                <c:pt idx="131">
                  <c:v>0.13985706868168085</c:v>
                </c:pt>
                <c:pt idx="132">
                  <c:v>0.14151387819969993</c:v>
                </c:pt>
                <c:pt idx="133">
                  <c:v>0.14318026069517176</c:v>
                </c:pt>
                <c:pt idx="134">
                  <c:v>0.14485623083282914</c:v>
                </c:pt>
                <c:pt idx="135">
                  <c:v>0.14654180338895945</c:v>
                </c:pt>
                <c:pt idx="136">
                  <c:v>0.14823699325177778</c:v>
                </c:pt>
                <c:pt idx="137">
                  <c:v>0.14994181542180365</c:v>
                </c:pt>
                <c:pt idx="138">
                  <c:v>0.15165628501224088</c:v>
                </c:pt>
                <c:pt idx="139">
                  <c:v>0.15338041724936105</c:v>
                </c:pt>
                <c:pt idx="140">
                  <c:v>0.1551142274728903</c:v>
                </c:pt>
                <c:pt idx="141">
                  <c:v>0.15685773113639978</c:v>
                </c:pt>
                <c:pt idx="142">
                  <c:v>0.15861094380769891</c:v>
                </c:pt>
                <c:pt idx="143">
                  <c:v>0.16037388116923332</c:v>
                </c:pt>
                <c:pt idx="144">
                  <c:v>0.1621465590184851</c:v>
                </c:pt>
                <c:pt idx="145">
                  <c:v>0.1639289932683769</c:v>
                </c:pt>
                <c:pt idx="146">
                  <c:v>0.16572119994768064</c:v>
                </c:pt>
                <c:pt idx="147">
                  <c:v>0.16752319520142775</c:v>
                </c:pt>
                <c:pt idx="148">
                  <c:v>0.16933499529132504</c:v>
                </c:pt>
                <c:pt idx="149">
                  <c:v>0.17115661659617276</c:v>
                </c:pt>
                <c:pt idx="150">
                  <c:v>0.1729880756122871</c:v>
                </c:pt>
                <c:pt idx="151">
                  <c:v>0.17482938895392591</c:v>
                </c:pt>
                <c:pt idx="152">
                  <c:v>0.17668057335371845</c:v>
                </c:pt>
                <c:pt idx="153">
                  <c:v>0.17854164566309813</c:v>
                </c:pt>
                <c:pt idx="154">
                  <c:v>0.18041262285274035</c:v>
                </c:pt>
                <c:pt idx="155">
                  <c:v>0.18229352201300222</c:v>
                </c:pt>
                <c:pt idx="156">
                  <c:v>0.18418436035436767</c:v>
                </c:pt>
                <c:pt idx="157">
                  <c:v>0.18608515520789556</c:v>
                </c:pt>
                <c:pt idx="158">
                  <c:v>0.18799592402567158</c:v>
                </c:pt>
                <c:pt idx="159">
                  <c:v>0.18991668438126436</c:v>
                </c:pt>
                <c:pt idx="160">
                  <c:v>0.19184745397018496</c:v>
                </c:pt>
                <c:pt idx="161">
                  <c:v>0.19378825061035068</c:v>
                </c:pt>
                <c:pt idx="162">
                  <c:v>0.19573909224255273</c:v>
                </c:pt>
                <c:pt idx="163">
                  <c:v>0.19769999693092727</c:v>
                </c:pt>
                <c:pt idx="164">
                  <c:v>0.19967098286343116</c:v>
                </c:pt>
                <c:pt idx="165">
                  <c:v>0.20165206835232113</c:v>
                </c:pt>
                <c:pt idx="166">
                  <c:v>0.20364327183463748</c:v>
                </c:pt>
                <c:pt idx="167">
                  <c:v>0.20564461187269101</c:v>
                </c:pt>
                <c:pt idx="168">
                  <c:v>0.2076561071545549</c:v>
                </c:pt>
                <c:pt idx="169">
                  <c:v>0.2096777764945599</c:v>
                </c:pt>
                <c:pt idx="170">
                  <c:v>0.21170963883379434</c:v>
                </c:pt>
                <c:pt idx="171">
                  <c:v>0.21375171324060768</c:v>
                </c:pt>
                <c:pt idx="172">
                  <c:v>0.21580401891111833</c:v>
                </c:pt>
                <c:pt idx="173">
                  <c:v>0.21786657516972585</c:v>
                </c:pt>
                <c:pt idx="174">
                  <c:v>0.21993940146962765</c:v>
                </c:pt>
                <c:pt idx="175">
                  <c:v>0.22202251739333861</c:v>
                </c:pt>
                <c:pt idx="176">
                  <c:v>0.22411594265321694</c:v>
                </c:pt>
                <c:pt idx="177">
                  <c:v>0.22621969709199247</c:v>
                </c:pt>
                <c:pt idx="178">
                  <c:v>0.22833380068330048</c:v>
                </c:pt>
                <c:pt idx="179">
                  <c:v>0.23045827353221959</c:v>
                </c:pt>
                <c:pt idx="180">
                  <c:v>0.23259313587581343</c:v>
                </c:pt>
                <c:pt idx="181">
                  <c:v>0.23473840808367738</c:v>
                </c:pt>
                <c:pt idx="182">
                  <c:v>0.23689411065848989</c:v>
                </c:pt>
                <c:pt idx="183">
                  <c:v>0.23906026423656751</c:v>
                </c:pt>
                <c:pt idx="184">
                  <c:v>0.24123688958842496</c:v>
                </c:pt>
                <c:pt idx="185">
                  <c:v>0.24342400761933949</c:v>
                </c:pt>
                <c:pt idx="186">
                  <c:v>0.24562163936991993</c:v>
                </c:pt>
                <c:pt idx="187">
                  <c:v>0.24782980601668064</c:v>
                </c:pt>
                <c:pt idx="188">
                  <c:v>0.25004852887261914</c:v>
                </c:pt>
                <c:pt idx="189">
                  <c:v>0.25227782938779914</c:v>
                </c:pt>
                <c:pt idx="190">
                  <c:v>0.25451772914993853</c:v>
                </c:pt>
                <c:pt idx="191">
                  <c:v>0.25676824988500085</c:v>
                </c:pt>
                <c:pt idx="192">
                  <c:v>0.25902941345779285</c:v>
                </c:pt>
                <c:pt idx="193">
                  <c:v>0.26130124187256576</c:v>
                </c:pt>
                <c:pt idx="194">
                  <c:v>0.26358375727362254</c:v>
                </c:pt>
                <c:pt idx="195">
                  <c:v>0.26587698194592835</c:v>
                </c:pt>
                <c:pt idx="196">
                  <c:v>0.26818093831572754</c:v>
                </c:pt>
                <c:pt idx="197">
                  <c:v>0.27049564895116485</c:v>
                </c:pt>
                <c:pt idx="198">
                  <c:v>0.27282113656291063</c:v>
                </c:pt>
                <c:pt idx="199">
                  <c:v>0.27515742400479298</c:v>
                </c:pt>
                <c:pt idx="200">
                  <c:v>0.27750453427443339</c:v>
                </c:pt>
              </c:numCache>
            </c:numRef>
          </c:val>
          <c:smooth val="0"/>
          <c:extLst>
            <c:ext xmlns:c16="http://schemas.microsoft.com/office/drawing/2014/chart" uri="{C3380CC4-5D6E-409C-BE32-E72D297353CC}">
              <c16:uniqueId val="{00000003-7890-472B-AAE1-D1CB0E55BFDF}"/>
            </c:ext>
          </c:extLst>
        </c:ser>
        <c:dLbls>
          <c:showLegendKey val="0"/>
          <c:showVal val="0"/>
          <c:showCatName val="0"/>
          <c:showSerName val="0"/>
          <c:showPercent val="0"/>
          <c:showBubbleSize val="0"/>
        </c:dLbls>
        <c:marker val="1"/>
        <c:smooth val="0"/>
        <c:axId val="308586368"/>
        <c:axId val="308584448"/>
      </c:lineChart>
      <c:catAx>
        <c:axId val="308580352"/>
        <c:scaling>
          <c:orientation val="minMax"/>
        </c:scaling>
        <c:delete val="0"/>
        <c:axPos val="b"/>
        <c:majorGridlines>
          <c:spPr>
            <a:ln w="15875">
              <a:solidFill>
                <a:srgbClr val="969696"/>
              </a:solidFill>
              <a:prstDash val="sysDash"/>
            </a:ln>
          </c:spPr>
        </c:majorGridlines>
        <c:minorGridlines/>
        <c:title>
          <c:tx>
            <c:rich>
              <a:bodyPr/>
              <a:lstStyle/>
              <a:p>
                <a:pPr>
                  <a:defRPr sz="1200" b="1" i="0" u="none" strike="noStrike" baseline="0">
                    <a:solidFill>
                      <a:srgbClr val="0000FF"/>
                    </a:solidFill>
                    <a:latin typeface="Arial" pitchFamily="34" charset="0"/>
                    <a:ea typeface="Calibri"/>
                    <a:cs typeface="Arial" pitchFamily="34" charset="0"/>
                  </a:defRPr>
                </a:pPr>
                <a:r>
                  <a:rPr lang="en-US" sz="1200">
                    <a:solidFill>
                      <a:srgbClr val="0000FF"/>
                    </a:solidFill>
                    <a:latin typeface="Arial" pitchFamily="34" charset="0"/>
                    <a:cs typeface="Arial" pitchFamily="34" charset="0"/>
                  </a:rPr>
                  <a:t>Load Current (A)</a:t>
                </a:r>
              </a:p>
            </c:rich>
          </c:tx>
          <c:layout>
            <c:manualLayout>
              <c:xMode val="edge"/>
              <c:yMode val="edge"/>
              <c:x val="0.42471011396394504"/>
              <c:y val="0.93853771636955563"/>
            </c:manualLayout>
          </c:layout>
          <c:overlay val="0"/>
          <c:spPr>
            <a:noFill/>
            <a:ln w="25400">
              <a:noFill/>
            </a:ln>
          </c:spPr>
        </c:title>
        <c:numFmt formatCode="General" sourceLinked="1"/>
        <c:majorTickMark val="in"/>
        <c:minorTickMark val="in"/>
        <c:tickLblPos val="nextTo"/>
        <c:spPr>
          <a:ln w="3175">
            <a:solidFill>
              <a:srgbClr val="000000"/>
            </a:solidFill>
            <a:prstDash val="solid"/>
          </a:ln>
        </c:spPr>
        <c:txPr>
          <a:bodyPr rot="0" vert="horz"/>
          <a:lstStyle/>
          <a:p>
            <a:pPr>
              <a:defRPr sz="1100" b="1" i="0" u="none" strike="noStrike" baseline="0">
                <a:solidFill>
                  <a:srgbClr val="0000FF"/>
                </a:solidFill>
                <a:latin typeface="Arial" pitchFamily="34" charset="0"/>
                <a:ea typeface="Calibri"/>
                <a:cs typeface="Arial" pitchFamily="34" charset="0"/>
              </a:defRPr>
            </a:pPr>
            <a:endParaRPr lang="en-US"/>
          </a:p>
        </c:txPr>
        <c:crossAx val="308582272"/>
        <c:crosses val="autoZero"/>
        <c:auto val="1"/>
        <c:lblAlgn val="ctr"/>
        <c:lblOffset val="100"/>
        <c:tickLblSkip val="40"/>
        <c:tickMarkSkip val="40"/>
        <c:noMultiLvlLbl val="0"/>
      </c:catAx>
      <c:valAx>
        <c:axId val="308582272"/>
        <c:scaling>
          <c:orientation val="minMax"/>
          <c:max val="100"/>
          <c:min val="65"/>
        </c:scaling>
        <c:delete val="0"/>
        <c:axPos val="l"/>
        <c:majorGridlines>
          <c:spPr>
            <a:ln w="15875">
              <a:solidFill>
                <a:srgbClr val="808080"/>
              </a:solidFill>
              <a:prstDash val="solid"/>
            </a:ln>
          </c:spPr>
        </c:majorGridlines>
        <c:minorGridlines/>
        <c:title>
          <c:tx>
            <c:rich>
              <a:bodyPr/>
              <a:lstStyle/>
              <a:p>
                <a:pPr>
                  <a:defRPr sz="1400" b="1" i="0" u="none" strike="noStrike" baseline="0">
                    <a:solidFill>
                      <a:srgbClr val="FF0000"/>
                    </a:solidFill>
                    <a:latin typeface="Arial" pitchFamily="34" charset="0"/>
                    <a:ea typeface="Calibri"/>
                    <a:cs typeface="Arial" pitchFamily="34" charset="0"/>
                  </a:defRPr>
                </a:pPr>
                <a:r>
                  <a:rPr lang="en-US" sz="1200" b="1">
                    <a:solidFill>
                      <a:srgbClr val="FF0000"/>
                    </a:solidFill>
                    <a:latin typeface="Arial" pitchFamily="34" charset="0"/>
                    <a:cs typeface="Arial" pitchFamily="34" charset="0"/>
                  </a:rPr>
                  <a:t>Efficiency  (%)</a:t>
                </a:r>
              </a:p>
            </c:rich>
          </c:tx>
          <c:layout>
            <c:manualLayout>
              <c:xMode val="edge"/>
              <c:yMode val="edge"/>
              <c:x val="1.2871858674081443E-2"/>
              <c:y val="0.3763817791568830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100" b="1" i="0" u="none" strike="noStrike" baseline="0">
                <a:solidFill>
                  <a:srgbClr val="FF0000"/>
                </a:solidFill>
                <a:latin typeface="Arial" pitchFamily="34" charset="0"/>
                <a:ea typeface="Calibri"/>
                <a:cs typeface="Arial" pitchFamily="34" charset="0"/>
              </a:defRPr>
            </a:pPr>
            <a:endParaRPr lang="en-US"/>
          </a:p>
        </c:txPr>
        <c:crossAx val="308580352"/>
        <c:crossesAt val="0"/>
        <c:crossBetween val="between"/>
        <c:majorUnit val="5"/>
        <c:minorUnit val="2.5"/>
      </c:valAx>
      <c:valAx>
        <c:axId val="308584448"/>
        <c:scaling>
          <c:orientation val="minMax"/>
        </c:scaling>
        <c:delete val="0"/>
        <c:axPos val="r"/>
        <c:title>
          <c:tx>
            <c:rich>
              <a:bodyPr rot="-5400000" vert="horz"/>
              <a:lstStyle/>
              <a:p>
                <a:pPr>
                  <a:defRPr sz="1200" b="1"/>
                </a:pPr>
                <a:r>
                  <a:rPr lang="en-US" sz="1200" b="1"/>
                  <a:t>Power Loss (W)</a:t>
                </a:r>
              </a:p>
            </c:rich>
          </c:tx>
          <c:layout>
            <c:manualLayout>
              <c:xMode val="edge"/>
              <c:yMode val="edge"/>
              <c:x val="0.95168474305601269"/>
              <c:y val="0.38117714045368295"/>
            </c:manualLayout>
          </c:layout>
          <c:overlay val="0"/>
        </c:title>
        <c:numFmt formatCode="General" sourceLinked="0"/>
        <c:majorTickMark val="out"/>
        <c:minorTickMark val="none"/>
        <c:tickLblPos val="nextTo"/>
        <c:txPr>
          <a:bodyPr/>
          <a:lstStyle/>
          <a:p>
            <a:pPr>
              <a:defRPr sz="1100" b="1">
                <a:solidFill>
                  <a:sysClr val="windowText" lastClr="000000"/>
                </a:solidFill>
              </a:defRPr>
            </a:pPr>
            <a:endParaRPr lang="en-US"/>
          </a:p>
        </c:txPr>
        <c:crossAx val="308586368"/>
        <c:crosses val="max"/>
        <c:crossBetween val="between"/>
      </c:valAx>
      <c:catAx>
        <c:axId val="308586368"/>
        <c:scaling>
          <c:orientation val="minMax"/>
        </c:scaling>
        <c:delete val="1"/>
        <c:axPos val="b"/>
        <c:numFmt formatCode="General" sourceLinked="1"/>
        <c:majorTickMark val="out"/>
        <c:minorTickMark val="none"/>
        <c:tickLblPos val="nextTo"/>
        <c:crossAx val="308584448"/>
        <c:crosses val="autoZero"/>
        <c:auto val="1"/>
        <c:lblAlgn val="ctr"/>
        <c:lblOffset val="100"/>
        <c:noMultiLvlLbl val="0"/>
      </c:catAx>
      <c:spPr>
        <a:noFill/>
        <a:ln w="25400">
          <a:noFill/>
        </a:ln>
      </c:spPr>
    </c:plotArea>
    <c:legend>
      <c:legendPos val="t"/>
      <c:layout>
        <c:manualLayout>
          <c:xMode val="edge"/>
          <c:yMode val="edge"/>
          <c:x val="0.40102557566231317"/>
          <c:y val="1.1892633038167682E-2"/>
          <c:w val="0.59897442433768688"/>
          <c:h val="8.9795049320617604E-2"/>
        </c:manualLayout>
      </c:layout>
      <c:overlay val="0"/>
      <c:spPr>
        <a:solidFill>
          <a:srgbClr val="FFFFFF"/>
        </a:solidFill>
        <a:ln w="25400">
          <a:noFill/>
        </a:ln>
      </c:spPr>
      <c:txPr>
        <a:bodyPr/>
        <a:lstStyle/>
        <a:p>
          <a:pPr>
            <a:defRPr sz="1100" b="0" i="0" u="none" strike="noStrike" baseline="0">
              <a:solidFill>
                <a:srgbClr val="000000"/>
              </a:solidFill>
              <a:latin typeface="Arial" pitchFamily="34" charset="0"/>
              <a:ea typeface="Calibri"/>
              <a:cs typeface="Arial" pitchFamily="34" charset="0"/>
            </a:defRPr>
          </a:pPr>
          <a:endParaRPr lang="en-US"/>
        </a:p>
      </c:txPr>
    </c:legend>
    <c:plotVisOnly val="1"/>
    <c:dispBlanksAs val="gap"/>
    <c:showDLblsOverMax val="0"/>
  </c:chart>
  <c:spPr>
    <a:noFill/>
    <a:ln w="9525">
      <a:solidFill>
        <a:srgbClr val="808080"/>
      </a:solidFill>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US"/>
              <a:t>Open Loop Response</a:t>
            </a:r>
          </a:p>
        </c:rich>
      </c:tx>
      <c:layout>
        <c:manualLayout>
          <c:xMode val="edge"/>
          <c:yMode val="edge"/>
          <c:x val="0.39590479517706217"/>
          <c:y val="3.1496062992125991E-2"/>
        </c:manualLayout>
      </c:layout>
      <c:overlay val="0"/>
      <c:spPr>
        <a:noFill/>
        <a:ln w="25400">
          <a:noFill/>
        </a:ln>
      </c:spPr>
    </c:title>
    <c:autoTitleDeleted val="0"/>
    <c:plotArea>
      <c:layout>
        <c:manualLayout>
          <c:layoutTarget val="inner"/>
          <c:xMode val="edge"/>
          <c:yMode val="edge"/>
          <c:x val="0.11262808019484494"/>
          <c:y val="0.20997429147774274"/>
          <c:w val="0.8003419638088306"/>
          <c:h val="0.60105140935503165"/>
        </c:manualLayout>
      </c:layout>
      <c:scatterChart>
        <c:scatterStyle val="smoothMarker"/>
        <c:varyColors val="0"/>
        <c:ser>
          <c:idx val="0"/>
          <c:order val="0"/>
          <c:tx>
            <c:v>Gain</c:v>
          </c:tx>
          <c:spPr>
            <a:ln w="12700">
              <a:solidFill>
                <a:srgbClr val="000000"/>
              </a:solidFill>
              <a:prstDash val="lgDash"/>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Calculations'!$X$9:$X$676</c:f>
              <c:numCache>
                <c:formatCode>General</c:formatCode>
                <c:ptCount val="668"/>
                <c:pt idx="0">
                  <c:v>86.958496962801178</c:v>
                </c:pt>
                <c:pt idx="1">
                  <c:v>80.937899464129231</c:v>
                </c:pt>
                <c:pt idx="2">
                  <c:v>77.41607830736136</c:v>
                </c:pt>
                <c:pt idx="3">
                  <c:v>74.917309209278685</c:v>
                </c:pt>
                <c:pt idx="4">
                  <c:v>72.979116192937681</c:v>
                </c:pt>
                <c:pt idx="5">
                  <c:v>71.395500125541119</c:v>
                </c:pt>
                <c:pt idx="6">
                  <c:v>70.056574796219437</c:v>
                </c:pt>
                <c:pt idx="7">
                  <c:v>68.896747929689525</c:v>
                </c:pt>
                <c:pt idx="8">
                  <c:v>67.873711163497347</c:v>
                </c:pt>
                <c:pt idx="9">
                  <c:v>66.958576644769096</c:v>
                </c:pt>
                <c:pt idx="10">
                  <c:v>60.938218190923344</c:v>
                </c:pt>
                <c:pt idx="11">
                  <c:v>57.416795438607622</c:v>
                </c:pt>
                <c:pt idx="12">
                  <c:v>54.918584099216481</c:v>
                </c:pt>
                <c:pt idx="13">
                  <c:v>52.981108188266916</c:v>
                </c:pt>
                <c:pt idx="14">
                  <c:v>51.398368563270829</c:v>
                </c:pt>
                <c:pt idx="15">
                  <c:v>50.060479001518459</c:v>
                </c:pt>
                <c:pt idx="16">
                  <c:v>48.901847213739806</c:v>
                </c:pt>
                <c:pt idx="17">
                  <c:v>47.880164821350121</c:v>
                </c:pt>
                <c:pt idx="18">
                  <c:v>46.966543953204607</c:v>
                </c:pt>
                <c:pt idx="19">
                  <c:v>40.970076687391924</c:v>
                </c:pt>
                <c:pt idx="20">
                  <c:v>37.488437020771663</c:v>
                </c:pt>
                <c:pt idx="21">
                  <c:v>35.045848123015531</c:v>
                </c:pt>
                <c:pt idx="22">
                  <c:v>33.179762033858381</c:v>
                </c:pt>
                <c:pt idx="23">
                  <c:v>31.684089744696053</c:v>
                </c:pt>
                <c:pt idx="24">
                  <c:v>30.448839207503191</c:v>
                </c:pt>
                <c:pt idx="25">
                  <c:v>29.408298630014919</c:v>
                </c:pt>
                <c:pt idx="26">
                  <c:v>28.520029042923074</c:v>
                </c:pt>
                <c:pt idx="27">
                  <c:v>27.755003749735838</c:v>
                </c:pt>
                <c:pt idx="28">
                  <c:v>25.208919187475466</c:v>
                </c:pt>
                <c:pt idx="29">
                  <c:v>24.049616542283971</c:v>
                </c:pt>
                <c:pt idx="30">
                  <c:v>23.807818899769639</c:v>
                </c:pt>
                <c:pt idx="31">
                  <c:v>24.289024642725749</c:v>
                </c:pt>
                <c:pt idx="32">
                  <c:v>25.413691540560226</c:v>
                </c:pt>
                <c:pt idx="33">
                  <c:v>27.122931357107504</c:v>
                </c:pt>
                <c:pt idx="34">
                  <c:v>29.103760920130117</c:v>
                </c:pt>
                <c:pt idx="35">
                  <c:v>30.039545858413049</c:v>
                </c:pt>
                <c:pt idx="36">
                  <c:v>28.543727608188497</c:v>
                </c:pt>
                <c:pt idx="37">
                  <c:v>25.916991178413848</c:v>
                </c:pt>
                <c:pt idx="38">
                  <c:v>23.433432677521267</c:v>
                </c:pt>
                <c:pt idx="39">
                  <c:v>21.337850447268664</c:v>
                </c:pt>
                <c:pt idx="40">
                  <c:v>19.585949608896264</c:v>
                </c:pt>
                <c:pt idx="41">
                  <c:v>18.102937908476839</c:v>
                </c:pt>
                <c:pt idx="42">
                  <c:v>16.827614807373934</c:v>
                </c:pt>
                <c:pt idx="43">
                  <c:v>15.714610871934413</c:v>
                </c:pt>
                <c:pt idx="44">
                  <c:v>14.73064749998227</c:v>
                </c:pt>
                <c:pt idx="45">
                  <c:v>13.851032665795111</c:v>
                </c:pt>
                <c:pt idx="46">
                  <c:v>13.057129098055313</c:v>
                </c:pt>
                <c:pt idx="47">
                  <c:v>12.334618357743585</c:v>
                </c:pt>
                <c:pt idx="48">
                  <c:v>11.672315060631288</c:v>
                </c:pt>
                <c:pt idx="49">
                  <c:v>11.061347438473671</c:v>
                </c:pt>
                <c:pt idx="50">
                  <c:v>10.49458163087256</c:v>
                </c:pt>
                <c:pt idx="51">
                  <c:v>9.9662100463116516</c:v>
                </c:pt>
                <c:pt idx="52">
                  <c:v>9.4714519588815538</c:v>
                </c:pt>
                <c:pt idx="53">
                  <c:v>9.0063322137490349</c:v>
                </c:pt>
                <c:pt idx="54">
                  <c:v>8.5675152181267116</c:v>
                </c:pt>
                <c:pt idx="55">
                  <c:v>8.1521786966496652</c:v>
                </c:pt>
                <c:pt idx="56">
                  <c:v>7.7579164794534714</c:v>
                </c:pt>
                <c:pt idx="57">
                  <c:v>7.382662783956552</c:v>
                </c:pt>
                <c:pt idx="58">
                  <c:v>7.0246326143949398</c:v>
                </c:pt>
                <c:pt idx="59">
                  <c:v>6.6822743916678915</c:v>
                </c:pt>
                <c:pt idx="60">
                  <c:v>6.3542319656628425</c:v>
                </c:pt>
                <c:pt idx="61">
                  <c:v>6.0393138984982357</c:v>
                </c:pt>
                <c:pt idx="62">
                  <c:v>5.7364684354026281</c:v>
                </c:pt>
                <c:pt idx="63">
                  <c:v>5.4447629636358288</c:v>
                </c:pt>
                <c:pt idx="64">
                  <c:v>5.1633670417118989</c:v>
                </c:pt>
                <c:pt idx="65">
                  <c:v>4.891538290440316</c:v>
                </c:pt>
                <c:pt idx="66">
                  <c:v>4.6286105942069282</c:v>
                </c:pt>
                <c:pt idx="67">
                  <c:v>4.3739841796641379</c:v>
                </c:pt>
                <c:pt idx="68">
                  <c:v>4.1271172296547922</c:v>
                </c:pt>
                <c:pt idx="69">
                  <c:v>3.887518759969125</c:v>
                </c:pt>
                <c:pt idx="70">
                  <c:v>3.6547425406527116</c:v>
                </c:pt>
                <c:pt idx="71">
                  <c:v>3.428381885862736</c:v>
                </c:pt>
                <c:pt idx="72">
                  <c:v>3.2080651695267774</c:v>
                </c:pt>
                <c:pt idx="73">
                  <c:v>2.9934519503871471</c:v>
                </c:pt>
                <c:pt idx="74">
                  <c:v>2.7842296109856886</c:v>
                </c:pt>
                <c:pt idx="75">
                  <c:v>2.5801104319459025</c:v>
                </c:pt>
                <c:pt idx="76">
                  <c:v>2.3808290364448332</c:v>
                </c:pt>
                <c:pt idx="77">
                  <c:v>2.1861401507280624</c:v>
                </c:pt>
                <c:pt idx="78">
                  <c:v>1.9958166354424056</c:v>
                </c:pt>
                <c:pt idx="79">
                  <c:v>1.8096477498555013</c:v>
                </c:pt>
                <c:pt idx="80">
                  <c:v>1.6274376170243849</c:v>
                </c:pt>
                <c:pt idx="81">
                  <c:v>1.4490038629189801</c:v>
                </c:pt>
                <c:pt idx="82">
                  <c:v>1.2741764066025349</c:v>
                </c:pt>
                <c:pt idx="83">
                  <c:v>1.1027963819780739</c:v>
                </c:pt>
                <c:pt idx="84">
                  <c:v>0.93471517445439345</c:v>
                </c:pt>
                <c:pt idx="85">
                  <c:v>0.7697935582693689</c:v>
                </c:pt>
                <c:pt idx="86">
                  <c:v>0.60790092221282865</c:v>
                </c:pt>
                <c:pt idx="87">
                  <c:v>0.4489145731831472</c:v>
                </c:pt>
                <c:pt idx="88">
                  <c:v>0.29271910844396443</c:v>
                </c:pt>
                <c:pt idx="89">
                  <c:v>0.13920584866355878</c:v>
                </c:pt>
                <c:pt idx="90">
                  <c:v>-1.1727675144298894E-2</c:v>
                </c:pt>
                <c:pt idx="91">
                  <c:v>-0.16017818677419152</c:v>
                </c:pt>
                <c:pt idx="92">
                  <c:v>-0.30623708731543131</c:v>
                </c:pt>
                <c:pt idx="93">
                  <c:v>-0.44999083955718122</c:v>
                </c:pt>
                <c:pt idx="94">
                  <c:v>-0.59152131833761268</c:v>
                </c:pt>
                <c:pt idx="95">
                  <c:v>-0.73090613037765428</c:v>
                </c:pt>
                <c:pt idx="96">
                  <c:v>-0.86821890672055346</c:v>
                </c:pt>
                <c:pt idx="97">
                  <c:v>-1.003529570534397</c:v>
                </c:pt>
                <c:pt idx="98">
                  <c:v>-1.136904582718167</c:v>
                </c:pt>
                <c:pt idx="99">
                  <c:v>-1.2684071674760153</c:v>
                </c:pt>
                <c:pt idx="100">
                  <c:v>-1.3980975197832823</c:v>
                </c:pt>
                <c:pt idx="101">
                  <c:v>-1.5260329964567885</c:v>
                </c:pt>
                <c:pt idx="102">
                  <c:v>-1.6522682923567655</c:v>
                </c:pt>
                <c:pt idx="103">
                  <c:v>-1.7768556030850156</c:v>
                </c:pt>
                <c:pt idx="104">
                  <c:v>-1.8998447754007053</c:v>
                </c:pt>
                <c:pt idx="105">
                  <c:v>-2.0212834464485154</c:v>
                </c:pt>
                <c:pt idx="106">
                  <c:v>-2.1412171727823504</c:v>
                </c:pt>
                <c:pt idx="107">
                  <c:v>-2.2596895500685834</c:v>
                </c:pt>
                <c:pt idx="108">
                  <c:v>-2.3767423242651478</c:v>
                </c:pt>
                <c:pt idx="109">
                  <c:v>-2.492415494994769</c:v>
                </c:pt>
                <c:pt idx="110">
                  <c:v>-2.6067474117610261</c:v>
                </c:pt>
                <c:pt idx="111">
                  <c:v>-2.7197748635943197</c:v>
                </c:pt>
                <c:pt idx="112">
                  <c:v>-2.8315331626592073</c:v>
                </c:pt>
                <c:pt idx="113">
                  <c:v>-2.9420562223054287</c:v>
                </c:pt>
                <c:pt idx="114">
                  <c:v>-3.0513766300005467</c:v>
                </c:pt>
                <c:pt idx="115">
                  <c:v>-3.1595257155425105</c:v>
                </c:pt>
                <c:pt idx="116">
                  <c:v>-3.2665336149146595</c:v>
                </c:pt>
                <c:pt idx="117">
                  <c:v>-3.3724293301138912</c:v>
                </c:pt>
                <c:pt idx="118">
                  <c:v>-3.4772407852535876</c:v>
                </c:pt>
                <c:pt idx="119">
                  <c:v>-3.5809948792169966</c:v>
                </c:pt>
                <c:pt idx="120">
                  <c:v>-3.6837175351133169</c:v>
                </c:pt>
                <c:pt idx="121">
                  <c:v>-3.7854337467673109</c:v>
                </c:pt>
                <c:pt idx="122">
                  <c:v>-3.88616762245428</c:v>
                </c:pt>
                <c:pt idx="123">
                  <c:v>-3.9859424260746175</c:v>
                </c:pt>
                <c:pt idx="124">
                  <c:v>-4.0847806159464275</c:v>
                </c:pt>
                <c:pt idx="125">
                  <c:v>-4.1827038813803918</c:v>
                </c:pt>
                <c:pt idx="126">
                  <c:v>-4.2797331771879223</c:v>
                </c:pt>
                <c:pt idx="127">
                  <c:v>-4.3758887562617907</c:v>
                </c:pt>
                <c:pt idx="128">
                  <c:v>-4.4711902003576753</c:v>
                </c:pt>
                <c:pt idx="129">
                  <c:v>-4.5656564491950355</c:v>
                </c:pt>
                <c:pt idx="130">
                  <c:v>-4.6593058279868549</c:v>
                </c:pt>
                <c:pt idx="131">
                  <c:v>-4.7521560734994441</c:v>
                </c:pt>
                <c:pt idx="132">
                  <c:v>-4.8442243587360956</c:v>
                </c:pt>
                <c:pt idx="133">
                  <c:v>-4.9355273163312194</c:v>
                </c:pt>
                <c:pt idx="134">
                  <c:v>-5.0260810607355833</c:v>
                </c:pt>
                <c:pt idx="135">
                  <c:v>-5.1159012092672231</c:v>
                </c:pt>
                <c:pt idx="136">
                  <c:v>-5.205002902097327</c:v>
                </c:pt>
                <c:pt idx="137">
                  <c:v>-5.293400821235565</c:v>
                </c:pt>
                <c:pt idx="138">
                  <c:v>-5.3811092085747489</c:v>
                </c:pt>
                <c:pt idx="139">
                  <c:v>-5.4681418830505226</c:v>
                </c:pt>
                <c:pt idx="140">
                  <c:v>-5.554512256968053</c:v>
                </c:pt>
                <c:pt idx="141">
                  <c:v>-5.640233351544147</c:v>
                </c:pt>
                <c:pt idx="142">
                  <c:v>-5.7253178117098456</c:v>
                </c:pt>
                <c:pt idx="143">
                  <c:v>-5.8097779202156499</c:v>
                </c:pt>
                <c:pt idx="144">
                  <c:v>-5.8936256110787797</c:v>
                </c:pt>
                <c:pt idx="145">
                  <c:v>-5.9768724824091652</c:v>
                </c:pt>
                <c:pt idx="146">
                  <c:v>-6.0595298086485503</c:v>
                </c:pt>
                <c:pt idx="147">
                  <c:v>-6.1416085522549775</c:v>
                </c:pt>
                <c:pt idx="148">
                  <c:v>-6.2231193748626348</c:v>
                </c:pt>
                <c:pt idx="149">
                  <c:v>-6.3040726479454605</c:v>
                </c:pt>
                <c:pt idx="150">
                  <c:v>-6.3844784630108435</c:v>
                </c:pt>
                <c:pt idx="151">
                  <c:v>-6.4643466413483157</c:v>
                </c:pt>
                <c:pt idx="152">
                  <c:v>-6.5436867433564885</c:v>
                </c:pt>
                <c:pt idx="153">
                  <c:v>-6.6225080774701865</c:v>
                </c:pt>
                <c:pt idx="154">
                  <c:v>-6.7008197087082708</c:v>
                </c:pt>
                <c:pt idx="155">
                  <c:v>-6.778630466861566</c:v>
                </c:pt>
                <c:pt idx="156">
                  <c:v>-6.855948954339012</c:v>
                </c:pt>
                <c:pt idx="157">
                  <c:v>-6.9327835536891724</c:v>
                </c:pt>
                <c:pt idx="158">
                  <c:v>-7.0091424348132945</c:v>
                </c:pt>
                <c:pt idx="159">
                  <c:v>-7.085033561885016</c:v>
                </c:pt>
                <c:pt idx="160">
                  <c:v>-7.1604646999910981</c:v>
                </c:pt>
                <c:pt idx="161">
                  <c:v>-7.2354434215066785</c:v>
                </c:pt>
                <c:pt idx="162">
                  <c:v>-7.3099771122178208</c:v>
                </c:pt>
                <c:pt idx="163">
                  <c:v>-7.384072977203294</c:v>
                </c:pt>
                <c:pt idx="164">
                  <c:v>-7.4577380464871181</c:v>
                </c:pt>
                <c:pt idx="165">
                  <c:v>-7.530979180472448</c:v>
                </c:pt>
                <c:pt idx="166">
                  <c:v>-7.6038030751670327</c:v>
                </c:pt>
                <c:pt idx="167">
                  <c:v>-7.6762162672099201</c:v>
                </c:pt>
                <c:pt idx="168">
                  <c:v>-7.7482251387082979</c:v>
                </c:pt>
                <c:pt idx="169">
                  <c:v>-7.8198359218933264</c:v>
                </c:pt>
                <c:pt idx="170">
                  <c:v>-7.8910547036029408</c:v>
                </c:pt>
                <c:pt idx="171">
                  <c:v>-7.9618874295993605</c:v>
                </c:pt>
                <c:pt idx="172">
                  <c:v>-8.0323399087287246</c:v>
                </c:pt>
                <c:pt idx="173">
                  <c:v>-8.1024178169297212</c:v>
                </c:pt>
                <c:pt idx="174">
                  <c:v>-8.1721267010977492</c:v>
                </c:pt>
                <c:pt idx="175">
                  <c:v>-8.2414719828110297</c:v>
                </c:pt>
                <c:pt idx="176">
                  <c:v>-8.3104589619243754</c:v>
                </c:pt>
                <c:pt idx="177">
                  <c:v>-8.3790928200364974</c:v>
                </c:pt>
                <c:pt idx="178">
                  <c:v>-8.4473786238359754</c:v>
                </c:pt>
                <c:pt idx="179">
                  <c:v>-8.5153213283311917</c:v>
                </c:pt>
                <c:pt idx="180">
                  <c:v>-8.5829257799688854</c:v>
                </c:pt>
                <c:pt idx="181">
                  <c:v>-8.6501967196460932</c:v>
                </c:pt>
                <c:pt idx="182">
                  <c:v>-8.7171387856197349</c:v>
                </c:pt>
                <c:pt idx="183">
                  <c:v>-8.7837565163181104</c:v>
                </c:pt>
                <c:pt idx="184">
                  <c:v>-8.8500543530582139</c:v>
                </c:pt>
                <c:pt idx="185">
                  <c:v>-8.9160366426726902</c:v>
                </c:pt>
                <c:pt idx="186">
                  <c:v>-8.9817076400500344</c:v>
                </c:pt>
                <c:pt idx="187">
                  <c:v>-9.0470715105914614</c:v>
                </c:pt>
                <c:pt idx="188">
                  <c:v>-9.1121323325877199</c:v>
                </c:pt>
                <c:pt idx="189">
                  <c:v>-9.1768940995190498</c:v>
                </c:pt>
                <c:pt idx="190">
                  <c:v>-9.2413607222811311</c:v>
                </c:pt>
                <c:pt idx="191">
                  <c:v>-9.3055360313400257</c:v>
                </c:pt>
                <c:pt idx="192">
                  <c:v>-9.3694237788187156</c:v>
                </c:pt>
                <c:pt idx="193">
                  <c:v>-9.4330276405179134</c:v>
                </c:pt>
                <c:pt idx="194">
                  <c:v>-9.4963512178735865</c:v>
                </c:pt>
                <c:pt idx="195">
                  <c:v>-9.5593980398536011</c:v>
                </c:pt>
                <c:pt idx="196">
                  <c:v>-9.6221715647956874</c:v>
                </c:pt>
                <c:pt idx="197">
                  <c:v>-9.6846751821890127</c:v>
                </c:pt>
                <c:pt idx="198">
                  <c:v>-9.7469122144013323</c:v>
                </c:pt>
                <c:pt idx="199">
                  <c:v>-9.8088859183537149</c:v>
                </c:pt>
                <c:pt idx="200">
                  <c:v>-9.8705994871448759</c:v>
                </c:pt>
                <c:pt idx="201">
                  <c:v>-9.9320560516267182</c:v>
                </c:pt>
                <c:pt idx="202">
                  <c:v>-9.993258681932998</c:v>
                </c:pt>
                <c:pt idx="203">
                  <c:v>-10.054210388962765</c:v>
                </c:pt>
                <c:pt idx="204">
                  <c:v>-10.114914125820057</c:v>
                </c:pt>
                <c:pt idx="205">
                  <c:v>-10.175372789211576</c:v>
                </c:pt>
                <c:pt idx="206">
                  <c:v>-10.235589220803615</c:v>
                </c:pt>
                <c:pt idx="207">
                  <c:v>-10.29556620853981</c:v>
                </c:pt>
                <c:pt idx="208">
                  <c:v>-10.355306487920966</c:v>
                </c:pt>
                <c:pt idx="209">
                  <c:v>-10.414812743248309</c:v>
                </c:pt>
                <c:pt idx="210">
                  <c:v>-10.474087608831415</c:v>
                </c:pt>
                <c:pt idx="211">
                  <c:v>-10.533133670161931</c:v>
                </c:pt>
                <c:pt idx="212">
                  <c:v>-10.591953465054393</c:v>
                </c:pt>
                <c:pt idx="213">
                  <c:v>-10.650549484755036</c:v>
                </c:pt>
                <c:pt idx="214">
                  <c:v>-10.708924175019899</c:v>
                </c:pt>
                <c:pt idx="215">
                  <c:v>-10.767079937162977</c:v>
                </c:pt>
                <c:pt idx="216">
                  <c:v>-10.825019129075704</c:v>
                </c:pt>
                <c:pt idx="217">
                  <c:v>-10.882744066218367</c:v>
                </c:pt>
                <c:pt idx="218">
                  <c:v>-10.94025702258466</c:v>
                </c:pt>
                <c:pt idx="219">
                  <c:v>-10.997560231640101</c:v>
                </c:pt>
                <c:pt idx="220">
                  <c:v>-11.054655887235118</c:v>
                </c:pt>
                <c:pt idx="221">
                  <c:v>-11.111546144493726</c:v>
                </c:pt>
                <c:pt idx="222">
                  <c:v>-11.168233120678472</c:v>
                </c:pt>
                <c:pt idx="223">
                  <c:v>-11.224718896032467</c:v>
                </c:pt>
                <c:pt idx="224">
                  <c:v>-11.281005514599148</c:v>
                </c:pt>
                <c:pt idx="225">
                  <c:v>-11.337094985020554</c:v>
                </c:pt>
                <c:pt idx="226">
                  <c:v>-11.887564628169532</c:v>
                </c:pt>
                <c:pt idx="227">
                  <c:v>-12.420293632355317</c:v>
                </c:pt>
                <c:pt idx="228">
                  <c:v>-12.936811544435734</c:v>
                </c:pt>
                <c:pt idx="229">
                  <c:v>-13.43842454610968</c:v>
                </c:pt>
                <c:pt idx="230">
                  <c:v>-13.926256188260524</c:v>
                </c:pt>
                <c:pt idx="231">
                  <c:v>-14.401279687109039</c:v>
                </c:pt>
                <c:pt idx="232">
                  <c:v>-14.864343738193678</c:v>
                </c:pt>
                <c:pt idx="233">
                  <c:v>-15.31619329697955</c:v>
                </c:pt>
                <c:pt idx="234">
                  <c:v>-15.757486413955741</c:v>
                </c:pt>
                <c:pt idx="235">
                  <c:v>-16.188807951122264</c:v>
                </c:pt>
                <c:pt idx="236">
                  <c:v>-16.610680815324148</c:v>
                </c:pt>
                <c:pt idx="237">
                  <c:v>-17.023575201556596</c:v>
                </c:pt>
                <c:pt idx="238">
                  <c:v>-17.427916232244947</c:v>
                </c:pt>
                <c:pt idx="239">
                  <c:v>-17.824090296986871</c:v>
                </c:pt>
                <c:pt idx="240">
                  <c:v>-18.21245033458856</c:v>
                </c:pt>
                <c:pt idx="241">
                  <c:v>-18.593320250630072</c:v>
                </c:pt>
                <c:pt idx="242">
                  <c:v>-18.966998625798112</c:v>
                </c:pt>
                <c:pt idx="243">
                  <c:v>-19.333761840298845</c:v>
                </c:pt>
                <c:pt idx="244">
                  <c:v>-19.693866715941958</c:v>
                </c:pt>
                <c:pt idx="245">
                  <c:v>-20.047552758575328</c:v>
                </c:pt>
                <c:pt idx="246">
                  <c:v>-20.395044068394785</c:v>
                </c:pt>
                <c:pt idx="247">
                  <c:v>-20.736550973452633</c:v>
                </c:pt>
                <c:pt idx="248">
                  <c:v>-21.07227143182665</c:v>
                </c:pt>
                <c:pt idx="249">
                  <c:v>-21.402392239909517</c:v>
                </c:pt>
                <c:pt idx="250">
                  <c:v>-21.727090077764903</c:v>
                </c:pt>
                <c:pt idx="251">
                  <c:v>-22.046532417177694</c:v>
                </c:pt>
                <c:pt idx="252">
                  <c:v>-22.360878313671314</c:v>
                </c:pt>
                <c:pt idx="253">
                  <c:v>-22.670279100189941</c:v>
                </c:pt>
                <c:pt idx="254">
                  <c:v>-22.974878997202111</c:v>
                </c:pt>
                <c:pt idx="255">
                  <c:v>-23.274815651556551</c:v>
                </c:pt>
                <c:pt idx="256">
                  <c:v>-23.570220614416169</c:v>
                </c:pt>
                <c:pt idx="257">
                  <c:v>-23.861219766936358</c:v>
                </c:pt>
                <c:pt idx="258">
                  <c:v>-24.147933700976605</c:v>
                </c:pt>
                <c:pt idx="259">
                  <c:v>-24.430478060989319</c:v>
                </c:pt>
                <c:pt idx="260">
                  <c:v>-24.708963852276966</c:v>
                </c:pt>
                <c:pt idx="261">
                  <c:v>-24.983497720012913</c:v>
                </c:pt>
                <c:pt idx="262">
                  <c:v>-25.254182202757079</c:v>
                </c:pt>
                <c:pt idx="263">
                  <c:v>-25.521115963640977</c:v>
                </c:pt>
                <c:pt idx="264">
                  <c:v>-25.784394001929954</c:v>
                </c:pt>
                <c:pt idx="265">
                  <c:v>-26.044107847278681</c:v>
                </c:pt>
                <c:pt idx="266">
                  <c:v>-26.300345738665335</c:v>
                </c:pt>
                <c:pt idx="267">
                  <c:v>-26.553192789712355</c:v>
                </c:pt>
                <c:pt idx="268">
                  <c:v>-26.802731141865671</c:v>
                </c:pt>
                <c:pt idx="269">
                  <c:v>-27.049040106705963</c:v>
                </c:pt>
                <c:pt idx="270">
                  <c:v>-27.292196298496204</c:v>
                </c:pt>
                <c:pt idx="271">
                  <c:v>-27.532273757926291</c:v>
                </c:pt>
                <c:pt idx="272">
                  <c:v>-27.769344067893584</c:v>
                </c:pt>
                <c:pt idx="273">
                  <c:v>-28.003476462053449</c:v>
                </c:pt>
                <c:pt idx="274">
                  <c:v>-28.234737926784884</c:v>
                </c:pt>
                <c:pt idx="275">
                  <c:v>-28.463193297139796</c:v>
                </c:pt>
                <c:pt idx="276">
                  <c:v>-28.68890534727835</c:v>
                </c:pt>
                <c:pt idx="277">
                  <c:v>-28.911934875836597</c:v>
                </c:pt>
                <c:pt idx="278">
                  <c:v>-29.132340786623203</c:v>
                </c:pt>
                <c:pt idx="279">
                  <c:v>-29.350180164999916</c:v>
                </c:pt>
                <c:pt idx="280">
                  <c:v>-29.565508350263421</c:v>
                </c:pt>
                <c:pt idx="281">
                  <c:v>-29.778379004314274</c:v>
                </c:pt>
                <c:pt idx="282">
                  <c:v>-29.988844176870472</c:v>
                </c:pt>
                <c:pt idx="283">
                  <c:v>-30.196954367458716</c:v>
                </c:pt>
                <c:pt idx="284">
                  <c:v>-30.402758584394949</c:v>
                </c:pt>
                <c:pt idx="285">
                  <c:v>-30.606304400946538</c:v>
                </c:pt>
                <c:pt idx="286">
                  <c:v>-30.807638008851981</c:v>
                </c:pt>
                <c:pt idx="287">
                  <c:v>-31.006804269358817</c:v>
                </c:pt>
                <c:pt idx="288">
                  <c:v>-31.203846761927593</c:v>
                </c:pt>
                <c:pt idx="289">
                  <c:v>-31.398807830737454</c:v>
                </c:pt>
                <c:pt idx="290">
                  <c:v>-31.591728629118844</c:v>
                </c:pt>
                <c:pt idx="291">
                  <c:v>-31.782649162029056</c:v>
                </c:pt>
                <c:pt idx="292">
                  <c:v>-31.971608326677913</c:v>
                </c:pt>
                <c:pt idx="293">
                  <c:v>-32.158643951403263</c:v>
                </c:pt>
                <c:pt idx="294">
                  <c:v>-32.343792832888958</c:v>
                </c:pt>
                <c:pt idx="295">
                  <c:v>-32.527090771811579</c:v>
                </c:pt>
                <c:pt idx="296">
                  <c:v>-32.708572606996654</c:v>
                </c:pt>
                <c:pt idx="297">
                  <c:v>-32.888272248159709</c:v>
                </c:pt>
                <c:pt idx="298">
                  <c:v>-33.066222707302714</c:v>
                </c:pt>
                <c:pt idx="299">
                  <c:v>-33.242456128832131</c:v>
                </c:pt>
                <c:pt idx="300">
                  <c:v>-33.417003818460785</c:v>
                </c:pt>
                <c:pt idx="301">
                  <c:v>-33.589896270951932</c:v>
                </c:pt>
                <c:pt idx="302">
                  <c:v>-33.76116319676057</c:v>
                </c:pt>
                <c:pt idx="303">
                  <c:v>-33.930833547623848</c:v>
                </c:pt>
                <c:pt idx="304">
                  <c:v>-34.098935541149508</c:v>
                </c:pt>
                <c:pt idx="305">
                  <c:v>-34.265496684448294</c:v>
                </c:pt>
                <c:pt idx="306">
                  <c:v>-34.43054379685443</c:v>
                </c:pt>
                <c:pt idx="307">
                  <c:v>-34.594103031774878</c:v>
                </c:pt>
                <c:pt idx="308">
                  <c:v>-34.756199897706821</c:v>
                </c:pt>
                <c:pt idx="309">
                  <c:v>-34.916859278460265</c:v>
                </c:pt>
                <c:pt idx="310">
                  <c:v>-35.076105452620709</c:v>
                </c:pt>
                <c:pt idx="311">
                  <c:v>-35.233962112285319</c:v>
                </c:pt>
                <c:pt idx="312">
                  <c:v>-35.390452381104012</c:v>
                </c:pt>
                <c:pt idx="313">
                  <c:v>-35.545598831655546</c:v>
                </c:pt>
                <c:pt idx="314">
                  <c:v>-35.699423502187024</c:v>
                </c:pt>
                <c:pt idx="315">
                  <c:v>-35.85194791274386</c:v>
                </c:pt>
                <c:pt idx="316">
                  <c:v>-36.003193080716038</c:v>
                </c:pt>
                <c:pt idx="317">
                  <c:v>-36.153179535825053</c:v>
                </c:pt>
                <c:pt idx="318">
                  <c:v>-36.301927334574941</c:v>
                </c:pt>
                <c:pt idx="319">
                  <c:v>-36.449456074189513</c:v>
                </c:pt>
                <c:pt idx="320">
                  <c:v>-36.595784906057069</c:v>
                </c:pt>
                <c:pt idx="321">
                  <c:v>-36.740932548702553</c:v>
                </c:pt>
                <c:pt idx="322">
                  <c:v>-36.884917300306604</c:v>
                </c:pt>
                <c:pt idx="323">
                  <c:v>-37.027757050789646</c:v>
                </c:pt>
                <c:pt idx="324">
                  <c:v>-37.169469293478571</c:v>
                </c:pt>
                <c:pt idx="325">
                  <c:v>-37.310071136372741</c:v>
                </c:pt>
                <c:pt idx="326">
                  <c:v>-37.449579313025104</c:v>
                </c:pt>
                <c:pt idx="327">
                  <c:v>-37.58801019305389</c:v>
                </c:pt>
                <c:pt idx="328">
                  <c:v>-37.725379792299073</c:v>
                </c:pt>
                <c:pt idx="329">
                  <c:v>-37.861703782637775</c:v>
                </c:pt>
                <c:pt idx="330">
                  <c:v>-37.996997501471753</c:v>
                </c:pt>
                <c:pt idx="331">
                  <c:v>-38.13127596089965</c:v>
                </c:pt>
                <c:pt idx="332">
                  <c:v>-38.264553856586168</c:v>
                </c:pt>
                <c:pt idx="333">
                  <c:v>-38.39684557633975</c:v>
                </c:pt>
                <c:pt idx="334">
                  <c:v>-38.528165208409881</c:v>
                </c:pt>
                <c:pt idx="335">
                  <c:v>-38.658526549514619</c:v>
                </c:pt>
                <c:pt idx="336">
                  <c:v>-38.787943112608502</c:v>
                </c:pt>
                <c:pt idx="337">
                  <c:v>-38.916428134400675</c:v>
                </c:pt>
                <c:pt idx="338">
                  <c:v>-39.043994582632337</c:v>
                </c:pt>
                <c:pt idx="339">
                  <c:v>-39.170655163122646</c:v>
                </c:pt>
                <c:pt idx="340">
                  <c:v>-39.296422326591639</c:v>
                </c:pt>
                <c:pt idx="341">
                  <c:v>-39.421308275268075</c:v>
                </c:pt>
                <c:pt idx="342">
                  <c:v>-39.545324969290476</c:v>
                </c:pt>
                <c:pt idx="343">
                  <c:v>-39.66848413290856</c:v>
                </c:pt>
                <c:pt idx="344">
                  <c:v>-39.790797260492461</c:v>
                </c:pt>
                <c:pt idx="345">
                  <c:v>-39.91227562235661</c:v>
                </c:pt>
                <c:pt idx="346">
                  <c:v>-40.032930270404883</c:v>
                </c:pt>
                <c:pt idx="347">
                  <c:v>-40.152772043603534</c:v>
                </c:pt>
                <c:pt idx="348">
                  <c:v>-40.271811573287806</c:v>
                </c:pt>
                <c:pt idx="349">
                  <c:v>-40.390059288308308</c:v>
                </c:pt>
                <c:pt idx="350">
                  <c:v>-40.507525420022631</c:v>
                </c:pt>
                <c:pt idx="351">
                  <c:v>-40.624220007137737</c:v>
                </c:pt>
                <c:pt idx="352">
                  <c:v>-40.740152900408269</c:v>
                </c:pt>
                <c:pt idx="353">
                  <c:v>-40.85533376719571</c:v>
                </c:pt>
                <c:pt idx="354">
                  <c:v>-40.969772095893298</c:v>
                </c:pt>
                <c:pt idx="355">
                  <c:v>-41.08347720022131</c:v>
                </c:pt>
                <c:pt idx="356">
                  <c:v>-41.196458223396959</c:v>
                </c:pt>
                <c:pt idx="357">
                  <c:v>-41.308724142183436</c:v>
                </c:pt>
                <c:pt idx="358">
                  <c:v>-41.420283770821953</c:v>
                </c:pt>
                <c:pt idx="359">
                  <c:v>-41.531145764850947</c:v>
                </c:pt>
                <c:pt idx="360">
                  <c:v>-41.641318624815931</c:v>
                </c:pt>
                <c:pt idx="361">
                  <c:v>-41.750810699874023</c:v>
                </c:pt>
                <c:pt idx="362">
                  <c:v>-41.85963019129624</c:v>
                </c:pt>
                <c:pt idx="363">
                  <c:v>-41.967785155871368</c:v>
                </c:pt>
                <c:pt idx="364">
                  <c:v>-42.075283509214188</c:v>
                </c:pt>
                <c:pt idx="365">
                  <c:v>-42.182133028981639</c:v>
                </c:pt>
                <c:pt idx="366">
                  <c:v>-42.288341357999535</c:v>
                </c:pt>
                <c:pt idx="367">
                  <c:v>-42.393916007303041</c:v>
                </c:pt>
                <c:pt idx="368">
                  <c:v>-42.498864359093453</c:v>
                </c:pt>
                <c:pt idx="369">
                  <c:v>-42.603193669614193</c:v>
                </c:pt>
                <c:pt idx="370">
                  <c:v>-42.706911071948419</c:v>
                </c:pt>
                <c:pt idx="371">
                  <c:v>-42.810023578740854</c:v>
                </c:pt>
                <c:pt idx="372">
                  <c:v>-42.91253808484619</c:v>
                </c:pt>
                <c:pt idx="373">
                  <c:v>-43.014461369906442</c:v>
                </c:pt>
                <c:pt idx="374">
                  <c:v>-43.115800100859431</c:v>
                </c:pt>
                <c:pt idx="375">
                  <c:v>-43.216560834380559</c:v>
                </c:pt>
                <c:pt idx="376">
                  <c:v>-43.316750019259949</c:v>
                </c:pt>
                <c:pt idx="377">
                  <c:v>-43.416373998717077</c:v>
                </c:pt>
                <c:pt idx="378">
                  <c:v>-43.515439012654539</c:v>
                </c:pt>
                <c:pt idx="379">
                  <c:v>-43.613951199853183</c:v>
                </c:pt>
                <c:pt idx="380">
                  <c:v>-43.711916600110115</c:v>
                </c:pt>
                <c:pt idx="381">
                  <c:v>-43.809341156321494</c:v>
                </c:pt>
                <c:pt idx="382">
                  <c:v>-43.906230716511622</c:v>
                </c:pt>
                <c:pt idx="383">
                  <c:v>-44.002591035810219</c:v>
                </c:pt>
                <c:pt idx="384">
                  <c:v>-44.098427778379126</c:v>
                </c:pt>
                <c:pt idx="385">
                  <c:v>-44.193746519290173</c:v>
                </c:pt>
                <c:pt idx="386">
                  <c:v>-44.288552746355556</c:v>
                </c:pt>
                <c:pt idx="387">
                  <c:v>-44.382851861912272</c:v>
                </c:pt>
                <c:pt idx="388">
                  <c:v>-44.476649184561722</c:v>
                </c:pt>
                <c:pt idx="389">
                  <c:v>-44.569949950866032</c:v>
                </c:pt>
                <c:pt idx="390">
                  <c:v>-44.662759317002326</c:v>
                </c:pt>
                <c:pt idx="391">
                  <c:v>-44.755082360376022</c:v>
                </c:pt>
                <c:pt idx="392">
                  <c:v>-44.846924081194508</c:v>
                </c:pt>
                <c:pt idx="393">
                  <c:v>-44.938289404002305</c:v>
                </c:pt>
                <c:pt idx="394">
                  <c:v>-45.029183179178716</c:v>
                </c:pt>
                <c:pt idx="395">
                  <c:v>-45.119610184399264</c:v>
                </c:pt>
                <c:pt idx="396">
                  <c:v>-45.209575126061701</c:v>
                </c:pt>
                <c:pt idx="397">
                  <c:v>-45.299082640677724</c:v>
                </c:pt>
                <c:pt idx="398">
                  <c:v>-45.388137296231463</c:v>
                </c:pt>
                <c:pt idx="399">
                  <c:v>-45.47674359350539</c:v>
                </c:pt>
                <c:pt idx="400">
                  <c:v>-45.564905967374905</c:v>
                </c:pt>
                <c:pt idx="401">
                  <c:v>-45.652628788072256</c:v>
                </c:pt>
                <c:pt idx="402">
                  <c:v>-45.739916362420672</c:v>
                </c:pt>
                <c:pt idx="403">
                  <c:v>-45.826772935039592</c:v>
                </c:pt>
                <c:pt idx="404">
                  <c:v>-45.913202689521825</c:v>
                </c:pt>
                <c:pt idx="405">
                  <c:v>-45.999209749583244</c:v>
                </c:pt>
                <c:pt idx="406">
                  <c:v>-46.084798180185977</c:v>
                </c:pt>
                <c:pt idx="407">
                  <c:v>-46.169971988635588</c:v>
                </c:pt>
                <c:pt idx="408">
                  <c:v>-46.254735125653291</c:v>
                </c:pt>
                <c:pt idx="409">
                  <c:v>-46.339091486423413</c:v>
                </c:pt>
                <c:pt idx="410">
                  <c:v>-46.423044911617225</c:v>
                </c:pt>
                <c:pt idx="411">
                  <c:v>-46.506599188393466</c:v>
                </c:pt>
                <c:pt idx="412">
                  <c:v>-46.58975805137635</c:v>
                </c:pt>
                <c:pt idx="413">
                  <c:v>-46.672525183611519</c:v>
                </c:pt>
                <c:pt idx="414">
                  <c:v>-46.754904217500709</c:v>
                </c:pt>
                <c:pt idx="415">
                  <c:v>-46.836898735715529</c:v>
                </c:pt>
                <c:pt idx="416">
                  <c:v>-46.918512272090915</c:v>
                </c:pt>
                <c:pt idx="417">
                  <c:v>-46.999748312498951</c:v>
                </c:pt>
                <c:pt idx="418">
                  <c:v>-47.080610295703323</c:v>
                </c:pt>
                <c:pt idx="419">
                  <c:v>-47.161101614195218</c:v>
                </c:pt>
                <c:pt idx="420">
                  <c:v>-47.241225615010698</c:v>
                </c:pt>
                <c:pt idx="421">
                  <c:v>-47.320985600530648</c:v>
                </c:pt>
                <c:pt idx="422">
                  <c:v>-47.400384829263075</c:v>
                </c:pt>
                <c:pt idx="423">
                  <c:v>-47.47942651660874</c:v>
                </c:pt>
                <c:pt idx="424">
                  <c:v>-47.558113835610257</c:v>
                </c:pt>
                <c:pt idx="425">
                  <c:v>-47.636449917685198</c:v>
                </c:pt>
                <c:pt idx="426">
                  <c:v>-47.714437853343547</c:v>
                </c:pt>
                <c:pt idx="427">
                  <c:v>-47.792080692889897</c:v>
                </c:pt>
                <c:pt idx="428">
                  <c:v>-47.869381447110875</c:v>
                </c:pt>
                <c:pt idx="429">
                  <c:v>-47.946343087948044</c:v>
                </c:pt>
                <c:pt idx="430">
                  <c:v>-48.022968549156658</c:v>
                </c:pt>
                <c:pt idx="431">
                  <c:v>-48.099260726950718</c:v>
                </c:pt>
                <c:pt idx="432">
                  <c:v>-48.175222480634552</c:v>
                </c:pt>
                <c:pt idx="433">
                  <c:v>-48.250856633221311</c:v>
                </c:pt>
                <c:pt idx="434">
                  <c:v>-48.32616597203868</c:v>
                </c:pt>
                <c:pt idx="435">
                  <c:v>-48.401153249322171</c:v>
                </c:pt>
                <c:pt idx="436">
                  <c:v>-48.47582118279621</c:v>
                </c:pt>
                <c:pt idx="437">
                  <c:v>-48.550172456243345</c:v>
                </c:pt>
                <c:pt idx="438">
                  <c:v>-48.62420972006197</c:v>
                </c:pt>
                <c:pt idx="439">
                  <c:v>-48.697935591812609</c:v>
                </c:pt>
                <c:pt idx="440">
                  <c:v>-48.771352656753336</c:v>
                </c:pt>
                <c:pt idx="441">
                  <c:v>-48.844463468364232</c:v>
                </c:pt>
                <c:pt idx="442">
                  <c:v>-48.917270548861545</c:v>
                </c:pt>
                <c:pt idx="443">
                  <c:v>-48.989776389701461</c:v>
                </c:pt>
                <c:pt idx="444">
                  <c:v>-49.061983452073868</c:v>
                </c:pt>
                <c:pt idx="445">
                  <c:v>-49.133894167386373</c:v>
                </c:pt>
                <c:pt idx="446">
                  <c:v>-49.205510937738737</c:v>
                </c:pt>
                <c:pt idx="447">
                  <c:v>-49.276836136388056</c:v>
                </c:pt>
                <c:pt idx="448">
                  <c:v>-49.347872108204712</c:v>
                </c:pt>
                <c:pt idx="449">
                  <c:v>-49.418621170119522</c:v>
                </c:pt>
                <c:pt idx="450">
                  <c:v>-49.489085611562132</c:v>
                </c:pt>
                <c:pt idx="451">
                  <c:v>-49.559267694890977</c:v>
                </c:pt>
                <c:pt idx="452">
                  <c:v>-49.629169655814906</c:v>
                </c:pt>
                <c:pt idx="453">
                  <c:v>-49.698793703806658</c:v>
                </c:pt>
                <c:pt idx="454">
                  <c:v>-49.768142022508506</c:v>
                </c:pt>
                <c:pt idx="455">
                  <c:v>-49.837216770130141</c:v>
                </c:pt>
                <c:pt idx="456">
                  <c:v>-49.906020079838854</c:v>
                </c:pt>
                <c:pt idx="457">
                  <c:v>-49.97455406014253</c:v>
                </c:pt>
                <c:pt idx="458">
                  <c:v>-50.042820795265222</c:v>
                </c:pt>
                <c:pt idx="459">
                  <c:v>-50.110822345515807</c:v>
                </c:pt>
                <c:pt idx="460">
                  <c:v>-50.178560747649612</c:v>
                </c:pt>
                <c:pt idx="461">
                  <c:v>-50.246038015223363</c:v>
                </c:pt>
                <c:pt idx="462">
                  <c:v>-50.31325613894343</c:v>
                </c:pt>
                <c:pt idx="463">
                  <c:v>-50.380217087007793</c:v>
                </c:pt>
                <c:pt idx="464">
                  <c:v>-50.446922805441446</c:v>
                </c:pt>
                <c:pt idx="465">
                  <c:v>-50.513375218425807</c:v>
                </c:pt>
                <c:pt idx="466">
                  <c:v>-50.579576228621981</c:v>
                </c:pt>
                <c:pt idx="467">
                  <c:v>-50.645527717488207</c:v>
                </c:pt>
                <c:pt idx="468">
                  <c:v>-50.71123154559136</c:v>
                </c:pt>
                <c:pt idx="469">
                  <c:v>-50.77668955291297</c:v>
                </c:pt>
                <c:pt idx="470">
                  <c:v>-50.841903559149564</c:v>
                </c:pt>
                <c:pt idx="471">
                  <c:v>-50.906875364007703</c:v>
                </c:pt>
                <c:pt idx="472">
                  <c:v>-50.971606747493553</c:v>
                </c:pt>
                <c:pt idx="473">
                  <c:v>-51.036099470197513</c:v>
                </c:pt>
                <c:pt idx="474">
                  <c:v>-51.100355273573456</c:v>
                </c:pt>
                <c:pt idx="475">
                  <c:v>-51.164375880213264</c:v>
                </c:pt>
                <c:pt idx="476">
                  <c:v>-51.228162994116389</c:v>
                </c:pt>
                <c:pt idx="477">
                  <c:v>-51.291718300954585</c:v>
                </c:pt>
                <c:pt idx="478">
                  <c:v>-51.355043468332092</c:v>
                </c:pt>
                <c:pt idx="479">
                  <c:v>-51.418140146041161</c:v>
                </c:pt>
                <c:pt idx="480">
                  <c:v>-51.481009966313209</c:v>
                </c:pt>
                <c:pt idx="481">
                  <c:v>-51.54365454406544</c:v>
                </c:pt>
                <c:pt idx="482">
                  <c:v>-51.606075477143342</c:v>
                </c:pt>
                <c:pt idx="483">
                  <c:v>-51.668274346558889</c:v>
                </c:pt>
                <c:pt idx="484">
                  <c:v>-51.730252716724642</c:v>
                </c:pt>
                <c:pt idx="485">
                  <c:v>-51.792012135683827</c:v>
                </c:pt>
                <c:pt idx="486">
                  <c:v>-51.853554135336488</c:v>
                </c:pt>
                <c:pt idx="487">
                  <c:v>-51.914880231661719</c:v>
                </c:pt>
                <c:pt idx="488">
                  <c:v>-51.975991924936203</c:v>
                </c:pt>
                <c:pt idx="489">
                  <c:v>-52.036890699948906</c:v>
                </c:pt>
                <c:pt idx="490">
                  <c:v>-52.097578026212261</c:v>
                </c:pt>
                <c:pt idx="491">
                  <c:v>-52.158055358169733</c:v>
                </c:pt>
                <c:pt idx="492">
                  <c:v>-52.218324135399868</c:v>
                </c:pt>
                <c:pt idx="493">
                  <c:v>-52.278385782816976</c:v>
                </c:pt>
                <c:pt idx="494">
                  <c:v>-52.338241710868402</c:v>
                </c:pt>
                <c:pt idx="495">
                  <c:v>-52.397893315728574</c:v>
                </c:pt>
                <c:pt idx="496">
                  <c:v>-52.457341979489783</c:v>
                </c:pt>
                <c:pt idx="497">
                  <c:v>-52.516589070349809</c:v>
                </c:pt>
                <c:pt idx="498">
                  <c:v>-52.575635942796481</c:v>
                </c:pt>
                <c:pt idx="499">
                  <c:v>-52.634483937789128</c:v>
                </c:pt>
                <c:pt idx="500">
                  <c:v>-52.693134382937181</c:v>
                </c:pt>
                <c:pt idx="501">
                  <c:v>-52.751588592675702</c:v>
                </c:pt>
                <c:pt idx="502">
                  <c:v>-52.809847868438183</c:v>
                </c:pt>
                <c:pt idx="503">
                  <c:v>-52.867913498826518</c:v>
                </c:pt>
                <c:pt idx="504">
                  <c:v>-52.925786759778077</c:v>
                </c:pt>
                <c:pt idx="505">
                  <c:v>-52.983468914730302</c:v>
                </c:pt>
                <c:pt idx="506">
                  <c:v>-53.040961214782527</c:v>
                </c:pt>
                <c:pt idx="507">
                  <c:v>-53.098264898855199</c:v>
                </c:pt>
                <c:pt idx="508">
                  <c:v>-53.155381193846594</c:v>
                </c:pt>
                <c:pt idx="509">
                  <c:v>-53.212311314787016</c:v>
                </c:pt>
                <c:pt idx="510">
                  <c:v>-53.26905646499057</c:v>
                </c:pt>
                <c:pt idx="511">
                  <c:v>-53.325617836204458</c:v>
                </c:pt>
                <c:pt idx="512">
                  <c:v>-53.381996608756054</c:v>
                </c:pt>
                <c:pt idx="513">
                  <c:v>-53.43819395169745</c:v>
                </c:pt>
                <c:pt idx="514">
                  <c:v>-53.494211022947979</c:v>
                </c:pt>
                <c:pt idx="515">
                  <c:v>-53.550048969434329</c:v>
                </c:pt>
                <c:pt idx="516">
                  <c:v>-53.605708927228505</c:v>
                </c:pt>
                <c:pt idx="517">
                  <c:v>-53.661192021683739</c:v>
                </c:pt>
                <c:pt idx="518">
                  <c:v>-53.716499367568161</c:v>
                </c:pt>
                <c:pt idx="519">
                  <c:v>-53.771632069196443</c:v>
                </c:pt>
                <c:pt idx="520">
                  <c:v>-53.826591220559521</c:v>
                </c:pt>
                <c:pt idx="521">
                  <c:v>-53.881377905452148</c:v>
                </c:pt>
                <c:pt idx="522">
                  <c:v>-53.935993197598613</c:v>
                </c:pt>
                <c:pt idx="523">
                  <c:v>-53.990438160776471</c:v>
                </c:pt>
                <c:pt idx="524">
                  <c:v>-54.044713848938471</c:v>
                </c:pt>
                <c:pt idx="525">
                  <c:v>-54.098821306332539</c:v>
                </c:pt>
                <c:pt idx="526">
                  <c:v>-54.152761567620004</c:v>
                </c:pt>
                <c:pt idx="527">
                  <c:v>-54.206535657991999</c:v>
                </c:pt>
                <c:pt idx="528">
                  <c:v>-54.260144593284139</c:v>
                </c:pt>
                <c:pt idx="529">
                  <c:v>-54.313589380089454</c:v>
                </c:pt>
                <c:pt idx="530">
                  <c:v>-54.366871015869684</c:v>
                </c:pt>
                <c:pt idx="531">
                  <c:v>-54.419990489064809</c:v>
                </c:pt>
                <c:pt idx="532">
                  <c:v>-54.472948779201076</c:v>
                </c:pt>
                <c:pt idx="533">
                  <c:v>-54.525746856997287</c:v>
                </c:pt>
                <c:pt idx="534">
                  <c:v>-54.578385684469652</c:v>
                </c:pt>
                <c:pt idx="535">
                  <c:v>-54.63086621503497</c:v>
                </c:pt>
                <c:pt idx="536">
                  <c:v>-54.683189393612423</c:v>
                </c:pt>
                <c:pt idx="537">
                  <c:v>-54.735356156723682</c:v>
                </c:pt>
                <c:pt idx="538">
                  <c:v>-54.787367432591807</c:v>
                </c:pt>
                <c:pt idx="539">
                  <c:v>-54.839224141238461</c:v>
                </c:pt>
                <c:pt idx="540">
                  <c:v>-54.890927194579866</c:v>
                </c:pt>
                <c:pt idx="541">
                  <c:v>-54.942477496521285</c:v>
                </c:pt>
                <c:pt idx="542">
                  <c:v>-54.99387594305017</c:v>
                </c:pt>
                <c:pt idx="543">
                  <c:v>-55.045123422328018</c:v>
                </c:pt>
                <c:pt idx="544">
                  <c:v>-55.096220814780771</c:v>
                </c:pt>
                <c:pt idx="545">
                  <c:v>-55.147168993188018</c:v>
                </c:pt>
                <c:pt idx="546">
                  <c:v>-55.197968822770925</c:v>
                </c:pt>
                <c:pt idx="547">
                  <c:v>-55.248621161278912</c:v>
                </c:pt>
                <c:pt idx="548">
                  <c:v>-55.299126859074981</c:v>
                </c:pt>
                <c:pt idx="549">
                  <c:v>-55.349486759219999</c:v>
                </c:pt>
                <c:pt idx="550">
                  <c:v>-55.399701697555699</c:v>
                </c:pt>
                <c:pt idx="551">
                  <c:v>-55.449772502786502</c:v>
                </c:pt>
                <c:pt idx="552">
                  <c:v>-55.499699996560238</c:v>
                </c:pt>
                <c:pt idx="553">
                  <c:v>-55.549484993547665</c:v>
                </c:pt>
                <c:pt idx="554">
                  <c:v>-55.599128301520977</c:v>
                </c:pt>
                <c:pt idx="555">
                  <c:v>-55.648630721431083</c:v>
                </c:pt>
                <c:pt idx="556">
                  <c:v>-55.697993047483941</c:v>
                </c:pt>
                <c:pt idx="557">
                  <c:v>-55.747216067215746</c:v>
                </c:pt>
                <c:pt idx="558">
                  <c:v>-55.796300561567122</c:v>
                </c:pt>
                <c:pt idx="559">
                  <c:v>-55.845247304956239</c:v>
                </c:pt>
                <c:pt idx="560">
                  <c:v>-55.894057065350999</c:v>
                </c:pt>
                <c:pt idx="561">
                  <c:v>-55.942730604340134</c:v>
                </c:pt>
                <c:pt idx="562">
                  <c:v>-55.991268677203493</c:v>
                </c:pt>
                <c:pt idx="563">
                  <c:v>-56.039672032981102</c:v>
                </c:pt>
                <c:pt idx="564">
                  <c:v>-56.087941414541575</c:v>
                </c:pt>
                <c:pt idx="565">
                  <c:v>-56.136077558649397</c:v>
                </c:pt>
                <c:pt idx="566">
                  <c:v>-56.184081196031393</c:v>
                </c:pt>
                <c:pt idx="567">
                  <c:v>-56.231953051442247</c:v>
                </c:pt>
                <c:pt idx="568">
                  <c:v>-56.279693843729135</c:v>
                </c:pt>
                <c:pt idx="569">
                  <c:v>-56.327304285895579</c:v>
                </c:pt>
                <c:pt idx="570">
                  <c:v>-56.374785085164305</c:v>
                </c:pt>
                <c:pt idx="571">
                  <c:v>-56.422136943039369</c:v>
                </c:pt>
                <c:pt idx="572">
                  <c:v>-56.46936055536743</c:v>
                </c:pt>
                <c:pt idx="573">
                  <c:v>-56.516456612398144</c:v>
                </c:pt>
                <c:pt idx="574">
                  <c:v>-56.563425798843852</c:v>
                </c:pt>
                <c:pt idx="575">
                  <c:v>-56.610268793938452</c:v>
                </c:pt>
                <c:pt idx="576">
                  <c:v>-56.656986271495384</c:v>
                </c:pt>
                <c:pt idx="577">
                  <c:v>-56.703578899965066</c:v>
                </c:pt>
                <c:pt idx="578">
                  <c:v>-56.750047342491364</c:v>
                </c:pt>
                <c:pt idx="579">
                  <c:v>-56.79639225696743</c:v>
                </c:pt>
                <c:pt idx="580">
                  <c:v>-56.842614296090815</c:v>
                </c:pt>
                <c:pt idx="581">
                  <c:v>-56.888714107417819</c:v>
                </c:pt>
                <c:pt idx="582">
                  <c:v>-56.934692333417161</c:v>
                </c:pt>
                <c:pt idx="583">
                  <c:v>-56.980549611522946</c:v>
                </c:pt>
                <c:pt idx="584">
                  <c:v>-57.026286574186969</c:v>
                </c:pt>
                <c:pt idx="585">
                  <c:v>-57.071903848930262</c:v>
                </c:pt>
                <c:pt idx="586">
                  <c:v>-57.117402058394134</c:v>
                </c:pt>
                <c:pt idx="587">
                  <c:v>-57.162781820390379</c:v>
                </c:pt>
                <c:pt idx="588">
                  <c:v>-57.208043747950953</c:v>
                </c:pt>
                <c:pt idx="589">
                  <c:v>-57.253188449376992</c:v>
                </c:pt>
                <c:pt idx="590">
                  <c:v>-57.298216528287199</c:v>
                </c:pt>
                <c:pt idx="591">
                  <c:v>-57.343128583665617</c:v>
                </c:pt>
                <c:pt idx="592">
                  <c:v>-57.387925209908772</c:v>
                </c:pt>
                <c:pt idx="593">
                  <c:v>-57.432606996872302</c:v>
                </c:pt>
                <c:pt idx="594">
                  <c:v>-57.477174529916851</c:v>
                </c:pt>
                <c:pt idx="595">
                  <c:v>-57.52162838995357</c:v>
                </c:pt>
                <c:pt idx="596">
                  <c:v>-57.565969153488879</c:v>
                </c:pt>
                <c:pt idx="597">
                  <c:v>-57.610197392668809</c:v>
                </c:pt>
                <c:pt idx="598">
                  <c:v>-57.654313675322648</c:v>
                </c:pt>
                <c:pt idx="599">
                  <c:v>-57.698318565006154</c:v>
                </c:pt>
                <c:pt idx="600">
                  <c:v>-57.742212621044182</c:v>
                </c:pt>
                <c:pt idx="601">
                  <c:v>-57.785996398572848</c:v>
                </c:pt>
                <c:pt idx="602">
                  <c:v>-57.829670448581034</c:v>
                </c:pt>
                <c:pt idx="603">
                  <c:v>-57.873235317951519</c:v>
                </c:pt>
                <c:pt idx="604">
                  <c:v>-57.916691549501522</c:v>
                </c:pt>
                <c:pt idx="605">
                  <c:v>-57.960039682022789</c:v>
                </c:pt>
                <c:pt idx="606">
                  <c:v>-60.000462401998007</c:v>
                </c:pt>
                <c:pt idx="607">
                  <c:v>-61.826695936233989</c:v>
                </c:pt>
                <c:pt idx="608">
                  <c:v>-63.479392465529465</c:v>
                </c:pt>
                <c:pt idx="609">
                  <c:v>-64.988643495584569</c:v>
                </c:pt>
                <c:pt idx="610">
                  <c:v>-66.377343663782014</c:v>
                </c:pt>
                <c:pt idx="611">
                  <c:v>-67.66331486678331</c:v>
                </c:pt>
                <c:pt idx="612">
                  <c:v>-68.860701005175585</c:v>
                </c:pt>
                <c:pt idx="613">
                  <c:v>-69.98091443189108</c:v>
                </c:pt>
                <c:pt idx="614">
                  <c:v>-71.033296495485502</c:v>
                </c:pt>
                <c:pt idx="615">
                  <c:v>-72.025589874504846</c:v>
                </c:pt>
                <c:pt idx="616">
                  <c:v>-72.964283563550723</c:v>
                </c:pt>
                <c:pt idx="617">
                  <c:v>-73.854869592482501</c:v>
                </c:pt>
                <c:pt idx="618">
                  <c:v>-74.198707601373769</c:v>
                </c:pt>
                <c:pt idx="619">
                  <c:v>-74.535875083332016</c:v>
                </c:pt>
                <c:pt idx="620">
                  <c:v>-74.866625824272347</c:v>
                </c:pt>
                <c:pt idx="621">
                  <c:v>-75.191199403033821</c:v>
                </c:pt>
                <c:pt idx="622">
                  <c:v>-75.509822231970233</c:v>
                </c:pt>
                <c:pt idx="623">
                  <c:v>-75.822708504018053</c:v>
                </c:pt>
                <c:pt idx="624">
                  <c:v>-76.13006105614555</c:v>
                </c:pt>
                <c:pt idx="625">
                  <c:v>-76.432072157886196</c:v>
                </c:pt>
                <c:pt idx="626">
                  <c:v>-76.728924232620457</c:v>
                </c:pt>
                <c:pt idx="627">
                  <c:v>-77.020790518370944</c:v>
                </c:pt>
                <c:pt idx="628">
                  <c:v>-77.307835674095841</c:v>
                </c:pt>
                <c:pt idx="629">
                  <c:v>-77.59021633678536</c:v>
                </c:pt>
                <c:pt idx="630">
                  <c:v>-77.868081634074031</c:v>
                </c:pt>
                <c:pt idx="631">
                  <c:v>-78.141573656562798</c:v>
                </c:pt>
                <c:pt idx="632">
                  <c:v>-78.410827893591431</c:v>
                </c:pt>
                <c:pt idx="633">
                  <c:v>-78.675973635802293</c:v>
                </c:pt>
                <c:pt idx="634">
                  <c:v>-78.937134347486207</c:v>
                </c:pt>
                <c:pt idx="635">
                  <c:v>-79.194428011391153</c:v>
                </c:pt>
                <c:pt idx="636">
                  <c:v>-79.447967448401585</c:v>
                </c:pt>
                <c:pt idx="637">
                  <c:v>-79.697860614253827</c:v>
                </c:pt>
                <c:pt idx="638">
                  <c:v>-79.944210875238781</c:v>
                </c:pt>
                <c:pt idx="639">
                  <c:v>-80.187117264651974</c:v>
                </c:pt>
                <c:pt idx="640">
                  <c:v>-80.426674721581932</c:v>
                </c:pt>
                <c:pt idx="641">
                  <c:v>-80.662974313476354</c:v>
                </c:pt>
                <c:pt idx="642">
                  <c:v>-80.896103443790366</c:v>
                </c:pt>
                <c:pt idx="643">
                  <c:v>-81.126146045900853</c:v>
                </c:pt>
                <c:pt idx="644">
                  <c:v>-81.353182764362401</c:v>
                </c:pt>
                <c:pt idx="645">
                  <c:v>-81.577291124483239</c:v>
                </c:pt>
                <c:pt idx="646">
                  <c:v>-81.79854569111302</c:v>
                </c:pt>
                <c:pt idx="647">
                  <c:v>-82.017018217455472</c:v>
                </c:pt>
                <c:pt idx="648">
                  <c:v>-82.232777784648121</c:v>
                </c:pt>
                <c:pt idx="649">
                  <c:v>-82.44589093278833</c:v>
                </c:pt>
                <c:pt idx="650">
                  <c:v>-82.656421784026861</c:v>
                </c:pt>
                <c:pt idx="651">
                  <c:v>-82.864432158298115</c:v>
                </c:pt>
                <c:pt idx="652">
                  <c:v>-83.069981682209303</c:v>
                </c:pt>
                <c:pt idx="653">
                  <c:v>-83.273127891568336</c:v>
                </c:pt>
                <c:pt idx="654">
                  <c:v>-83.473926327990768</c:v>
                </c:pt>
                <c:pt idx="655">
                  <c:v>-83.672430629991624</c:v>
                </c:pt>
                <c:pt idx="656">
                  <c:v>-83.868692618935597</c:v>
                </c:pt>
                <c:pt idx="657">
                  <c:v>-84.062762380189866</c:v>
                </c:pt>
                <c:pt idx="658">
                  <c:v>-84.254688339797099</c:v>
                </c:pt>
                <c:pt idx="659">
                  <c:v>-84.444517336962662</c:v>
                </c:pt>
                <c:pt idx="660">
                  <c:v>-84.632294692626488</c:v>
                </c:pt>
                <c:pt idx="661">
                  <c:v>-84.818064274371338</c:v>
                </c:pt>
                <c:pt idx="662">
                  <c:v>-85.0018685578994</c:v>
                </c:pt>
                <c:pt idx="663">
                  <c:v>-85.18374868529267</c:v>
                </c:pt>
                <c:pt idx="664">
                  <c:v>-85.363744520257313</c:v>
                </c:pt>
                <c:pt idx="665">
                  <c:v>-85.541894700536702</c:v>
                </c:pt>
                <c:pt idx="666">
                  <c:v>-85.718236687666234</c:v>
                </c:pt>
                <c:pt idx="667">
                  <c:v>-85.892806814229488</c:v>
                </c:pt>
              </c:numCache>
            </c:numRef>
          </c:yVal>
          <c:smooth val="0"/>
          <c:extLst>
            <c:ext xmlns:c16="http://schemas.microsoft.com/office/drawing/2014/chart" uri="{C3380CC4-5D6E-409C-BE32-E72D297353CC}">
              <c16:uniqueId val="{00000000-C323-45F5-AD89-2A9969707A73}"/>
            </c:ext>
          </c:extLst>
        </c:ser>
        <c:ser>
          <c:idx val="2"/>
          <c:order val="2"/>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Calculations'!$BF$9:$BF$676</c:f>
              <c:numCache>
                <c:formatCode>General</c:formatCode>
                <c:ptCount val="668"/>
                <c:pt idx="0">
                  <c:v>84.14409363154337</c:v>
                </c:pt>
                <c:pt idx="1">
                  <c:v>80.034045810826782</c:v>
                </c:pt>
                <c:pt idx="2">
                  <c:v>76.981058889117989</c:v>
                </c:pt>
                <c:pt idx="3">
                  <c:v>74.659117917438437</c:v>
                </c:pt>
                <c:pt idx="4">
                  <c:v>72.805273981349842</c:v>
                </c:pt>
                <c:pt idx="5">
                  <c:v>71.26817323090232</c:v>
                </c:pt>
                <c:pt idx="6">
                  <c:v>69.957537850366833</c:v>
                </c:pt>
                <c:pt idx="7">
                  <c:v>68.816171360889967</c:v>
                </c:pt>
                <c:pt idx="8">
                  <c:v>67.805836462779439</c:v>
                </c:pt>
                <c:pt idx="9">
                  <c:v>66.899810360384748</c:v>
                </c:pt>
                <c:pt idx="10">
                  <c:v>60.908703746023832</c:v>
                </c:pt>
                <c:pt idx="11">
                  <c:v>57.392719733847926</c:v>
                </c:pt>
                <c:pt idx="12">
                  <c:v>54.896413616554241</c:v>
                </c:pt>
                <c:pt idx="13">
                  <c:v>52.959819892244255</c:v>
                </c:pt>
                <c:pt idx="14">
                  <c:v>51.377559616346232</c:v>
                </c:pt>
                <c:pt idx="15">
                  <c:v>50.039959176615895</c:v>
                </c:pt>
                <c:pt idx="16">
                  <c:v>48.881515116480429</c:v>
                </c:pt>
                <c:pt idx="17">
                  <c:v>47.859961501810773</c:v>
                </c:pt>
                <c:pt idx="18">
                  <c:v>46.946432818779002</c:v>
                </c:pt>
                <c:pt idx="19">
                  <c:v>40.950262723398261</c:v>
                </c:pt>
                <c:pt idx="20">
                  <c:v>37.46868256291549</c:v>
                </c:pt>
                <c:pt idx="21">
                  <c:v>35.026119775316225</c:v>
                </c:pt>
                <c:pt idx="22">
                  <c:v>33.160051567248054</c:v>
                </c:pt>
                <c:pt idx="23">
                  <c:v>31.664395140016794</c:v>
                </c:pt>
                <c:pt idx="24">
                  <c:v>30.429160573189037</c:v>
                </c:pt>
                <c:pt idx="25">
                  <c:v>29.388636963013468</c:v>
                </c:pt>
                <c:pt idx="26">
                  <c:v>28.500385764433279</c:v>
                </c:pt>
                <c:pt idx="27">
                  <c:v>27.735380504180426</c:v>
                </c:pt>
                <c:pt idx="28">
                  <c:v>25.189423826507888</c:v>
                </c:pt>
                <c:pt idx="29">
                  <c:v>24.030297823238101</c:v>
                </c:pt>
                <c:pt idx="30">
                  <c:v>23.788726478232924</c:v>
                </c:pt>
                <c:pt idx="31">
                  <c:v>24.270208283359686</c:v>
                </c:pt>
                <c:pt idx="32">
                  <c:v>25.395200923006698</c:v>
                </c:pt>
                <c:pt idx="33">
                  <c:v>27.104815995724202</c:v>
                </c:pt>
                <c:pt idx="34">
                  <c:v>29.086070114833966</c:v>
                </c:pt>
                <c:pt idx="35">
                  <c:v>30.022328656185703</c:v>
                </c:pt>
                <c:pt idx="36">
                  <c:v>28.527032768900561</c:v>
                </c:pt>
                <c:pt idx="37">
                  <c:v>25.900867142664875</c:v>
                </c:pt>
                <c:pt idx="38">
                  <c:v>23.417927535559219</c:v>
                </c:pt>
                <c:pt idx="39">
                  <c:v>21.323011908575747</c:v>
                </c:pt>
                <c:pt idx="40">
                  <c:v>19.57182497224899</c:v>
                </c:pt>
                <c:pt idx="41">
                  <c:v>18.089574032389034</c:v>
                </c:pt>
                <c:pt idx="42">
                  <c:v>16.815058080880625</c:v>
                </c:pt>
                <c:pt idx="43">
                  <c:v>15.702907185699548</c:v>
                </c:pt>
                <c:pt idx="44">
                  <c:v>14.719842217726889</c:v>
                </c:pt>
                <c:pt idx="45">
                  <c:v>13.841170596050119</c:v>
                </c:pt>
                <c:pt idx="46">
                  <c:v>13.048254466247178</c:v>
                </c:pt>
                <c:pt idx="47">
                  <c:v>12.326774778623868</c:v>
                </c:pt>
                <c:pt idx="48">
                  <c:v>11.665545511062344</c:v>
                </c:pt>
                <c:pt idx="49">
                  <c:v>11.055694230583688</c:v>
                </c:pt>
                <c:pt idx="50">
                  <c:v>10.490086385593472</c:v>
                </c:pt>
                <c:pt idx="51">
                  <c:v>9.9629136673139005</c:v>
                </c:pt>
                <c:pt idx="52">
                  <c:v>9.4693946069193746</c:v>
                </c:pt>
                <c:pt idx="53">
                  <c:v>9.0055532814302115</c:v>
                </c:pt>
                <c:pt idx="54">
                  <c:v>8.5680533051204204</c:v>
                </c:pt>
                <c:pt idx="55">
                  <c:v>8.1540715853459176</c:v>
                </c:pt>
                <c:pt idx="56">
                  <c:v>7.7612011110874128</c:v>
                </c:pt>
                <c:pt idx="57">
                  <c:v>7.3873752352106887</c:v>
                </c:pt>
                <c:pt idx="58">
                  <c:v>7.0308080744919854</c:v>
                </c:pt>
                <c:pt idx="59">
                  <c:v>6.6899471399666908</c:v>
                </c:pt>
                <c:pt idx="60">
                  <c:v>6.3634353497696052</c:v>
                </c:pt>
                <c:pt idx="61">
                  <c:v>6.0500803129047931</c:v>
                </c:pt>
                <c:pt idx="62">
                  <c:v>5.748829300663286</c:v>
                </c:pt>
                <c:pt idx="63">
                  <c:v>5.4587487060938731</c:v>
                </c:pt>
                <c:pt idx="64">
                  <c:v>5.1790070737866376</c:v>
                </c:pt>
                <c:pt idx="65">
                  <c:v>4.908860991485005</c:v>
                </c:pt>
                <c:pt idx="66">
                  <c:v>4.6476432919476238</c:v>
                </c:pt>
                <c:pt idx="67">
                  <c:v>4.3947531322291749</c:v>
                </c:pt>
                <c:pt idx="68">
                  <c:v>4.149647608204095</c:v>
                </c:pt>
                <c:pt idx="69">
                  <c:v>3.9118346319322717</c:v>
                </c:pt>
                <c:pt idx="70">
                  <c:v>3.6808668535841331</c:v>
                </c:pt>
                <c:pt idx="71">
                  <c:v>3.4563364519221897</c:v>
                </c:pt>
                <c:pt idx="72">
                  <c:v>3.2378706505926163</c:v>
                </c:pt>
                <c:pt idx="73">
                  <c:v>3.0251278438096278</c:v>
                </c:pt>
                <c:pt idx="74">
                  <c:v>2.8177942359870753</c:v>
                </c:pt>
                <c:pt idx="75">
                  <c:v>2.6155809166736854</c:v>
                </c:pt>
                <c:pt idx="76">
                  <c:v>2.4182213056839217</c:v>
                </c:pt>
                <c:pt idx="77">
                  <c:v>2.2254689142773936</c:v>
                </c:pt>
                <c:pt idx="78">
                  <c:v>2.037095377160953</c:v>
                </c:pt>
                <c:pt idx="79">
                  <c:v>1.852888717382152</c:v>
                </c:pt>
                <c:pt idx="80">
                  <c:v>1.6726518121758247</c:v>
                </c:pt>
                <c:pt idx="81">
                  <c:v>1.4962010327690929</c:v>
                </c:pt>
                <c:pt idx="82">
                  <c:v>1.3233650352464865</c:v>
                </c:pt>
                <c:pt idx="83">
                  <c:v>1.1539836829836898</c:v>
                </c:pt>
                <c:pt idx="84">
                  <c:v>0.98790708400311389</c:v>
                </c:pt>
                <c:pt idx="85">
                  <c:v>0.82499472898832837</c:v>
                </c:pt>
                <c:pt idx="86">
                  <c:v>0.66511471769940089</c:v>
                </c:pt>
                <c:pt idx="87">
                  <c:v>0.50814306322269664</c:v>
                </c:pt>
                <c:pt idx="88">
                  <c:v>0.35396306492101853</c:v>
                </c:pt>
                <c:pt idx="89">
                  <c:v>0.20246474216627097</c:v>
                </c:pt>
                <c:pt idx="90">
                  <c:v>5.3544321972839676E-2</c:v>
                </c:pt>
                <c:pt idx="91">
                  <c:v>-9.2896225464830492E-2</c:v>
                </c:pt>
                <c:pt idx="92">
                  <c:v>-0.2369496085688487</c:v>
                </c:pt>
                <c:pt idx="93">
                  <c:v>-0.37870359809532395</c:v>
                </c:pt>
                <c:pt idx="94">
                  <c:v>-0.51824137679850102</c:v>
                </c:pt>
                <c:pt idx="95">
                  <c:v>-0.65564185858246649</c:v>
                </c:pt>
                <c:pt idx="96">
                  <c:v>-0.79097998026224903</c:v>
                </c:pt>
                <c:pt idx="97">
                  <c:v>-0.92432696869185038</c:v>
                </c:pt>
                <c:pt idx="98">
                  <c:v>-1.0557505857002178</c:v>
                </c:pt>
                <c:pt idx="99">
                  <c:v>-1.1853153530004827</c:v>
                </c:pt>
                <c:pt idx="100">
                  <c:v>-1.313082758996126</c:v>
                </c:pt>
                <c:pt idx="101">
                  <c:v>-1.4391114491973689</c:v>
                </c:pt>
                <c:pt idx="102">
                  <c:v>-1.5634574017753498</c:v>
                </c:pt>
                <c:pt idx="103">
                  <c:v>-1.6861740896193083</c:v>
                </c:pt>
                <c:pt idx="104">
                  <c:v>-1.8073126301184508</c:v>
                </c:pt>
                <c:pt idx="105">
                  <c:v>-1.9269219237637638</c:v>
                </c:pt>
                <c:pt idx="106">
                  <c:v>-2.0450487825532688</c:v>
                </c:pt>
                <c:pt idx="107">
                  <c:v>-2.1617380490852622</c:v>
                </c:pt>
                <c:pt idx="108">
                  <c:v>-2.2770327071361134</c:v>
                </c:pt>
                <c:pt idx="109">
                  <c:v>-2.3909739844413473</c:v>
                </c:pt>
                <c:pt idx="110">
                  <c:v>-2.5036014483291504</c:v>
                </c:pt>
                <c:pt idx="111">
                  <c:v>-2.6149530947935782</c:v>
                </c:pt>
                <c:pt idx="112">
                  <c:v>-2.7250654315395511</c:v>
                </c:pt>
                <c:pt idx="113">
                  <c:v>-2.8339735554820331</c:v>
                </c:pt>
                <c:pt idx="114">
                  <c:v>-2.9417112251378619</c:v>
                </c:pt>
                <c:pt idx="115">
                  <c:v>-3.0483109283087657</c:v>
                </c:pt>
                <c:pt idx="116">
                  <c:v>-3.1538039454184696</c:v>
                </c:pt>
                <c:pt idx="117">
                  <c:v>-3.2582204088348696</c:v>
                </c:pt>
                <c:pt idx="118">
                  <c:v>-3.3615893584791641</c:v>
                </c:pt>
                <c:pt idx="119">
                  <c:v>-3.4639387939979982</c:v>
                </c:pt>
                <c:pt idx="120">
                  <c:v>-3.5652957237510625</c:v>
                </c:pt>
                <c:pt idx="121">
                  <c:v>-3.6656862108452537</c:v>
                </c:pt>
                <c:pt idx="122">
                  <c:v>-3.765135416427499</c:v>
                </c:pt>
                <c:pt idx="123">
                  <c:v>-3.8636676404306307</c:v>
                </c:pt>
                <c:pt idx="124">
                  <c:v>-3.9613063599511373</c:v>
                </c:pt>
                <c:pt idx="125">
                  <c:v>-4.0580742654230475</c:v>
                </c:pt>
                <c:pt idx="126">
                  <c:v>-4.1539932947392337</c:v>
                </c:pt>
                <c:pt idx="127">
                  <c:v>-4.2490846654595531</c:v>
                </c:pt>
                <c:pt idx="128">
                  <c:v>-4.343368905234315</c:v>
                </c:pt>
                <c:pt idx="129">
                  <c:v>-4.4368658805617587</c:v>
                </c:pt>
                <c:pt idx="130">
                  <c:v>-4.5295948239891324</c:v>
                </c:pt>
                <c:pt idx="131">
                  <c:v>-4.621574359858692</c:v>
                </c:pt>
                <c:pt idx="132">
                  <c:v>-4.7128225286925876</c:v>
                </c:pt>
                <c:pt idx="133">
                  <c:v>-4.8033568103032582</c:v>
                </c:pt>
                <c:pt idx="134">
                  <c:v>-4.893194145710126</c:v>
                </c:pt>
                <c:pt idx="135">
                  <c:v>-4.9823509579371237</c:v>
                </c:pt>
                <c:pt idx="136">
                  <c:v>-5.0708431717605187</c:v>
                </c:pt>
                <c:pt idx="137">
                  <c:v>-5.1586862324714309</c:v>
                </c:pt>
                <c:pt idx="138">
                  <c:v>-5.2458951237129989</c:v>
                </c:pt>
                <c:pt idx="139">
                  <c:v>-5.332484384447902</c:v>
                </c:pt>
                <c:pt idx="140">
                  <c:v>-5.4184681251082187</c:v>
                </c:pt>
                <c:pt idx="141">
                  <c:v>-5.5038600429758802</c:v>
                </c:pt>
                <c:pt idx="142">
                  <c:v>-5.5886734368389934</c:v>
                </c:pt>
                <c:pt idx="143">
                  <c:v>-5.6729212209658382</c:v>
                </c:pt>
                <c:pt idx="144">
                  <c:v>-5.7566159384361448</c:v>
                </c:pt>
                <c:pt idx="145">
                  <c:v>-5.8397697738659833</c:v>
                </c:pt>
                <c:pt idx="146">
                  <c:v>-5.9223945655608921</c:v>
                </c:pt>
                <c:pt idx="147">
                  <c:v>-6.0045018171290474</c:v>
                </c:pt>
                <c:pt idx="148">
                  <c:v>-6.0861027085846668</c:v>
                </c:pt>
                <c:pt idx="149">
                  <c:v>-6.167208106969607</c:v>
                </c:pt>
                <c:pt idx="150">
                  <c:v>-6.247828576519594</c:v>
                </c:pt>
                <c:pt idx="151">
                  <c:v>-6.3279743883996895</c:v>
                </c:pt>
                <c:pt idx="152">
                  <c:v>-6.4076555300320948</c:v>
                </c:pt>
                <c:pt idx="153">
                  <c:v>-6.4868817140381205</c:v>
                </c:pt>
                <c:pt idx="154">
                  <c:v>-6.5656623868145347</c:v>
                </c:pt>
                <c:pt idx="155">
                  <c:v>-6.6440067367635685</c:v>
                </c:pt>
                <c:pt idx="156">
                  <c:v>-6.7219237021944807</c:v>
                </c:pt>
                <c:pt idx="157">
                  <c:v>-6.7994219789135801</c:v>
                </c:pt>
                <c:pt idx="158">
                  <c:v>-6.8765100275185969</c:v>
                </c:pt>
                <c:pt idx="159">
                  <c:v>-6.9531960804124395</c:v>
                </c:pt>
                <c:pt idx="160">
                  <c:v>-7.0294881485502669</c:v>
                </c:pt>
                <c:pt idx="161">
                  <c:v>-7.105394027933194</c:v>
                </c:pt>
                <c:pt idx="162">
                  <c:v>-7.1809213058612142</c:v>
                </c:pt>
                <c:pt idx="163">
                  <c:v>-7.2560773669568537</c:v>
                </c:pt>
                <c:pt idx="164">
                  <c:v>-7.3308693989709086</c:v>
                </c:pt>
                <c:pt idx="165">
                  <c:v>-7.4053043983805233</c:v>
                </c:pt>
                <c:pt idx="166">
                  <c:v>-7.479389175789624</c:v>
                </c:pt>
                <c:pt idx="167">
                  <c:v>-7.5531303611408358</c:v>
                </c:pt>
                <c:pt idx="168">
                  <c:v>-7.6265344087478972</c:v>
                </c:pt>
                <c:pt idx="169">
                  <c:v>-7.6996076021566004</c:v>
                </c:pt>
                <c:pt idx="170">
                  <c:v>-7.7723560588423766</c:v>
                </c:pt>
                <c:pt idx="171">
                  <c:v>-7.8447857347516941</c:v>
                </c:pt>
                <c:pt idx="172">
                  <c:v>-7.916902428694403</c:v>
                </c:pt>
                <c:pt idx="173">
                  <c:v>-7.9887117865935986</c:v>
                </c:pt>
                <c:pt idx="174">
                  <c:v>-8.0602193055992863</c:v>
                </c:pt>
                <c:pt idx="175">
                  <c:v>-8.1314303380717305</c:v>
                </c:pt>
                <c:pt idx="176">
                  <c:v>-8.2023500954401651</c:v>
                </c:pt>
                <c:pt idx="177">
                  <c:v>-8.2729836519420434</c:v>
                </c:pt>
                <c:pt idx="178">
                  <c:v>-8.3433359482480345</c:v>
                </c:pt>
                <c:pt idx="179">
                  <c:v>-8.4134117949773231</c:v>
                </c:pt>
                <c:pt idx="180">
                  <c:v>-8.4832158761079004</c:v>
                </c:pt>
                <c:pt idx="181">
                  <c:v>-8.5527527522860041</c:v>
                </c:pt>
                <c:pt idx="182">
                  <c:v>-8.6220268640387978</c:v>
                </c:pt>
                <c:pt idx="183">
                  <c:v>-8.6910425348941338</c:v>
                </c:pt>
                <c:pt idx="184">
                  <c:v>-8.7598039744110565</c:v>
                </c:pt>
                <c:pt idx="185">
                  <c:v>-8.8283152811244587</c:v>
                </c:pt>
                <c:pt idx="186">
                  <c:v>-8.8965804454072455</c:v>
                </c:pt>
                <c:pt idx="187">
                  <c:v>-8.964603352253036</c:v>
                </c:pt>
                <c:pt idx="188">
                  <c:v>-9.032387783982454</c:v>
                </c:pt>
                <c:pt idx="189">
                  <c:v>-9.0999374228757564</c:v>
                </c:pt>
                <c:pt idx="190">
                  <c:v>-9.1672558537344564</c:v>
                </c:pt>
                <c:pt idx="191">
                  <c:v>-9.2343465663746098</c:v>
                </c:pt>
                <c:pt idx="192">
                  <c:v>-9.3012129580539913</c:v>
                </c:pt>
                <c:pt idx="193">
                  <c:v>-9.3678583358356029</c:v>
                </c:pt>
                <c:pt idx="194">
                  <c:v>-9.4342859188896799</c:v>
                </c:pt>
                <c:pt idx="195">
                  <c:v>-9.5004988407362063</c:v>
                </c:pt>
                <c:pt idx="196">
                  <c:v>-9.5665001514300076</c:v>
                </c:pt>
                <c:pt idx="197">
                  <c:v>-9.6322928196902655</c:v>
                </c:pt>
                <c:pt idx="198">
                  <c:v>-9.6978797349762793</c:v>
                </c:pt>
                <c:pt idx="199">
                  <c:v>-9.7632637095111345</c:v>
                </c:pt>
                <c:pt idx="200">
                  <c:v>-9.8284474802550577</c:v>
                </c:pt>
                <c:pt idx="201">
                  <c:v>-9.8934337108298038</c:v>
                </c:pt>
                <c:pt idx="202">
                  <c:v>-9.9582249933958025</c:v>
                </c:pt>
                <c:pt idx="203">
                  <c:v>-10.0228238504833</c:v>
                </c:pt>
                <c:pt idx="204">
                  <c:v>-10.087232736778981</c:v>
                </c:pt>
                <c:pt idx="205">
                  <c:v>-10.151454040869343</c:v>
                </c:pt>
                <c:pt idx="206">
                  <c:v>-10.215490086941994</c:v>
                </c:pt>
                <c:pt idx="207">
                  <c:v>-10.279343136446219</c:v>
                </c:pt>
                <c:pt idx="208">
                  <c:v>-10.343015389713804</c:v>
                </c:pt>
                <c:pt idx="209">
                  <c:v>-10.406508987541297</c:v>
                </c:pt>
                <c:pt idx="210">
                  <c:v>-10.469826012734742</c:v>
                </c:pt>
                <c:pt idx="211">
                  <c:v>-10.532968491617929</c:v>
                </c:pt>
                <c:pt idx="212">
                  <c:v>-10.595938395504964</c:v>
                </c:pt>
                <c:pt idx="213">
                  <c:v>-10.658737642138369</c:v>
                </c:pt>
                <c:pt idx="214">
                  <c:v>-10.721368097093313</c:v>
                </c:pt>
                <c:pt idx="215">
                  <c:v>-10.783831575149023</c:v>
                </c:pt>
                <c:pt idx="216">
                  <c:v>-10.84612984162813</c:v>
                </c:pt>
                <c:pt idx="217">
                  <c:v>-10.90826461370475</c:v>
                </c:pt>
                <c:pt idx="218">
                  <c:v>-10.970237561682048</c:v>
                </c:pt>
                <c:pt idx="219">
                  <c:v>-11.032050310240084</c:v>
                </c:pt>
                <c:pt idx="220">
                  <c:v>-11.093704439654568</c:v>
                </c:pt>
                <c:pt idx="221">
                  <c:v>-11.155201486987261</c:v>
                </c:pt>
                <c:pt idx="222">
                  <c:v>-11.216542947248698</c:v>
                </c:pt>
                <c:pt idx="223">
                  <c:v>-11.277730274533834</c:v>
                </c:pt>
                <c:pt idx="224">
                  <c:v>-11.338764883131251</c:v>
                </c:pt>
                <c:pt idx="225">
                  <c:v>-11.399648148606538</c:v>
                </c:pt>
                <c:pt idx="226">
                  <c:v>-12.000433915132342</c:v>
                </c:pt>
                <c:pt idx="227">
                  <c:v>-12.587348709332529</c:v>
                </c:pt>
                <c:pt idx="228">
                  <c:v>-13.161273712729287</c:v>
                </c:pt>
                <c:pt idx="229">
                  <c:v>-13.722883399823306</c:v>
                </c:pt>
                <c:pt idx="230">
                  <c:v>-14.272701513920818</c:v>
                </c:pt>
                <c:pt idx="231">
                  <c:v>-14.811144105064875</c:v>
                </c:pt>
                <c:pt idx="232">
                  <c:v>-15.33855214597933</c:v>
                </c:pt>
                <c:pt idx="233">
                  <c:v>-15.855215833838429</c:v>
                </c:pt>
                <c:pt idx="234">
                  <c:v>-16.361392340807448</c:v>
                </c:pt>
                <c:pt idx="235">
                  <c:v>-16.857318475015266</c:v>
                </c:pt>
                <c:pt idx="236">
                  <c:v>-17.343219448578235</c:v>
                </c:pt>
                <c:pt idx="237">
                  <c:v>-17.819314718123938</c:v>
                </c:pt>
                <c:pt idx="238">
                  <c:v>-18.285821664837027</c:v>
                </c:pt>
                <c:pt idx="239">
                  <c:v>-18.742957713896804</c:v>
                </c:pt>
                <c:pt idx="240">
                  <c:v>-19.1909413550413</c:v>
                </c:pt>
                <c:pt idx="241">
                  <c:v>-19.629992413928562</c:v>
                </c:pt>
                <c:pt idx="242">
                  <c:v>-20.060331834627128</c:v>
                </c:pt>
                <c:pt idx="243">
                  <c:v>-20.482181163508827</c:v>
                </c:pt>
                <c:pt idx="244">
                  <c:v>-20.895761870731661</c:v>
                </c:pt>
                <c:pt idx="245">
                  <c:v>-21.301294604379365</c:v>
                </c:pt>
                <c:pt idx="246">
                  <c:v>-21.698998441531522</c:v>
                </c:pt>
                <c:pt idx="247">
                  <c:v>-22.089090177843069</c:v>
                </c:pt>
                <c:pt idx="248">
                  <c:v>-22.47178368076969</c:v>
                </c:pt>
                <c:pt idx="249">
                  <c:v>-22.847289319895165</c:v>
                </c:pt>
                <c:pt idx="250">
                  <c:v>-23.215813479713042</c:v>
                </c:pt>
                <c:pt idx="251">
                  <c:v>-23.577558154763132</c:v>
                </c:pt>
                <c:pt idx="252">
                  <c:v>-23.932720623507599</c:v>
                </c:pt>
                <c:pt idx="253">
                  <c:v>-24.281493195209066</c:v>
                </c:pt>
                <c:pt idx="254">
                  <c:v>-24.624063022934571</c:v>
                </c:pt>
                <c:pt idx="255">
                  <c:v>-24.960611975349778</c:v>
                </c:pt>
                <c:pt idx="256">
                  <c:v>-25.291316559964731</c:v>
                </c:pt>
                <c:pt idx="257">
                  <c:v>-25.616347890782706</c:v>
                </c:pt>
                <c:pt idx="258">
                  <c:v>-25.93587169377173</c:v>
                </c:pt>
                <c:pt idx="259">
                  <c:v>-26.250048344142691</c:v>
                </c:pt>
                <c:pt idx="260">
                  <c:v>-26.559032930021978</c:v>
                </c:pt>
                <c:pt idx="261">
                  <c:v>-26.862975337713483</c:v>
                </c:pt>
                <c:pt idx="262">
                  <c:v>-27.16202035432913</c:v>
                </c:pt>
                <c:pt idx="263">
                  <c:v>-27.456307784115769</c:v>
                </c:pt>
                <c:pt idx="264">
                  <c:v>-27.745972575309402</c:v>
                </c:pt>
                <c:pt idx="265">
                  <c:v>-28.031144954803541</c:v>
                </c:pt>
                <c:pt idx="266">
                  <c:v>-28.311950568325258</c:v>
                </c:pt>
                <c:pt idx="267">
                  <c:v>-28.588510624172866</c:v>
                </c:pt>
                <c:pt idx="268">
                  <c:v>-28.860942038885252</c:v>
                </c:pt>
                <c:pt idx="269">
                  <c:v>-29.129357583488186</c:v>
                </c:pt>
                <c:pt idx="270">
                  <c:v>-29.393866029201888</c:v>
                </c:pt>
                <c:pt idx="271">
                  <c:v>-29.654572291699459</c:v>
                </c:pt>
                <c:pt idx="272">
                  <c:v>-29.911577573182299</c:v>
                </c:pt>
                <c:pt idx="273">
                  <c:v>-30.164979501688805</c:v>
                </c:pt>
                <c:pt idx="274">
                  <c:v>-30.414872267180545</c:v>
                </c:pt>
                <c:pt idx="275">
                  <c:v>-30.661346754058066</c:v>
                </c:pt>
                <c:pt idx="276">
                  <c:v>-30.904490669849341</c:v>
                </c:pt>
                <c:pt idx="277">
                  <c:v>-31.144388669890052</c:v>
                </c:pt>
                <c:pt idx="278">
                  <c:v>-31.381122477878268</c:v>
                </c:pt>
                <c:pt idx="279">
                  <c:v>-31.614771002238719</c:v>
                </c:pt>
                <c:pt idx="280">
                  <c:v>-31.845410448274883</c:v>
                </c:pt>
                <c:pt idx="281">
                  <c:v>-32.073114426122594</c:v>
                </c:pt>
                <c:pt idx="282">
                  <c:v>-32.297954054547318</c:v>
                </c:pt>
                <c:pt idx="283">
                  <c:v>-32.519998060650188</c:v>
                </c:pt>
                <c:pt idx="284">
                  <c:v>-32.739312875565702</c:v>
                </c:pt>
                <c:pt idx="285">
                  <c:v>-32.955962726248288</c:v>
                </c:pt>
                <c:pt idx="286">
                  <c:v>-33.170009723455266</c:v>
                </c:pt>
                <c:pt idx="287">
                  <c:v>-33.381513946041522</c:v>
                </c:pt>
                <c:pt idx="288">
                  <c:v>-33.590533521686645</c:v>
                </c:pt>
                <c:pt idx="289">
                  <c:v>-33.797124704178742</c:v>
                </c:pt>
                <c:pt idx="290">
                  <c:v>-34.001341947380666</c:v>
                </c:pt>
                <c:pt idx="291">
                  <c:v>-34.203237976005319</c:v>
                </c:pt>
                <c:pt idx="292">
                  <c:v>-34.402863853325655</c:v>
                </c:pt>
                <c:pt idx="293">
                  <c:v>-34.600269045943854</c:v>
                </c:pt>
                <c:pt idx="294">
                  <c:v>-34.795501485742001</c:v>
                </c:pt>
                <c:pt idx="295">
                  <c:v>-34.988607629133625</c:v>
                </c:pt>
                <c:pt idx="296">
                  <c:v>-35.179632513732834</c:v>
                </c:pt>
                <c:pt idx="297">
                  <c:v>-35.368619812553924</c:v>
                </c:pt>
                <c:pt idx="298">
                  <c:v>-35.555611885851143</c:v>
                </c:pt>
                <c:pt idx="299">
                  <c:v>-35.740649830704115</c:v>
                </c:pt>
                <c:pt idx="300">
                  <c:v>-35.923773528450972</c:v>
                </c:pt>
                <c:pt idx="301">
                  <c:v>-36.105021690067026</c:v>
                </c:pt>
                <c:pt idx="302">
                  <c:v>-36.284431899582955</c:v>
                </c:pt>
                <c:pt idx="303">
                  <c:v>-36.462040655632855</c:v>
                </c:pt>
                <c:pt idx="304">
                  <c:v>-36.637883411218411</c:v>
                </c:pt>
                <c:pt idx="305">
                  <c:v>-36.811994611771588</c:v>
                </c:pt>
                <c:pt idx="306">
                  <c:v>-36.98440773159512</c:v>
                </c:pt>
                <c:pt idx="307">
                  <c:v>-37.155155308755795</c:v>
                </c:pt>
                <c:pt idx="308">
                  <c:v>-37.324268978502701</c:v>
                </c:pt>
                <c:pt idx="309">
                  <c:v>-37.491779505278892</c:v>
                </c:pt>
                <c:pt idx="310">
                  <c:v>-37.657716813391794</c:v>
                </c:pt>
                <c:pt idx="311">
                  <c:v>-37.822110016404757</c:v>
                </c:pt>
                <c:pt idx="312">
                  <c:v>-37.984987445308981</c:v>
                </c:pt>
                <c:pt idx="313">
                  <c:v>-38.146376675532146</c:v>
                </c:pt>
                <c:pt idx="314">
                  <c:v>-38.306304552837787</c:v>
                </c:pt>
                <c:pt idx="315">
                  <c:v>-38.464797218166183</c:v>
                </c:pt>
                <c:pt idx="316">
                  <c:v>-38.621880131465758</c:v>
                </c:pt>
                <c:pt idx="317">
                  <c:v>-38.777578094560994</c:v>
                </c:pt>
                <c:pt idx="318">
                  <c:v>-38.931915273101055</c:v>
                </c:pt>
                <c:pt idx="319">
                  <c:v>-39.0849152176309</c:v>
                </c:pt>
                <c:pt idx="320">
                  <c:v>-39.236600883824778</c:v>
                </c:pt>
                <c:pt idx="321">
                  <c:v>-39.386994651919935</c:v>
                </c:pt>
                <c:pt idx="322">
                  <c:v>-39.536118345386527</c:v>
                </c:pt>
                <c:pt idx="323">
                  <c:v>-39.683993248868106</c:v>
                </c:pt>
                <c:pt idx="324">
                  <c:v>-39.830640125425127</c:v>
                </c:pt>
                <c:pt idx="325">
                  <c:v>-39.976079233112664</c:v>
                </c:pt>
                <c:pt idx="326">
                  <c:v>-40.120330340921555</c:v>
                </c:pt>
                <c:pt idx="327">
                  <c:v>-40.263412744111385</c:v>
                </c:pt>
                <c:pt idx="328">
                  <c:v>-40.405345278961605</c:v>
                </c:pt>
                <c:pt idx="329">
                  <c:v>-40.54614633696665</c:v>
                </c:pt>
                <c:pt idx="330">
                  <c:v>-40.685833878498684</c:v>
                </c:pt>
                <c:pt idx="331">
                  <c:v>-40.824425445961595</c:v>
                </c:pt>
                <c:pt idx="332">
                  <c:v>-40.961938176457693</c:v>
                </c:pt>
                <c:pt idx="333">
                  <c:v>-41.098388813988116</c:v>
                </c:pt>
                <c:pt idx="334">
                  <c:v>-41.233793721206922</c:v>
                </c:pt>
                <c:pt idx="335">
                  <c:v>-41.368168890747718</c:v>
                </c:pt>
                <c:pt idx="336">
                  <c:v>-41.501529956140743</c:v>
                </c:pt>
                <c:pt idx="337">
                  <c:v>-41.633892202337833</c:v>
                </c:pt>
                <c:pt idx="338">
                  <c:v>-41.765270575861436</c:v>
                </c:pt>
                <c:pt idx="339">
                  <c:v>-41.895679694593355</c:v>
                </c:pt>
                <c:pt idx="340">
                  <c:v>-42.025133857218179</c:v>
                </c:pt>
                <c:pt idx="341">
                  <c:v>-42.153647052335437</c:v>
                </c:pt>
                <c:pt idx="342">
                  <c:v>-42.281232967254184</c:v>
                </c:pt>
                <c:pt idx="343">
                  <c:v>-42.407904996482813</c:v>
                </c:pt>
                <c:pt idx="344">
                  <c:v>-42.533676249926458</c:v>
                </c:pt>
                <c:pt idx="345">
                  <c:v>-42.658559560803766</c:v>
                </c:pt>
                <c:pt idx="346">
                  <c:v>-42.782567493294216</c:v>
                </c:pt>
                <c:pt idx="347">
                  <c:v>-42.905712349926802</c:v>
                </c:pt>
                <c:pt idx="348">
                  <c:v>-43.028006178720219</c:v>
                </c:pt>
                <c:pt idx="349">
                  <c:v>-43.149460780084333</c:v>
                </c:pt>
                <c:pt idx="350">
                  <c:v>-43.270087713492401</c:v>
                </c:pt>
                <c:pt idx="351">
                  <c:v>-43.389898303932803</c:v>
                </c:pt>
                <c:pt idx="352">
                  <c:v>-43.508903648149008</c:v>
                </c:pt>
                <c:pt idx="353">
                  <c:v>-43.627114620675727</c:v>
                </c:pt>
                <c:pt idx="354">
                  <c:v>-43.744541879679204</c:v>
                </c:pt>
                <c:pt idx="355">
                  <c:v>-43.861195872609116</c:v>
                </c:pt>
                <c:pt idx="356">
                  <c:v>-43.97708684166912</c:v>
                </c:pt>
                <c:pt idx="357">
                  <c:v>-44.092224829112936</c:v>
                </c:pt>
                <c:pt idx="358">
                  <c:v>-44.206619682372555</c:v>
                </c:pt>
                <c:pt idx="359">
                  <c:v>-44.320281059024765</c:v>
                </c:pt>
                <c:pt idx="360">
                  <c:v>-44.433218431601986</c:v>
                </c:pt>
                <c:pt idx="361">
                  <c:v>-44.545441092253199</c:v>
                </c:pt>
                <c:pt idx="362">
                  <c:v>-44.656958157260497</c:v>
                </c:pt>
                <c:pt idx="363">
                  <c:v>-44.7677785714164</c:v>
                </c:pt>
                <c:pt idx="364">
                  <c:v>-44.877911112267128</c:v>
                </c:pt>
                <c:pt idx="365">
                  <c:v>-44.987364394226631</c:v>
                </c:pt>
                <c:pt idx="366">
                  <c:v>-45.096146872565924</c:v>
                </c:pt>
                <c:pt idx="367">
                  <c:v>-45.204266847282341</c:v>
                </c:pt>
                <c:pt idx="368">
                  <c:v>-45.311732466852817</c:v>
                </c:pt>
                <c:pt idx="369">
                  <c:v>-45.418551731875468</c:v>
                </c:pt>
                <c:pt idx="370">
                  <c:v>-45.524732498603186</c:v>
                </c:pt>
                <c:pt idx="371">
                  <c:v>-45.630282482373204</c:v>
                </c:pt>
                <c:pt idx="372">
                  <c:v>-45.735209260936216</c:v>
                </c:pt>
                <c:pt idx="373">
                  <c:v>-45.839520277688393</c:v>
                </c:pt>
                <c:pt idx="374">
                  <c:v>-45.943222844809881</c:v>
                </c:pt>
                <c:pt idx="375">
                  <c:v>-46.046324146312685</c:v>
                </c:pt>
                <c:pt idx="376">
                  <c:v>-46.148831241001346</c:v>
                </c:pt>
                <c:pt idx="377">
                  <c:v>-46.250751065349085</c:v>
                </c:pt>
                <c:pt idx="378">
                  <c:v>-46.352090436292457</c:v>
                </c:pt>
                <c:pt idx="379">
                  <c:v>-46.452856053947123</c:v>
                </c:pt>
                <c:pt idx="380">
                  <c:v>-46.553054504247498</c:v>
                </c:pt>
                <c:pt idx="381">
                  <c:v>-46.652692261512676</c:v>
                </c:pt>
                <c:pt idx="382">
                  <c:v>-46.751775690941109</c:v>
                </c:pt>
                <c:pt idx="383">
                  <c:v>-46.850311051036471</c:v>
                </c:pt>
                <c:pt idx="384">
                  <c:v>-46.948304495966809</c:v>
                </c:pt>
                <c:pt idx="385">
                  <c:v>-47.045762077859258</c:v>
                </c:pt>
                <c:pt idx="386">
                  <c:v>-47.142689749032357</c:v>
                </c:pt>
                <c:pt idx="387">
                  <c:v>-47.239093364168035</c:v>
                </c:pt>
                <c:pt idx="388">
                  <c:v>-47.334978682425053</c:v>
                </c:pt>
                <c:pt idx="389">
                  <c:v>-47.430351369496023</c:v>
                </c:pt>
                <c:pt idx="390">
                  <c:v>-47.525216999609519</c:v>
                </c:pt>
                <c:pt idx="391">
                  <c:v>-47.619581057479166</c:v>
                </c:pt>
                <c:pt idx="392">
                  <c:v>-47.713448940201395</c:v>
                </c:pt>
                <c:pt idx="393">
                  <c:v>-47.806825959103406</c:v>
                </c:pt>
                <c:pt idx="394">
                  <c:v>-47.899717341542797</c:v>
                </c:pt>
                <c:pt idx="395">
                  <c:v>-47.992128232660647</c:v>
                </c:pt>
                <c:pt idx="396">
                  <c:v>-48.084063697089157</c:v>
                </c:pt>
                <c:pt idx="397">
                  <c:v>-48.175528720615411</c:v>
                </c:pt>
                <c:pt idx="398">
                  <c:v>-48.266528211802601</c:v>
                </c:pt>
                <c:pt idx="399">
                  <c:v>-48.357067003570016</c:v>
                </c:pt>
                <c:pt idx="400">
                  <c:v>-48.447149854732857</c:v>
                </c:pt>
                <c:pt idx="401">
                  <c:v>-48.53678145150343</c:v>
                </c:pt>
                <c:pt idx="402">
                  <c:v>-48.625966408954504</c:v>
                </c:pt>
                <c:pt idx="403">
                  <c:v>-48.714709272446221</c:v>
                </c:pt>
                <c:pt idx="404">
                  <c:v>-48.803014519017566</c:v>
                </c:pt>
                <c:pt idx="405">
                  <c:v>-48.890886558743354</c:v>
                </c:pt>
                <c:pt idx="406">
                  <c:v>-48.978329736057887</c:v>
                </c:pt>
                <c:pt idx="407">
                  <c:v>-49.065348331046167</c:v>
                </c:pt>
                <c:pt idx="408">
                  <c:v>-49.151946560703614</c:v>
                </c:pt>
                <c:pt idx="409">
                  <c:v>-49.238128580165267</c:v>
                </c:pt>
                <c:pt idx="410">
                  <c:v>-49.323898483905246</c:v>
                </c:pt>
                <c:pt idx="411">
                  <c:v>-49.409260306907399</c:v>
                </c:pt>
                <c:pt idx="412">
                  <c:v>-49.494218025808003</c:v>
                </c:pt>
                <c:pt idx="413">
                  <c:v>-49.578775560011138</c:v>
                </c:pt>
                <c:pt idx="414">
                  <c:v>-49.662936772777719</c:v>
                </c:pt>
                <c:pt idx="415">
                  <c:v>-49.746705472288824</c:v>
                </c:pt>
                <c:pt idx="416">
                  <c:v>-49.830085412683964</c:v>
                </c:pt>
                <c:pt idx="417">
                  <c:v>-49.91308029507519</c:v>
                </c:pt>
                <c:pt idx="418">
                  <c:v>-49.995693768537507</c:v>
                </c:pt>
                <c:pt idx="419">
                  <c:v>-50.077929431076413</c:v>
                </c:pt>
                <c:pt idx="420">
                  <c:v>-50.159790830573044</c:v>
                </c:pt>
                <c:pt idx="421">
                  <c:v>-50.241281465707743</c:v>
                </c:pt>
                <c:pt idx="422">
                  <c:v>-50.322404786862329</c:v>
                </c:pt>
                <c:pt idx="423">
                  <c:v>-50.403164197002013</c:v>
                </c:pt>
                <c:pt idx="424">
                  <c:v>-50.483563052537278</c:v>
                </c:pt>
                <c:pt idx="425">
                  <c:v>-50.563604664166213</c:v>
                </c:pt>
                <c:pt idx="426">
                  <c:v>-50.643292297698139</c:v>
                </c:pt>
                <c:pt idx="427">
                  <c:v>-50.722629174858575</c:v>
                </c:pt>
                <c:pt idx="428">
                  <c:v>-50.801618474076513</c:v>
                </c:pt>
                <c:pt idx="429">
                  <c:v>-50.880263331254071</c:v>
                </c:pt>
                <c:pt idx="430">
                  <c:v>-50.958566840519303</c:v>
                </c:pt>
                <c:pt idx="431">
                  <c:v>-51.036532054962279</c:v>
                </c:pt>
                <c:pt idx="432">
                  <c:v>-51.114161987355274</c:v>
                </c:pt>
                <c:pt idx="433">
                  <c:v>-51.191459610857173</c:v>
                </c:pt>
                <c:pt idx="434">
                  <c:v>-51.268427859702477</c:v>
                </c:pt>
                <c:pt idx="435">
                  <c:v>-51.345069629875667</c:v>
                </c:pt>
                <c:pt idx="436">
                  <c:v>-51.421387779770868</c:v>
                </c:pt>
                <c:pt idx="437">
                  <c:v>-51.497385130837429</c:v>
                </c:pt>
                <c:pt idx="438">
                  <c:v>-51.573064468211804</c:v>
                </c:pt>
                <c:pt idx="439">
                  <c:v>-51.648428541335932</c:v>
                </c:pt>
                <c:pt idx="440">
                  <c:v>-51.723480064562573</c:v>
                </c:pt>
                <c:pt idx="441">
                  <c:v>-51.79822171774785</c:v>
                </c:pt>
                <c:pt idx="442">
                  <c:v>-51.87265614683146</c:v>
                </c:pt>
                <c:pt idx="443">
                  <c:v>-51.946785964404619</c:v>
                </c:pt>
                <c:pt idx="444">
                  <c:v>-52.020613750266314</c:v>
                </c:pt>
                <c:pt idx="445">
                  <c:v>-52.094142051967992</c:v>
                </c:pt>
                <c:pt idx="446">
                  <c:v>-52.167373385346956</c:v>
                </c:pt>
                <c:pt idx="447">
                  <c:v>-52.240310235048888</c:v>
                </c:pt>
                <c:pt idx="448">
                  <c:v>-52.312955055039573</c:v>
                </c:pt>
                <c:pt idx="449">
                  <c:v>-52.385310269106299</c:v>
                </c:pt>
                <c:pt idx="450">
                  <c:v>-52.457378271348986</c:v>
                </c:pt>
                <c:pt idx="451">
                  <c:v>-52.529161426661418</c:v>
                </c:pt>
                <c:pt idx="452">
                  <c:v>-52.600662071202784</c:v>
                </c:pt>
                <c:pt idx="453">
                  <c:v>-52.67188251285976</c:v>
                </c:pt>
                <c:pt idx="454">
                  <c:v>-52.742825031699311</c:v>
                </c:pt>
                <c:pt idx="455">
                  <c:v>-52.813491880412556</c:v>
                </c:pt>
                <c:pt idx="456">
                  <c:v>-52.883885284749759</c:v>
                </c:pt>
                <c:pt idx="457">
                  <c:v>-52.954007443946757</c:v>
                </c:pt>
                <c:pt idx="458">
                  <c:v>-53.023860531142986</c:v>
                </c:pt>
                <c:pt idx="459">
                  <c:v>-53.093446693791378</c:v>
                </c:pt>
                <c:pt idx="460">
                  <c:v>-53.162768054060138</c:v>
                </c:pt>
                <c:pt idx="461">
                  <c:v>-53.23182670922678</c:v>
                </c:pt>
                <c:pt idx="462">
                  <c:v>-53.300624732064541</c:v>
                </c:pt>
                <c:pt idx="463">
                  <c:v>-53.369164171221314</c:v>
                </c:pt>
                <c:pt idx="464">
                  <c:v>-53.437447051591221</c:v>
                </c:pt>
                <c:pt idx="465">
                  <c:v>-53.505475374679264</c:v>
                </c:pt>
                <c:pt idx="466">
                  <c:v>-53.573251118958794</c:v>
                </c:pt>
                <c:pt idx="467">
                  <c:v>-53.640776240222301</c:v>
                </c:pt>
                <c:pt idx="468">
                  <c:v>-53.708052671925586</c:v>
                </c:pt>
                <c:pt idx="469">
                  <c:v>-53.775082325525347</c:v>
                </c:pt>
                <c:pt idx="470">
                  <c:v>-53.841867090810481</c:v>
                </c:pt>
                <c:pt idx="471">
                  <c:v>-53.908408836227181</c:v>
                </c:pt>
                <c:pt idx="472">
                  <c:v>-53.974709409197921</c:v>
                </c:pt>
                <c:pt idx="473">
                  <c:v>-54.040770636434587</c:v>
                </c:pt>
                <c:pt idx="474">
                  <c:v>-54.106594324245705</c:v>
                </c:pt>
                <c:pt idx="475">
                  <c:v>-54.172182258838106</c:v>
                </c:pt>
                <c:pt idx="476">
                  <c:v>-54.237536206612951</c:v>
                </c:pt>
                <c:pt idx="477">
                  <c:v>-54.302657914456418</c:v>
                </c:pt>
                <c:pt idx="478">
                  <c:v>-54.367549110024981</c:v>
                </c:pt>
                <c:pt idx="479">
                  <c:v>-54.432211502025602</c:v>
                </c:pt>
                <c:pt idx="480">
                  <c:v>-54.496646780490792</c:v>
                </c:pt>
                <c:pt idx="481">
                  <c:v>-54.560856617048721</c:v>
                </c:pt>
                <c:pt idx="482">
                  <c:v>-54.62484266518841</c:v>
                </c:pt>
                <c:pt idx="483">
                  <c:v>-54.688606560520256</c:v>
                </c:pt>
                <c:pt idx="484">
                  <c:v>-54.752149921031886</c:v>
                </c:pt>
                <c:pt idx="485">
                  <c:v>-54.815474347339347</c:v>
                </c:pt>
                <c:pt idx="486">
                  <c:v>-54.878581422934033</c:v>
                </c:pt>
                <c:pt idx="487">
                  <c:v>-54.941472714425011</c:v>
                </c:pt>
                <c:pt idx="488">
                  <c:v>-55.00414977177735</c:v>
                </c:pt>
                <c:pt idx="489">
                  <c:v>-55.06661412854595</c:v>
                </c:pt>
                <c:pt idx="490">
                  <c:v>-55.128867302105633</c:v>
                </c:pt>
                <c:pt idx="491">
                  <c:v>-55.190910793876853</c:v>
                </c:pt>
                <c:pt idx="492">
                  <c:v>-55.252746089547813</c:v>
                </c:pt>
                <c:pt idx="493">
                  <c:v>-55.314374659292525</c:v>
                </c:pt>
                <c:pt idx="494">
                  <c:v>-55.375797957985178</c:v>
                </c:pt>
                <c:pt idx="495">
                  <c:v>-55.437017425410829</c:v>
                </c:pt>
                <c:pt idx="496">
                  <c:v>-55.498034486472463</c:v>
                </c:pt>
                <c:pt idx="497">
                  <c:v>-55.558850551394521</c:v>
                </c:pt>
                <c:pt idx="498">
                  <c:v>-55.619467015922964</c:v>
                </c:pt>
                <c:pt idx="499">
                  <c:v>-55.679885261521932</c:v>
                </c:pt>
                <c:pt idx="500">
                  <c:v>-55.740106655567146</c:v>
                </c:pt>
                <c:pt idx="501">
                  <c:v>-55.800132551535896</c:v>
                </c:pt>
                <c:pt idx="502">
                  <c:v>-55.859964289194025</c:v>
                </c:pt>
                <c:pt idx="503">
                  <c:v>-55.919603194779654</c:v>
                </c:pt>
                <c:pt idx="504">
                  <c:v>-55.979050581183863</c:v>
                </c:pt>
                <c:pt idx="505">
                  <c:v>-56.038307748128446</c:v>
                </c:pt>
                <c:pt idx="506">
                  <c:v>-56.09737598234058</c:v>
                </c:pt>
                <c:pt idx="507">
                  <c:v>-56.156256557724753</c:v>
                </c:pt>
                <c:pt idx="508">
                  <c:v>-56.214950735531772</c:v>
                </c:pt>
                <c:pt idx="509">
                  <c:v>-56.273459764525029</c:v>
                </c:pt>
                <c:pt idx="510">
                  <c:v>-56.331784881144003</c:v>
                </c:pt>
                <c:pt idx="511">
                  <c:v>-56.389927309665175</c:v>
                </c:pt>
                <c:pt idx="512">
                  <c:v>-56.44788826236028</c:v>
                </c:pt>
                <c:pt idx="513">
                  <c:v>-56.505668939651969</c:v>
                </c:pt>
                <c:pt idx="514">
                  <c:v>-56.563270530267012</c:v>
                </c:pt>
                <c:pt idx="515">
                  <c:v>-56.620694211387033</c:v>
                </c:pt>
                <c:pt idx="516">
                  <c:v>-56.67794114879672</c:v>
                </c:pt>
                <c:pt idx="517">
                  <c:v>-56.735012497029857</c:v>
                </c:pt>
                <c:pt idx="518">
                  <c:v>-56.791909399512846</c:v>
                </c:pt>
                <c:pt idx="519">
                  <c:v>-56.848632988706044</c:v>
                </c:pt>
                <c:pt idx="520">
                  <c:v>-56.905184386242844</c:v>
                </c:pt>
                <c:pt idx="521">
                  <c:v>-56.961564703066529</c:v>
                </c:pt>
                <c:pt idx="522">
                  <c:v>-57.017775039565009</c:v>
                </c:pt>
                <c:pt idx="523">
                  <c:v>-57.073816485703468</c:v>
                </c:pt>
                <c:pt idx="524">
                  <c:v>-57.129690121154802</c:v>
                </c:pt>
                <c:pt idx="525">
                  <c:v>-57.185397015428237</c:v>
                </c:pt>
                <c:pt idx="526">
                  <c:v>-57.240938227995734</c:v>
                </c:pt>
                <c:pt idx="527">
                  <c:v>-57.296314808416547</c:v>
                </c:pt>
                <c:pt idx="528">
                  <c:v>-57.351527796459905</c:v>
                </c:pt>
                <c:pt idx="529">
                  <c:v>-57.406578222225633</c:v>
                </c:pt>
                <c:pt idx="530">
                  <c:v>-57.461467106263093</c:v>
                </c:pt>
                <c:pt idx="531">
                  <c:v>-57.516195459688234</c:v>
                </c:pt>
                <c:pt idx="532">
                  <c:v>-57.570764284298797</c:v>
                </c:pt>
                <c:pt idx="533">
                  <c:v>-57.625174572687918</c:v>
                </c:pt>
                <c:pt idx="534">
                  <c:v>-57.679427308355827</c:v>
                </c:pt>
                <c:pt idx="535">
                  <c:v>-57.733523465819985</c:v>
                </c:pt>
                <c:pt idx="536">
                  <c:v>-57.787464010723532</c:v>
                </c:pt>
                <c:pt idx="537">
                  <c:v>-57.841249899942056</c:v>
                </c:pt>
                <c:pt idx="538">
                  <c:v>-57.894882081688841</c:v>
                </c:pt>
                <c:pt idx="539">
                  <c:v>-57.948361495618457</c:v>
                </c:pt>
                <c:pt idx="540">
                  <c:v>-58.001689072928862</c:v>
                </c:pt>
                <c:pt idx="541">
                  <c:v>-58.05486573646202</c:v>
                </c:pt>
                <c:pt idx="542">
                  <c:v>-58.107892400802861</c:v>
                </c:pt>
                <c:pt idx="543">
                  <c:v>-58.160769972377047</c:v>
                </c:pt>
                <c:pt idx="544">
                  <c:v>-58.213499349547028</c:v>
                </c:pt>
                <c:pt idx="545">
                  <c:v>-58.26608142270689</c:v>
                </c:pt>
                <c:pt idx="546">
                  <c:v>-58.318517074375706</c:v>
                </c:pt>
                <c:pt idx="547">
                  <c:v>-58.370807179289514</c:v>
                </c:pt>
                <c:pt idx="548">
                  <c:v>-58.422952604492068</c:v>
                </c:pt>
                <c:pt idx="549">
                  <c:v>-58.474954209424155</c:v>
                </c:pt>
                <c:pt idx="550">
                  <c:v>-58.526812846011637</c:v>
                </c:pt>
                <c:pt idx="551">
                  <c:v>-58.578529358752299</c:v>
                </c:pt>
                <c:pt idx="552">
                  <c:v>-58.630104584801401</c:v>
                </c:pt>
                <c:pt idx="553">
                  <c:v>-58.681539354055907</c:v>
                </c:pt>
                <c:pt idx="554">
                  <c:v>-58.732834489237725</c:v>
                </c:pt>
                <c:pt idx="555">
                  <c:v>-58.783990805975549</c:v>
                </c:pt>
                <c:pt idx="556">
                  <c:v>-58.835009112885629</c:v>
                </c:pt>
                <c:pt idx="557">
                  <c:v>-58.885890211651429</c:v>
                </c:pt>
                <c:pt idx="558">
                  <c:v>-58.936634897102074</c:v>
                </c:pt>
                <c:pt idx="559">
                  <c:v>-58.987243957289763</c:v>
                </c:pt>
                <c:pt idx="560">
                  <c:v>-59.037718173566049</c:v>
                </c:pt>
                <c:pt idx="561">
                  <c:v>-59.088058320657055</c:v>
                </c:pt>
                <c:pt idx="562">
                  <c:v>-59.138265166737661</c:v>
                </c:pt>
                <c:pt idx="563">
                  <c:v>-59.188339473504655</c:v>
                </c:pt>
                <c:pt idx="564">
                  <c:v>-59.238281996248816</c:v>
                </c:pt>
                <c:pt idx="565">
                  <c:v>-59.288093483926055</c:v>
                </c:pt>
                <c:pt idx="566">
                  <c:v>-59.33777467922755</c:v>
                </c:pt>
                <c:pt idx="567">
                  <c:v>-59.387326318648931</c:v>
                </c:pt>
                <c:pt idx="568">
                  <c:v>-59.43674913255844</c:v>
                </c:pt>
                <c:pt idx="569">
                  <c:v>-59.486043845264298</c:v>
                </c:pt>
                <c:pt idx="570">
                  <c:v>-59.535211175080988</c:v>
                </c:pt>
                <c:pt idx="571">
                  <c:v>-59.584251834394749</c:v>
                </c:pt>
                <c:pt idx="572">
                  <c:v>-59.633166529728143</c:v>
                </c:pt>
                <c:pt idx="573">
                  <c:v>-59.681955961803716</c:v>
                </c:pt>
                <c:pt idx="574">
                  <c:v>-59.730620825606842</c:v>
                </c:pt>
                <c:pt idx="575">
                  <c:v>-59.779161810447697</c:v>
                </c:pt>
                <c:pt idx="576">
                  <c:v>-59.827579600022425</c:v>
                </c:pt>
                <c:pt idx="577">
                  <c:v>-59.875874872473425</c:v>
                </c:pt>
                <c:pt idx="578">
                  <c:v>-59.924048300448874</c:v>
                </c:pt>
                <c:pt idx="579">
                  <c:v>-59.972100551161482</c:v>
                </c:pt>
                <c:pt idx="580">
                  <c:v>-60.02003228644638</c:v>
                </c:pt>
                <c:pt idx="581">
                  <c:v>-60.067844162818318</c:v>
                </c:pt>
                <c:pt idx="582">
                  <c:v>-60.115536831528082</c:v>
                </c:pt>
                <c:pt idx="583">
                  <c:v>-60.163110938618154</c:v>
                </c:pt>
                <c:pt idx="584">
                  <c:v>-60.210567124977608</c:v>
                </c:pt>
                <c:pt idx="585">
                  <c:v>-60.257906026396384</c:v>
                </c:pt>
                <c:pt idx="586">
                  <c:v>-60.305128273618763</c:v>
                </c:pt>
                <c:pt idx="587">
                  <c:v>-60.352234492396157</c:v>
                </c:pt>
                <c:pt idx="588">
                  <c:v>-60.399225303539197</c:v>
                </c:pt>
                <c:pt idx="589">
                  <c:v>-60.446101322969213</c:v>
                </c:pt>
                <c:pt idx="590">
                  <c:v>-60.492863161769023</c:v>
                </c:pt>
                <c:pt idx="591">
                  <c:v>-60.539511426232949</c:v>
                </c:pt>
                <c:pt idx="592">
                  <c:v>-60.586046717916375</c:v>
                </c:pt>
                <c:pt idx="593">
                  <c:v>-60.632469633684529</c:v>
                </c:pt>
                <c:pt idx="594">
                  <c:v>-60.678780765760663</c:v>
                </c:pt>
                <c:pt idx="595">
                  <c:v>-60.724980701773703</c:v>
                </c:pt>
                <c:pt idx="596">
                  <c:v>-60.771070024805162</c:v>
                </c:pt>
                <c:pt idx="597">
                  <c:v>-60.817049313435533</c:v>
                </c:pt>
                <c:pt idx="598">
                  <c:v>-60.862919141790101</c:v>
                </c:pt>
                <c:pt idx="599">
                  <c:v>-60.908680079584101</c:v>
                </c:pt>
                <c:pt idx="600">
                  <c:v>-60.954332692167405</c:v>
                </c:pt>
                <c:pt idx="601">
                  <c:v>-60.999877540568576</c:v>
                </c:pt>
                <c:pt idx="602">
                  <c:v>-61.045315181538349</c:v>
                </c:pt>
                <c:pt idx="603">
                  <c:v>-61.090646167592666</c:v>
                </c:pt>
                <c:pt idx="604">
                  <c:v>-61.135871047055083</c:v>
                </c:pt>
                <c:pt idx="605">
                  <c:v>-61.180990364098626</c:v>
                </c:pt>
                <c:pt idx="606">
                  <c:v>-63.31329381187895</c:v>
                </c:pt>
                <c:pt idx="607">
                  <c:v>-65.238075677012958</c:v>
                </c:pt>
                <c:pt idx="608">
                  <c:v>-66.995949239191091</c:v>
                </c:pt>
                <c:pt idx="609">
                  <c:v>-68.616746869501895</c:v>
                </c:pt>
                <c:pt idx="610">
                  <c:v>-70.122983499609447</c:v>
                </c:pt>
                <c:pt idx="611">
                  <c:v>-71.53203597687407</c:v>
                </c:pt>
                <c:pt idx="612">
                  <c:v>-72.85757074829904</c:v>
                </c:pt>
                <c:pt idx="613">
                  <c:v>-74.110511148008072</c:v>
                </c:pt>
                <c:pt idx="614">
                  <c:v>-75.299711697635445</c:v>
                </c:pt>
                <c:pt idx="615">
                  <c:v>-76.432439751263828</c:v>
                </c:pt>
                <c:pt idx="616">
                  <c:v>-77.514726820811134</c:v>
                </c:pt>
                <c:pt idx="617">
                  <c:v>-78.551629545312878</c:v>
                </c:pt>
                <c:pt idx="618">
                  <c:v>-78.953847292882728</c:v>
                </c:pt>
                <c:pt idx="619">
                  <c:v>-79.349751484059809</c:v>
                </c:pt>
                <c:pt idx="620">
                  <c:v>-79.739572339310584</c:v>
                </c:pt>
                <c:pt idx="621">
                  <c:v>-80.123526426041678</c:v>
                </c:pt>
                <c:pt idx="622">
                  <c:v>-80.501817718788715</c:v>
                </c:pt>
                <c:pt idx="623">
                  <c:v>-80.87463856144511</c:v>
                </c:pt>
                <c:pt idx="624">
                  <c:v>-81.242170541966047</c:v>
                </c:pt>
                <c:pt idx="625">
                  <c:v>-81.604585288715867</c:v>
                </c:pt>
                <c:pt idx="626">
                  <c:v>-81.962045196533055</c:v>
                </c:pt>
                <c:pt idx="627">
                  <c:v>-82.314704089641083</c:v>
                </c:pt>
                <c:pt idx="628">
                  <c:v>-82.662707827711642</c:v>
                </c:pt>
                <c:pt idx="629">
                  <c:v>-83.00619486067221</c:v>
                </c:pt>
                <c:pt idx="630">
                  <c:v>-83.345296737227073</c:v>
                </c:pt>
                <c:pt idx="631">
                  <c:v>-83.680138571514377</c:v>
                </c:pt>
                <c:pt idx="632">
                  <c:v>-84.010839471845742</c:v>
                </c:pt>
                <c:pt idx="633">
                  <c:v>-84.337512935053653</c:v>
                </c:pt>
                <c:pt idx="634">
                  <c:v>-84.660267209602665</c:v>
                </c:pt>
                <c:pt idx="635">
                  <c:v>-84.979205630294885</c:v>
                </c:pt>
                <c:pt idx="636">
                  <c:v>-85.294426927110706</c:v>
                </c:pt>
                <c:pt idx="637">
                  <c:v>-85.606025510471227</c:v>
                </c:pt>
                <c:pt idx="638">
                  <c:v>-85.914091734981611</c:v>
                </c:pt>
                <c:pt idx="639">
                  <c:v>-86.218712143512988</c:v>
                </c:pt>
                <c:pt idx="640">
                  <c:v>-86.519969693300979</c:v>
                </c:pt>
                <c:pt idx="641">
                  <c:v>-86.817943965578792</c:v>
                </c:pt>
                <c:pt idx="642">
                  <c:v>-87.112711360119377</c:v>
                </c:pt>
                <c:pt idx="643">
                  <c:v>-87.404345275932826</c:v>
                </c:pt>
                <c:pt idx="644">
                  <c:v>-87.692916279250994</c:v>
                </c:pt>
                <c:pt idx="645">
                  <c:v>-87.978492259826936</c:v>
                </c:pt>
                <c:pt idx="646">
                  <c:v>-88.26113857648528</c:v>
                </c:pt>
                <c:pt idx="647">
                  <c:v>-88.540918192774967</c:v>
                </c:pt>
                <c:pt idx="648">
                  <c:v>-88.817891803501567</c:v>
                </c:pt>
                <c:pt idx="649">
                  <c:v>-89.092117952847644</c:v>
                </c:pt>
                <c:pt idx="650">
                  <c:v>-89.363653144728644</c:v>
                </c:pt>
                <c:pt idx="651">
                  <c:v>-89.632551945976203</c:v>
                </c:pt>
                <c:pt idx="652">
                  <c:v>-89.898867082890504</c:v>
                </c:pt>
                <c:pt idx="653">
                  <c:v>-90.162649531657536</c:v>
                </c:pt>
                <c:pt idx="654">
                  <c:v>-90.423948603086032</c:v>
                </c:pt>
                <c:pt idx="655">
                  <c:v>-90.682812022080981</c:v>
                </c:pt>
                <c:pt idx="656">
                  <c:v>-90.939286002236656</c:v>
                </c:pt>
                <c:pt idx="657">
                  <c:v>-91.193415315900879</c:v>
                </c:pt>
                <c:pt idx="658">
                  <c:v>-91.445243360033871</c:v>
                </c:pt>
                <c:pt idx="659">
                  <c:v>-91.694812218159413</c:v>
                </c:pt>
                <c:pt idx="660">
                  <c:v>-91.942162718682127</c:v>
                </c:pt>
                <c:pt idx="661">
                  <c:v>-92.187334489823485</c:v>
                </c:pt>
                <c:pt idx="662">
                  <c:v>-92.430366011409347</c:v>
                </c:pt>
                <c:pt idx="663">
                  <c:v>-92.6712946637236</c:v>
                </c:pt>
                <c:pt idx="664">
                  <c:v>-92.910156773626539</c:v>
                </c:pt>
                <c:pt idx="665">
                  <c:v>-93.14698765812102</c:v>
                </c:pt>
                <c:pt idx="666">
                  <c:v>-93.381821665535639</c:v>
                </c:pt>
                <c:pt idx="667">
                  <c:v>-93.614692214482005</c:v>
                </c:pt>
              </c:numCache>
            </c:numRef>
          </c:yVal>
          <c:smooth val="1"/>
          <c:extLst>
            <c:ext xmlns:c16="http://schemas.microsoft.com/office/drawing/2014/chart" uri="{C3380CC4-5D6E-409C-BE32-E72D297353CC}">
              <c16:uniqueId val="{00000001-C323-45F5-AD89-2A9969707A73}"/>
            </c:ext>
          </c:extLst>
        </c:ser>
        <c:dLbls>
          <c:showLegendKey val="0"/>
          <c:showVal val="0"/>
          <c:showCatName val="0"/>
          <c:showSerName val="0"/>
          <c:showPercent val="0"/>
          <c:showBubbleSize val="0"/>
        </c:dLbls>
        <c:axId val="177420544"/>
        <c:axId val="177426816"/>
      </c:scatterChart>
      <c:scatterChart>
        <c:scatterStyle val="lineMarker"/>
        <c:varyColors val="0"/>
        <c:ser>
          <c:idx val="1"/>
          <c:order val="1"/>
          <c:tx>
            <c:v>PhaseMargin</c:v>
          </c:tx>
          <c:spPr>
            <a:ln w="12700">
              <a:solidFill>
                <a:srgbClr val="000000"/>
              </a:solidFill>
              <a:prstDash val="lgDash"/>
            </a:ln>
          </c:spPr>
          <c:marker>
            <c:symbol val="square"/>
            <c:size val="3"/>
            <c:spPr>
              <a:noFill/>
              <a:ln w="9525">
                <a:noFill/>
              </a:ln>
            </c:spPr>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Calculations'!$Z$9:$Z$676</c:f>
              <c:numCache>
                <c:formatCode>General</c:formatCode>
                <c:ptCount val="668"/>
                <c:pt idx="0">
                  <c:v>90.022869820931589</c:v>
                </c:pt>
                <c:pt idx="1">
                  <c:v>90.045739637927966</c:v>
                </c:pt>
                <c:pt idx="2">
                  <c:v>90.068609447053916</c:v>
                </c:pt>
                <c:pt idx="3">
                  <c:v>90.091479244374227</c:v>
                </c:pt>
                <c:pt idx="4">
                  <c:v>90.114349025953672</c:v>
                </c:pt>
                <c:pt idx="5">
                  <c:v>90.13721878785708</c:v>
                </c:pt>
                <c:pt idx="6">
                  <c:v>90.160088526149238</c:v>
                </c:pt>
                <c:pt idx="7">
                  <c:v>90.182958236894962</c:v>
                </c:pt>
                <c:pt idx="8">
                  <c:v>90.20582791615908</c:v>
                </c:pt>
                <c:pt idx="9">
                  <c:v>90.228697560006466</c:v>
                </c:pt>
                <c:pt idx="10">
                  <c:v>90.457391184834833</c:v>
                </c:pt>
                <c:pt idx="11">
                  <c:v>90.686076939461429</c:v>
                </c:pt>
                <c:pt idx="12">
                  <c:v>90.91475088917133</c:v>
                </c:pt>
                <c:pt idx="13">
                  <c:v>91.143409099712656</c:v>
                </c:pt>
                <c:pt idx="14">
                  <c:v>91.372047637450621</c:v>
                </c:pt>
                <c:pt idx="15">
                  <c:v>91.60066256952156</c:v>
                </c:pt>
                <c:pt idx="16">
                  <c:v>91.829249963986541</c:v>
                </c:pt>
                <c:pt idx="17">
                  <c:v>92.057805889984834</c:v>
                </c:pt>
                <c:pt idx="18">
                  <c:v>92.286326417886926</c:v>
                </c:pt>
                <c:pt idx="19">
                  <c:v>94.568721467726448</c:v>
                </c:pt>
                <c:pt idx="20">
                  <c:v>96.843269065668068</c:v>
                </c:pt>
                <c:pt idx="21">
                  <c:v>99.106083225747142</c:v>
                </c:pt>
                <c:pt idx="22">
                  <c:v>101.35332194332175</c:v>
                </c:pt>
                <c:pt idx="23">
                  <c:v>103.58119970926718</c:v>
                </c:pt>
                <c:pt idx="24">
                  <c:v>105.78599824518744</c:v>
                </c:pt>
                <c:pt idx="25">
                  <c:v>107.96407508553798</c:v>
                </c:pt>
                <c:pt idx="26">
                  <c:v>110.11186967197624</c:v>
                </c:pt>
                <c:pt idx="27">
                  <c:v>112.2259066655451</c:v>
                </c:pt>
                <c:pt idx="28">
                  <c:v>122.1738096275742</c:v>
                </c:pt>
                <c:pt idx="29">
                  <c:v>130.79604261612641</c:v>
                </c:pt>
                <c:pt idx="30">
                  <c:v>137.6871770978442</c:v>
                </c:pt>
                <c:pt idx="31">
                  <c:v>142.3097725896543</c:v>
                </c:pt>
                <c:pt idx="32">
                  <c:v>143.71674353533058</c:v>
                </c:pt>
                <c:pt idx="33">
                  <c:v>139.95124572352617</c:v>
                </c:pt>
                <c:pt idx="34">
                  <c:v>127.16643026467571</c:v>
                </c:pt>
                <c:pt idx="35">
                  <c:v>102.63267240161962</c:v>
                </c:pt>
                <c:pt idx="36">
                  <c:v>77.336358828933058</c:v>
                </c:pt>
                <c:pt idx="37">
                  <c:v>62.486556889225682</c:v>
                </c:pt>
                <c:pt idx="38">
                  <c:v>55.449129597694011</c:v>
                </c:pt>
                <c:pt idx="39">
                  <c:v>52.325965448538838</c:v>
                </c:pt>
                <c:pt idx="40">
                  <c:v>51.126133048526128</c:v>
                </c:pt>
                <c:pt idx="41">
                  <c:v>50.912679450404681</c:v>
                </c:pt>
                <c:pt idx="42">
                  <c:v>51.222033364938198</c:v>
                </c:pt>
                <c:pt idx="43">
                  <c:v>51.810358887230848</c:v>
                </c:pt>
                <c:pt idx="44">
                  <c:v>52.542770563057644</c:v>
                </c:pt>
                <c:pt idx="45">
                  <c:v>53.34186114209534</c:v>
                </c:pt>
                <c:pt idx="46">
                  <c:v>54.162153215143334</c:v>
                </c:pt>
                <c:pt idx="47">
                  <c:v>54.976653173439388</c:v>
                </c:pt>
                <c:pt idx="48">
                  <c:v>55.769416207965335</c:v>
                </c:pt>
                <c:pt idx="49">
                  <c:v>56.531263223999133</c:v>
                </c:pt>
                <c:pt idx="50">
                  <c:v>57.257228901450048</c:v>
                </c:pt>
                <c:pt idx="51">
                  <c:v>57.944998735396965</c:v>
                </c:pt>
                <c:pt idx="52">
                  <c:v>58.593930233513831</c:v>
                </c:pt>
                <c:pt idx="53">
                  <c:v>59.204429044887007</c:v>
                </c:pt>
                <c:pt idx="54">
                  <c:v>59.777545962342998</c:v>
                </c:pt>
                <c:pt idx="55">
                  <c:v>60.314714173256803</c:v>
                </c:pt>
                <c:pt idx="56">
                  <c:v>60.817577079020083</c:v>
                </c:pt>
                <c:pt idx="57">
                  <c:v>61.28787542030895</c:v>
                </c:pt>
                <c:pt idx="58">
                  <c:v>61.727373672594467</c:v>
                </c:pt>
                <c:pt idx="59">
                  <c:v>62.137812667431717</c:v>
                </c:pt>
                <c:pt idx="60">
                  <c:v>62.520879830738664</c:v>
                </c:pt>
                <c:pt idx="61">
                  <c:v>62.878191290682793</c:v>
                </c:pt>
                <c:pt idx="62">
                  <c:v>63.211281980936761</c:v>
                </c:pt>
                <c:pt idx="63">
                  <c:v>63.521601107235838</c:v>
                </c:pt>
                <c:pt idx="64">
                  <c:v>63.810511178328241</c:v>
                </c:pt>
                <c:pt idx="65">
                  <c:v>64.079289366794328</c:v>
                </c:pt>
                <c:pt idx="66">
                  <c:v>64.329130350803425</c:v>
                </c:pt>
                <c:pt idx="67">
                  <c:v>64.561150053216437</c:v>
                </c:pt>
                <c:pt idx="68">
                  <c:v>64.776389878113434</c:v>
                </c:pt>
                <c:pt idx="69">
                  <c:v>64.975821172537863</c:v>
                </c:pt>
                <c:pt idx="70">
                  <c:v>65.160349730332527</c:v>
                </c:pt>
                <c:pt idx="71">
                  <c:v>65.330820217175301</c:v>
                </c:pt>
                <c:pt idx="72">
                  <c:v>65.488020439389345</c:v>
                </c:pt>
                <c:pt idx="73">
                  <c:v>65.632685409393645</c:v>
                </c:pt>
                <c:pt idx="74">
                  <c:v>65.765501181656902</c:v>
                </c:pt>
                <c:pt idx="75">
                  <c:v>65.887108447461529</c:v>
                </c:pt>
                <c:pt idx="76">
                  <c:v>65.998105886575885</c:v>
                </c:pt>
                <c:pt idx="77">
                  <c:v>66.099053280446782</c:v>
                </c:pt>
                <c:pt idx="78">
                  <c:v>66.190474395715754</c:v>
                </c:pt>
                <c:pt idx="79">
                  <c:v>66.272859649419487</c:v>
                </c:pt>
                <c:pt idx="80">
                  <c:v>66.346668568655872</c:v>
                </c:pt>
                <c:pt idx="81">
                  <c:v>66.412332058121635</c:v>
                </c:pt>
                <c:pt idx="82">
                  <c:v>66.470254489016639</c:v>
                </c:pt>
                <c:pt idx="83">
                  <c:v>66.52081562253592</c:v>
                </c:pt>
                <c:pt idx="84">
                  <c:v>66.564372380666384</c:v>
                </c:pt>
                <c:pt idx="85">
                  <c:v>66.601260476354952</c:v>
                </c:pt>
                <c:pt idx="86">
                  <c:v>66.631795914389812</c:v>
                </c:pt>
                <c:pt idx="87">
                  <c:v>66.656276373572737</c:v>
                </c:pt>
                <c:pt idx="88">
                  <c:v>66.674982479997979</c:v>
                </c:pt>
                <c:pt idx="89">
                  <c:v>66.688178980500737</c:v>
                </c:pt>
                <c:pt idx="90">
                  <c:v>66.696115824620733</c:v>
                </c:pt>
                <c:pt idx="91">
                  <c:v>66.699029162743528</c:v>
                </c:pt>
                <c:pt idx="92">
                  <c:v>66.697142267442658</c:v>
                </c:pt>
                <c:pt idx="93">
                  <c:v>66.690666384448264</c:v>
                </c:pt>
                <c:pt idx="94">
                  <c:v>66.679801519118442</c:v>
                </c:pt>
                <c:pt idx="95">
                  <c:v>66.664737163778213</c:v>
                </c:pt>
                <c:pt idx="96">
                  <c:v>66.645652970826106</c:v>
                </c:pt>
                <c:pt idx="97">
                  <c:v>66.622719376078706</c:v>
                </c:pt>
                <c:pt idx="98">
                  <c:v>66.596098176433401</c:v>
                </c:pt>
                <c:pt idx="99">
                  <c:v>66.565943065572199</c:v>
                </c:pt>
                <c:pt idx="100">
                  <c:v>66.532400131103799</c:v>
                </c:pt>
                <c:pt idx="101">
                  <c:v>66.495608316245281</c:v>
                </c:pt>
                <c:pt idx="102">
                  <c:v>66.455699848875454</c:v>
                </c:pt>
                <c:pt idx="103">
                  <c:v>66.412800640545129</c:v>
                </c:pt>
                <c:pt idx="104">
                  <c:v>66.367030657808485</c:v>
                </c:pt>
                <c:pt idx="105">
                  <c:v>66.318504268035994</c:v>
                </c:pt>
                <c:pt idx="106">
                  <c:v>66.267330561684091</c:v>
                </c:pt>
                <c:pt idx="107">
                  <c:v>66.213613652830958</c:v>
                </c:pt>
                <c:pt idx="108">
                  <c:v>66.157452959633957</c:v>
                </c:pt>
                <c:pt idx="109">
                  <c:v>66.098943466225649</c:v>
                </c:pt>
                <c:pt idx="110">
                  <c:v>66.038175967439088</c:v>
                </c:pt>
                <c:pt idx="111">
                  <c:v>65.975237297638955</c:v>
                </c:pt>
                <c:pt idx="112">
                  <c:v>65.910210544828729</c:v>
                </c:pt>
                <c:pt idx="113">
                  <c:v>65.843175251109727</c:v>
                </c:pt>
                <c:pt idx="114">
                  <c:v>65.774207600480921</c:v>
                </c:pt>
                <c:pt idx="115">
                  <c:v>65.703380594888671</c:v>
                </c:pt>
                <c:pt idx="116">
                  <c:v>65.630764219362149</c:v>
                </c:pt>
                <c:pt idx="117">
                  <c:v>65.556425597006594</c:v>
                </c:pt>
                <c:pt idx="118">
                  <c:v>65.480429134563281</c:v>
                </c:pt>
                <c:pt idx="119">
                  <c:v>65.402836659190427</c:v>
                </c:pt>
                <c:pt idx="120">
                  <c:v>65.323707547071024</c:v>
                </c:pt>
                <c:pt idx="121">
                  <c:v>65.243098844403406</c:v>
                </c:pt>
                <c:pt idx="122">
                  <c:v>65.161065381290712</c:v>
                </c:pt>
                <c:pt idx="123">
                  <c:v>65.077659879006333</c:v>
                </c:pt>
                <c:pt idx="124">
                  <c:v>64.992933051074388</c:v>
                </c:pt>
                <c:pt idx="125">
                  <c:v>64.90693369857496</c:v>
                </c:pt>
                <c:pt idx="126">
                  <c:v>64.819708800050762</c:v>
                </c:pt>
                <c:pt idx="127">
                  <c:v>64.731303596365976</c:v>
                </c:pt>
                <c:pt idx="128">
                  <c:v>64.641761670842385</c:v>
                </c:pt>
                <c:pt idx="129">
                  <c:v>64.551125024973047</c:v>
                </c:pt>
                <c:pt idx="130">
                  <c:v>64.459434149995289</c:v>
                </c:pt>
                <c:pt idx="131">
                  <c:v>64.366728094580594</c:v>
                </c:pt>
                <c:pt idx="132">
                  <c:v>64.273044528886132</c:v>
                </c:pt>
                <c:pt idx="133">
                  <c:v>64.178419805189421</c:v>
                </c:pt>
                <c:pt idx="134">
                  <c:v>64.0828890153185</c:v>
                </c:pt>
                <c:pt idx="135">
                  <c:v>63.986486045070478</c:v>
                </c:pt>
                <c:pt idx="136">
                  <c:v>63.889243625800802</c:v>
                </c:pt>
                <c:pt idx="137">
                  <c:v>63.791193383352592</c:v>
                </c:pt>
                <c:pt idx="138">
                  <c:v>63.692365884483792</c:v>
                </c:pt>
                <c:pt idx="139">
                  <c:v>63.592790680939729</c:v>
                </c:pt>
                <c:pt idx="140">
                  <c:v>63.492496351308503</c:v>
                </c:pt>
                <c:pt idx="141">
                  <c:v>63.391510540787991</c:v>
                </c:pt>
                <c:pt idx="142">
                  <c:v>63.289859998984497</c:v>
                </c:pt>
                <c:pt idx="143">
                  <c:v>63.187570615855918</c:v>
                </c:pt>
                <c:pt idx="144">
                  <c:v>63.084667455904039</c:v>
                </c:pt>
                <c:pt idx="145">
                  <c:v>62.981174790714959</c:v>
                </c:pt>
                <c:pt idx="146">
                  <c:v>62.877116129939992</c:v>
                </c:pt>
                <c:pt idx="147">
                  <c:v>62.772514250802473</c:v>
                </c:pt>
                <c:pt idx="148">
                  <c:v>62.667391226213439</c:v>
                </c:pt>
                <c:pt idx="149">
                  <c:v>62.561768451570501</c:v>
                </c:pt>
                <c:pt idx="150">
                  <c:v>62.455666670311828</c:v>
                </c:pt>
                <c:pt idx="151">
                  <c:v>62.349105998293254</c:v>
                </c:pt>
                <c:pt idx="152">
                  <c:v>62.242105947049666</c:v>
                </c:pt>
                <c:pt idx="153">
                  <c:v>62.134685446001185</c:v>
                </c:pt>
                <c:pt idx="154">
                  <c:v>62.026862863659716</c:v>
                </c:pt>
                <c:pt idx="155">
                  <c:v>61.918656027887224</c:v>
                </c:pt>
                <c:pt idx="156">
                  <c:v>61.810082245256183</c:v>
                </c:pt>
                <c:pt idx="157">
                  <c:v>61.701158319557749</c:v>
                </c:pt>
                <c:pt idx="158">
                  <c:v>61.591900569501462</c:v>
                </c:pt>
                <c:pt idx="159">
                  <c:v>61.482324845648051</c:v>
                </c:pt>
                <c:pt idx="160">
                  <c:v>61.372446546613631</c:v>
                </c:pt>
                <c:pt idx="161">
                  <c:v>61.262280634581884</c:v>
                </c:pt>
                <c:pt idx="162">
                  <c:v>61.151841650159128</c:v>
                </c:pt>
                <c:pt idx="163">
                  <c:v>61.041143726604517</c:v>
                </c:pt>
                <c:pt idx="164">
                  <c:v>60.93020060346592</c:v>
                </c:pt>
                <c:pt idx="165">
                  <c:v>60.819025639651187</c:v>
                </c:pt>
                <c:pt idx="166">
                  <c:v>60.707631825961471</c:v>
                </c:pt>
                <c:pt idx="167">
                  <c:v>60.596031797113099</c:v>
                </c:pt>
                <c:pt idx="168">
                  <c:v>60.48423784327187</c:v>
                </c:pt>
                <c:pt idx="169">
                  <c:v>60.372261921124107</c:v>
                </c:pt>
                <c:pt idx="170">
                  <c:v>60.260115664504752</c:v>
                </c:pt>
                <c:pt idx="171">
                  <c:v>60.14781039460506</c:v>
                </c:pt>
                <c:pt idx="172">
                  <c:v>60.035357129778163</c:v>
                </c:pt>
                <c:pt idx="173">
                  <c:v>59.922766594961743</c:v>
                </c:pt>
                <c:pt idx="174">
                  <c:v>59.810049230735572</c:v>
                </c:pt>
                <c:pt idx="175">
                  <c:v>59.697215202030165</c:v>
                </c:pt>
                <c:pt idx="176">
                  <c:v>59.584274406502971</c:v>
                </c:pt>
                <c:pt idx="177">
                  <c:v>59.471236482596979</c:v>
                </c:pt>
                <c:pt idx="178">
                  <c:v>59.358110817295213</c:v>
                </c:pt>
                <c:pt idx="179">
                  <c:v>59.244906553586461</c:v>
                </c:pt>
                <c:pt idx="180">
                  <c:v>59.131632597652938</c:v>
                </c:pt>
                <c:pt idx="181">
                  <c:v>59.018297625793963</c:v>
                </c:pt>
                <c:pt idx="182">
                  <c:v>58.904910091096028</c:v>
                </c:pt>
                <c:pt idx="183">
                  <c:v>58.791478229860999</c:v>
                </c:pt>
                <c:pt idx="184">
                  <c:v>58.678010067802191</c:v>
                </c:pt>
                <c:pt idx="185">
                  <c:v>58.564513426019516</c:v>
                </c:pt>
                <c:pt idx="186">
                  <c:v>58.450995926761607</c:v>
                </c:pt>
                <c:pt idx="187">
                  <c:v>58.337464998985411</c:v>
                </c:pt>
                <c:pt idx="188">
                  <c:v>58.223927883720634</c:v>
                </c:pt>
                <c:pt idx="189">
                  <c:v>58.110391639248192</c:v>
                </c:pt>
                <c:pt idx="190">
                  <c:v>57.99686314609977</c:v>
                </c:pt>
                <c:pt idx="191">
                  <c:v>57.883349111886318</c:v>
                </c:pt>
                <c:pt idx="192">
                  <c:v>57.769856075961869</c:v>
                </c:pt>
                <c:pt idx="193">
                  <c:v>57.656390413930851</c:v>
                </c:pt>
                <c:pt idx="194">
                  <c:v>57.54295834200326</c:v>
                </c:pt>
                <c:pt idx="195">
                  <c:v>57.429565921205807</c:v>
                </c:pt>
                <c:pt idx="196">
                  <c:v>57.31621906145358</c:v>
                </c:pt>
                <c:pt idx="197">
                  <c:v>57.202923525488089</c:v>
                </c:pt>
                <c:pt idx="198">
                  <c:v>57.089684932687291</c:v>
                </c:pt>
                <c:pt idx="199">
                  <c:v>56.976508762752601</c:v>
                </c:pt>
                <c:pt idx="200">
                  <c:v>56.863400359277279</c:v>
                </c:pt>
                <c:pt idx="201">
                  <c:v>56.750364933201226</c:v>
                </c:pt>
                <c:pt idx="202">
                  <c:v>56.637407566156767</c:v>
                </c:pt>
                <c:pt idx="203">
                  <c:v>56.524533213709162</c:v>
                </c:pt>
                <c:pt idx="204">
                  <c:v>56.411746708495983</c:v>
                </c:pt>
                <c:pt idx="205">
                  <c:v>56.299052763269799</c:v>
                </c:pt>
                <c:pt idx="206">
                  <c:v>56.186455973846648</c:v>
                </c:pt>
                <c:pt idx="207">
                  <c:v>56.073960821965386</c:v>
                </c:pt>
                <c:pt idx="208">
                  <c:v>55.961571678059727</c:v>
                </c:pt>
                <c:pt idx="209">
                  <c:v>55.849292803947577</c:v>
                </c:pt>
                <c:pt idx="210">
                  <c:v>55.737128355439324</c:v>
                </c:pt>
                <c:pt idx="211">
                  <c:v>55.625082384869543</c:v>
                </c:pt>
                <c:pt idx="212">
                  <c:v>55.513158843553839</c:v>
                </c:pt>
                <c:pt idx="213">
                  <c:v>55.40136158417377</c:v>
                </c:pt>
                <c:pt idx="214">
                  <c:v>55.289694363093034</c:v>
                </c:pt>
                <c:pt idx="215">
                  <c:v>55.178160842606388</c:v>
                </c:pt>
                <c:pt idx="216">
                  <c:v>55.066764593124816</c:v>
                </c:pt>
                <c:pt idx="217">
                  <c:v>54.955509095298098</c:v>
                </c:pt>
                <c:pt idx="218">
                  <c:v>54.844397742077973</c:v>
                </c:pt>
                <c:pt idx="219">
                  <c:v>54.733433840723208</c:v>
                </c:pt>
                <c:pt idx="220">
                  <c:v>54.622620614749195</c:v>
                </c:pt>
                <c:pt idx="221">
                  <c:v>54.511961205823454</c:v>
                </c:pt>
                <c:pt idx="222">
                  <c:v>54.401458675609533</c:v>
                </c:pt>
                <c:pt idx="223">
                  <c:v>54.291116007560206</c:v>
                </c:pt>
                <c:pt idx="224">
                  <c:v>54.180936108662763</c:v>
                </c:pt>
                <c:pt idx="225">
                  <c:v>54.070921811137012</c:v>
                </c:pt>
                <c:pt idx="226">
                  <c:v>52.980459723477594</c:v>
                </c:pt>
                <c:pt idx="227">
                  <c:v>51.909176529880767</c:v>
                </c:pt>
                <c:pt idx="228">
                  <c:v>50.858893816214987</c:v>
                </c:pt>
                <c:pt idx="229">
                  <c:v>49.830963065188143</c:v>
                </c:pt>
                <c:pt idx="230">
                  <c:v>48.826352793638307</c:v>
                </c:pt>
                <c:pt idx="231">
                  <c:v>47.845718362959218</c:v>
                </c:pt>
                <c:pt idx="232">
                  <c:v>46.889458561121415</c:v>
                </c:pt>
                <c:pt idx="233">
                  <c:v>45.957761907981677</c:v>
                </c:pt>
                <c:pt idx="234">
                  <c:v>45.050644849021324</c:v>
                </c:pt>
                <c:pt idx="235">
                  <c:v>44.167983454676119</c:v>
                </c:pt>
                <c:pt idx="236">
                  <c:v>43.309539854637364</c:v>
                </c:pt>
                <c:pt idx="237">
                  <c:v>42.474984357676618</c:v>
                </c:pt>
                <c:pt idx="238">
                  <c:v>41.663914003777677</c:v>
                </c:pt>
                <c:pt idx="239">
                  <c:v>40.875868143960645</c:v>
                </c:pt>
                <c:pt idx="240">
                  <c:v>40.110341528806259</c:v>
                </c:pt>
                <c:pt idx="241">
                  <c:v>39.366795298844096</c:v>
                </c:pt>
                <c:pt idx="242">
                  <c:v>38.644666201418175</c:v>
                </c:pt>
                <c:pt idx="243">
                  <c:v>37.943374304332536</c:v>
                </c:pt>
                <c:pt idx="244">
                  <c:v>37.262329432948263</c:v>
                </c:pt>
                <c:pt idx="245">
                  <c:v>36.600936521905624</c:v>
                </c:pt>
                <c:pt idx="246">
                  <c:v>35.958600043446381</c:v>
                </c:pt>
                <c:pt idx="247">
                  <c:v>35.334727650062803</c:v>
                </c:pt>
                <c:pt idx="248">
                  <c:v>34.728733148900915</c:v>
                </c:pt>
                <c:pt idx="249">
                  <c:v>34.14003890823949</c:v>
                </c:pt>
                <c:pt idx="250">
                  <c:v>33.568077781874564</c:v>
                </c:pt>
                <c:pt idx="251">
                  <c:v>33.012294624908805</c:v>
                </c:pt>
                <c:pt idx="252">
                  <c:v>32.472147463916201</c:v>
                </c:pt>
                <c:pt idx="253">
                  <c:v>31.947108375445112</c:v>
                </c:pt>
                <c:pt idx="254">
                  <c:v>31.43666411909436</c:v>
                </c:pt>
                <c:pt idx="255">
                  <c:v>30.940316564761645</c:v>
                </c:pt>
                <c:pt idx="256">
                  <c:v>30.457582947962635</c:v>
                </c:pt>
                <c:pt idx="257">
                  <c:v>29.987995982208275</c:v>
                </c:pt>
                <c:pt idx="258">
                  <c:v>29.531103853214859</c:v>
                </c:pt>
                <c:pt idx="259">
                  <c:v>29.086470116080477</c:v>
                </c:pt>
                <c:pt idx="260">
                  <c:v>28.653673513444659</c:v>
                </c:pt>
                <c:pt idx="261">
                  <c:v>28.232307729955465</c:v>
                </c:pt>
                <c:pt idx="262">
                  <c:v>27.82198109605747</c:v>
                </c:pt>
                <c:pt idx="263">
                  <c:v>27.422316252129235</c:v>
                </c:pt>
                <c:pt idx="264">
                  <c:v>27.032949782291979</c:v>
                </c:pt>
                <c:pt idx="265">
                  <c:v>26.653531825745205</c:v>
                </c:pt>
                <c:pt idx="266">
                  <c:v>26.283725672231952</c:v>
                </c:pt>
                <c:pt idx="267">
                  <c:v>25.923207347158382</c:v>
                </c:pt>
                <c:pt idx="268">
                  <c:v>25.571665190970805</c:v>
                </c:pt>
                <c:pt idx="269">
                  <c:v>25.228799436608142</c:v>
                </c:pt>
                <c:pt idx="270">
                  <c:v>24.894321788172874</c:v>
                </c:pt>
                <c:pt idx="271">
                  <c:v>24.567955003392029</c:v>
                </c:pt>
                <c:pt idx="272">
                  <c:v>24.249432481950237</c:v>
                </c:pt>
                <c:pt idx="273">
                  <c:v>23.938497861364084</c:v>
                </c:pt>
                <c:pt idx="274">
                  <c:v>23.634904621712849</c:v>
                </c:pt>
                <c:pt idx="275">
                  <c:v>23.338415700246003</c:v>
                </c:pt>
                <c:pt idx="276">
                  <c:v>23.048803116634218</c:v>
                </c:pt>
                <c:pt idx="277">
                  <c:v>22.765847609421627</c:v>
                </c:pt>
                <c:pt idx="278">
                  <c:v>22.489338284058931</c:v>
                </c:pt>
                <c:pt idx="279">
                  <c:v>22.219072272749457</c:v>
                </c:pt>
                <c:pt idx="280">
                  <c:v>21.954854406217635</c:v>
                </c:pt>
                <c:pt idx="281">
                  <c:v>21.696496897408736</c:v>
                </c:pt>
                <c:pt idx="282">
                  <c:v>21.443819037043909</c:v>
                </c:pt>
                <c:pt idx="283">
                  <c:v>21.196646900888965</c:v>
                </c:pt>
                <c:pt idx="284">
                  <c:v>20.95481306853938</c:v>
                </c:pt>
                <c:pt idx="285">
                  <c:v>20.718156353482158</c:v>
                </c:pt>
                <c:pt idx="286">
                  <c:v>20.486521544159729</c:v>
                </c:pt>
                <c:pt idx="287">
                  <c:v>20.259759155737783</c:v>
                </c:pt>
                <c:pt idx="288">
                  <c:v>20.037725192257454</c:v>
                </c:pt>
                <c:pt idx="289">
                  <c:v>19.82028091884041</c:v>
                </c:pt>
                <c:pt idx="290">
                  <c:v>19.607292643607082</c:v>
                </c:pt>
                <c:pt idx="291">
                  <c:v>19.39863150896258</c:v>
                </c:pt>
                <c:pt idx="292">
                  <c:v>19.194173291903979</c:v>
                </c:pt>
                <c:pt idx="293">
                  <c:v>18.993798213003799</c:v>
                </c:pt>
                <c:pt idx="294">
                  <c:v>18.797390753729076</c:v>
                </c:pt>
                <c:pt idx="295">
                  <c:v>18.604839481758688</c:v>
                </c:pt>
                <c:pt idx="296">
                  <c:v>18.416036883969269</c:v>
                </c:pt>
                <c:pt idx="297">
                  <c:v>18.230879206768975</c:v>
                </c:pt>
                <c:pt idx="298">
                  <c:v>18.049266303464435</c:v>
                </c:pt>
                <c:pt idx="299">
                  <c:v>17.871101488358022</c:v>
                </c:pt>
                <c:pt idx="300">
                  <c:v>17.696291397280277</c:v>
                </c:pt>
                <c:pt idx="301">
                  <c:v>17.524745854273561</c:v>
                </c:pt>
                <c:pt idx="302">
                  <c:v>17.356377744153008</c:v>
                </c:pt>
                <c:pt idx="303">
                  <c:v>17.19110289068027</c:v>
                </c:pt>
                <c:pt idx="304">
                  <c:v>17.028839940097185</c:v>
                </c:pt>
                <c:pt idx="305">
                  <c:v>16.86951024977526</c:v>
                </c:pt>
                <c:pt idx="306">
                  <c:v>16.713037781747317</c:v>
                </c:pt>
                <c:pt idx="307">
                  <c:v>16.559349000899147</c:v>
                </c:pt>
                <c:pt idx="308">
                  <c:v>16.408372777604654</c:v>
                </c:pt>
                <c:pt idx="309">
                  <c:v>16.260040294602192</c:v>
                </c:pt>
                <c:pt idx="310">
                  <c:v>16.114284957914293</c:v>
                </c:pt>
                <c:pt idx="311">
                  <c:v>15.971042311626491</c:v>
                </c:pt>
                <c:pt idx="312">
                  <c:v>15.830249956343749</c:v>
                </c:pt>
                <c:pt idx="313">
                  <c:v>15.691847471157018</c:v>
                </c:pt>
                <c:pt idx="314">
                  <c:v>15.55577633895615</c:v>
                </c:pt>
                <c:pt idx="315">
                  <c:v>15.421979874934777</c:v>
                </c:pt>
                <c:pt idx="316">
                  <c:v>15.290403158139526</c:v>
                </c:pt>
                <c:pt idx="317">
                  <c:v>15.160992965923441</c:v>
                </c:pt>
                <c:pt idx="318">
                  <c:v>15.033697711169026</c:v>
                </c:pt>
                <c:pt idx="319">
                  <c:v>14.908467382154015</c:v>
                </c:pt>
                <c:pt idx="320">
                  <c:v>14.785253484938124</c:v>
                </c:pt>
                <c:pt idx="321">
                  <c:v>14.664008988154961</c:v>
                </c:pt>
                <c:pt idx="322">
                  <c:v>14.544688270099755</c:v>
                </c:pt>
                <c:pt idx="323">
                  <c:v>14.427247068006892</c:v>
                </c:pt>
                <c:pt idx="324">
                  <c:v>14.311642429418583</c:v>
                </c:pt>
                <c:pt idx="325">
                  <c:v>14.1978326655491</c:v>
                </c:pt>
                <c:pt idx="326">
                  <c:v>14.085777306554434</c:v>
                </c:pt>
                <c:pt idx="327">
                  <c:v>13.975437058621054</c:v>
                </c:pt>
                <c:pt idx="328">
                  <c:v>13.866773762791979</c:v>
                </c:pt>
                <c:pt idx="329">
                  <c:v>13.759750355452439</c:v>
                </c:pt>
                <c:pt idx="330">
                  <c:v>13.654330830400227</c:v>
                </c:pt>
                <c:pt idx="331">
                  <c:v>13.550480202430919</c:v>
                </c:pt>
                <c:pt idx="332">
                  <c:v>13.448164472369712</c:v>
                </c:pt>
                <c:pt idx="333">
                  <c:v>13.347350593487079</c:v>
                </c:pt>
                <c:pt idx="334">
                  <c:v>13.248006439235382</c:v>
                </c:pt>
                <c:pt idx="335">
                  <c:v>13.150100772250454</c:v>
                </c:pt>
                <c:pt idx="336">
                  <c:v>13.05360321456115</c:v>
                </c:pt>
                <c:pt idx="337">
                  <c:v>12.958484218954936</c:v>
                </c:pt>
                <c:pt idx="338">
                  <c:v>12.864715041449386</c:v>
                </c:pt>
                <c:pt idx="339">
                  <c:v>12.772267714820771</c:v>
                </c:pt>
                <c:pt idx="340">
                  <c:v>12.681115023145736</c:v>
                </c:pt>
                <c:pt idx="341">
                  <c:v>12.591230477311115</c:v>
                </c:pt>
                <c:pt idx="342">
                  <c:v>12.502588291451445</c:v>
                </c:pt>
                <c:pt idx="343">
                  <c:v>12.415163360273965</c:v>
                </c:pt>
                <c:pt idx="344">
                  <c:v>12.328931237234059</c:v>
                </c:pt>
                <c:pt idx="345">
                  <c:v>12.243868113525139</c:v>
                </c:pt>
                <c:pt idx="346">
                  <c:v>12.159950797848325</c:v>
                </c:pt>
                <c:pt idx="347">
                  <c:v>12.07715669692962</c:v>
                </c:pt>
                <c:pt idx="348">
                  <c:v>11.995463796753427</c:v>
                </c:pt>
                <c:pt idx="349">
                  <c:v>11.914850644482613</c:v>
                </c:pt>
                <c:pt idx="350">
                  <c:v>11.835296331036545</c:v>
                </c:pt>
                <c:pt idx="351">
                  <c:v>11.756780474300484</c:v>
                </c:pt>
                <c:pt idx="352">
                  <c:v>11.679283202939956</c:v>
                </c:pt>
                <c:pt idx="353">
                  <c:v>11.602785140795731</c:v>
                </c:pt>
                <c:pt idx="354">
                  <c:v>11.527267391835977</c:v>
                </c:pt>
                <c:pt idx="355">
                  <c:v>11.452711525642542</c:v>
                </c:pt>
                <c:pt idx="356">
                  <c:v>11.379099563410364</c:v>
                </c:pt>
                <c:pt idx="357">
                  <c:v>11.306413964439258</c:v>
                </c:pt>
                <c:pt idx="358">
                  <c:v>11.234637613098442</c:v>
                </c:pt>
                <c:pt idx="359">
                  <c:v>11.163753806244927</c:v>
                </c:pt>
                <c:pt idx="360">
                  <c:v>11.093746241078065</c:v>
                </c:pt>
                <c:pt idx="361">
                  <c:v>11.024599003412902</c:v>
                </c:pt>
                <c:pt idx="362">
                  <c:v>10.956296556355852</c:v>
                </c:pt>
                <c:pt idx="363">
                  <c:v>10.888823729367545</c:v>
                </c:pt>
                <c:pt idx="364">
                  <c:v>10.822165707696513</c:v>
                </c:pt>
                <c:pt idx="365">
                  <c:v>10.756308022171396</c:v>
                </c:pt>
                <c:pt idx="366">
                  <c:v>10.691236539335819</c:v>
                </c:pt>
                <c:pt idx="367">
                  <c:v>10.626937451914017</c:v>
                </c:pt>
                <c:pt idx="368">
                  <c:v>10.563397269594361</c:v>
                </c:pt>
                <c:pt idx="369">
                  <c:v>10.500602810118608</c:v>
                </c:pt>
                <c:pt idx="370">
                  <c:v>10.438541190665092</c:v>
                </c:pt>
                <c:pt idx="371">
                  <c:v>10.37719981951571</c:v>
                </c:pt>
                <c:pt idx="372">
                  <c:v>10.316566387994385</c:v>
                </c:pt>
                <c:pt idx="373">
                  <c:v>10.256628862668833</c:v>
                </c:pt>
                <c:pt idx="374">
                  <c:v>10.1973754778044</c:v>
                </c:pt>
                <c:pt idx="375">
                  <c:v>10.138794728061612</c:v>
                </c:pt>
                <c:pt idx="376">
                  <c:v>10.080875361427303</c:v>
                </c:pt>
                <c:pt idx="377">
                  <c:v>10.023606372372313</c:v>
                </c:pt>
                <c:pt idx="378">
                  <c:v>9.9669769952259628</c:v>
                </c:pt>
                <c:pt idx="379">
                  <c:v>9.9109766977609013</c:v>
                </c:pt>
                <c:pt idx="380">
                  <c:v>9.855595174978987</c:v>
                </c:pt>
                <c:pt idx="381">
                  <c:v>9.8008223430928751</c:v>
                </c:pt>
                <c:pt idx="382">
                  <c:v>9.7466483336946794</c:v>
                </c:pt>
                <c:pt idx="383">
                  <c:v>9.6930634881061337</c:v>
                </c:pt>
                <c:pt idx="384">
                  <c:v>9.6400583519030079</c:v>
                </c:pt>
                <c:pt idx="385">
                  <c:v>9.587623669608405</c:v>
                </c:pt>
                <c:pt idx="386">
                  <c:v>9.5357503795482614</c:v>
                </c:pt>
                <c:pt idx="387">
                  <c:v>9.4844296088636781</c:v>
                </c:pt>
                <c:pt idx="388">
                  <c:v>9.4336526686749096</c:v>
                </c:pt>
                <c:pt idx="389">
                  <c:v>9.3834110493909577</c:v>
                </c:pt>
                <c:pt idx="390">
                  <c:v>9.3336964161607057</c:v>
                </c:pt>
                <c:pt idx="391">
                  <c:v>9.2845006044599643</c:v>
                </c:pt>
                <c:pt idx="392">
                  <c:v>9.2358156158098552</c:v>
                </c:pt>
                <c:pt idx="393">
                  <c:v>9.1876336136226087</c:v>
                </c:pt>
                <c:pt idx="394">
                  <c:v>9.1399469191698302</c:v>
                </c:pt>
                <c:pt idx="395">
                  <c:v>9.0927480076691722</c:v>
                </c:pt>
                <c:pt idx="396">
                  <c:v>9.0460295044858583</c:v>
                </c:pt>
                <c:pt idx="397">
                  <c:v>8.9997841814447099</c:v>
                </c:pt>
                <c:pt idx="398">
                  <c:v>8.9540049532490116</c:v>
                </c:pt>
                <c:pt idx="399">
                  <c:v>8.9086848740032565</c:v>
                </c:pt>
                <c:pt idx="400">
                  <c:v>8.8638171338354823</c:v>
                </c:pt>
                <c:pt idx="401">
                  <c:v>8.8193950556164111</c:v>
                </c:pt>
                <c:pt idx="402">
                  <c:v>8.7754120917724379</c:v>
                </c:pt>
                <c:pt idx="403">
                  <c:v>8.731861821188204</c:v>
                </c:pt>
                <c:pt idx="404">
                  <c:v>8.6887379461979322</c:v>
                </c:pt>
                <c:pt idx="405">
                  <c:v>8.6460342896603777</c:v>
                </c:pt>
                <c:pt idx="406">
                  <c:v>8.6037447921162595</c:v>
                </c:pt>
                <c:pt idx="407">
                  <c:v>8.5618635090247608</c:v>
                </c:pt>
                <c:pt idx="408">
                  <c:v>8.5203846080769665</c:v>
                </c:pt>
                <c:pt idx="409">
                  <c:v>8.4793023665833402</c:v>
                </c:pt>
                <c:pt idx="410">
                  <c:v>8.4386111689334484</c:v>
                </c:pt>
                <c:pt idx="411">
                  <c:v>8.3983055041253181</c:v>
                </c:pt>
                <c:pt idx="412">
                  <c:v>8.3583799633616991</c:v>
                </c:pt>
                <c:pt idx="413">
                  <c:v>8.3188292377127482</c:v>
                </c:pt>
                <c:pt idx="414">
                  <c:v>8.2796481158408142</c:v>
                </c:pt>
                <c:pt idx="415">
                  <c:v>8.2408314817876089</c:v>
                </c:pt>
                <c:pt idx="416">
                  <c:v>8.2023743128200408</c:v>
                </c:pt>
                <c:pt idx="417">
                  <c:v>8.1642716773341135</c:v>
                </c:pt>
                <c:pt idx="418">
                  <c:v>8.1265187328143611</c:v>
                </c:pt>
                <c:pt idx="419">
                  <c:v>8.0891107238475684</c:v>
                </c:pt>
                <c:pt idx="420">
                  <c:v>8.0520429801889293</c:v>
                </c:pt>
                <c:pt idx="421">
                  <c:v>8.0153109148789952</c:v>
                </c:pt>
                <c:pt idx="422">
                  <c:v>7.9789100224100196</c:v>
                </c:pt>
                <c:pt idx="423">
                  <c:v>7.9428358769399665</c:v>
                </c:pt>
                <c:pt idx="424">
                  <c:v>7.9070841305533861</c:v>
                </c:pt>
                <c:pt idx="425">
                  <c:v>7.8716505115665996</c:v>
                </c:pt>
                <c:pt idx="426">
                  <c:v>7.8365308228772506</c:v>
                </c:pt>
                <c:pt idx="427">
                  <c:v>7.8017209403555512</c:v>
                </c:pt>
                <c:pt idx="428">
                  <c:v>7.7672168112775637</c:v>
                </c:pt>
                <c:pt idx="429">
                  <c:v>7.7330144527972209</c:v>
                </c:pt>
                <c:pt idx="430">
                  <c:v>7.6991099504580518</c:v>
                </c:pt>
                <c:pt idx="431">
                  <c:v>7.6654994567422818</c:v>
                </c:pt>
                <c:pt idx="432">
                  <c:v>7.632179189655858</c:v>
                </c:pt>
                <c:pt idx="433">
                  <c:v>7.5991454313498252</c:v>
                </c:pt>
                <c:pt idx="434">
                  <c:v>7.5663945267755253</c:v>
                </c:pt>
                <c:pt idx="435">
                  <c:v>7.5339228823735311</c:v>
                </c:pt>
                <c:pt idx="436">
                  <c:v>7.5017269647946137</c:v>
                </c:pt>
                <c:pt idx="437">
                  <c:v>7.4698032996529662</c:v>
                </c:pt>
                <c:pt idx="438">
                  <c:v>7.4381484703094429</c:v>
                </c:pt>
                <c:pt idx="439">
                  <c:v>7.4067591166848956</c:v>
                </c:pt>
                <c:pt idx="440">
                  <c:v>7.3756319341025005</c:v>
                </c:pt>
                <c:pt idx="441">
                  <c:v>7.3447636721579386</c:v>
                </c:pt>
                <c:pt idx="442">
                  <c:v>7.3141511336171163</c:v>
                </c:pt>
                <c:pt idx="443">
                  <c:v>7.28379117334066</c:v>
                </c:pt>
                <c:pt idx="444">
                  <c:v>7.2536806972335057</c:v>
                </c:pt>
                <c:pt idx="445">
                  <c:v>7.2238166612207237</c:v>
                </c:pt>
                <c:pt idx="446">
                  <c:v>7.1941960702466758</c:v>
                </c:pt>
                <c:pt idx="447">
                  <c:v>7.164815977298673</c:v>
                </c:pt>
                <c:pt idx="448">
                  <c:v>7.1356734824535408</c:v>
                </c:pt>
                <c:pt idx="449">
                  <c:v>7.1067657319464104</c:v>
                </c:pt>
                <c:pt idx="450">
                  <c:v>7.0780899172616216</c:v>
                </c:pt>
                <c:pt idx="451">
                  <c:v>7.0496432742449144</c:v>
                </c:pt>
                <c:pt idx="452">
                  <c:v>7.0214230822360832</c:v>
                </c:pt>
                <c:pt idx="453">
                  <c:v>6.9934266632222375</c:v>
                </c:pt>
                <c:pt idx="454">
                  <c:v>6.9656513810099341</c:v>
                </c:pt>
                <c:pt idx="455">
                  <c:v>6.9380946404171198</c:v>
                </c:pt>
                <c:pt idx="456">
                  <c:v>6.9107538864831781</c:v>
                </c:pt>
                <c:pt idx="457">
                  <c:v>6.8836266036971665</c:v>
                </c:pt>
                <c:pt idx="458">
                  <c:v>6.856710315243788</c:v>
                </c:pt>
                <c:pt idx="459">
                  <c:v>6.8300025822662462</c:v>
                </c:pt>
                <c:pt idx="460">
                  <c:v>6.8035010031460956</c:v>
                </c:pt>
                <c:pt idx="461">
                  <c:v>6.777203212798895</c:v>
                </c:pt>
                <c:pt idx="462">
                  <c:v>6.7511068819863169</c:v>
                </c:pt>
                <c:pt idx="463">
                  <c:v>6.7252097166428371</c:v>
                </c:pt>
                <c:pt idx="464">
                  <c:v>6.6995094572184541</c:v>
                </c:pt>
                <c:pt idx="465">
                  <c:v>6.6740038780349948</c:v>
                </c:pt>
                <c:pt idx="466">
                  <c:v>6.6486907866573972</c:v>
                </c:pt>
                <c:pt idx="467">
                  <c:v>6.6235680232787786</c:v>
                </c:pt>
                <c:pt idx="468">
                  <c:v>6.5986334601185206</c:v>
                </c:pt>
                <c:pt idx="469">
                  <c:v>6.5738850008342524</c:v>
                </c:pt>
                <c:pt idx="470">
                  <c:v>6.5493205799461975</c:v>
                </c:pt>
                <c:pt idx="471">
                  <c:v>6.5249381622743954</c:v>
                </c:pt>
                <c:pt idx="472">
                  <c:v>6.500735742387576</c:v>
                </c:pt>
                <c:pt idx="473">
                  <c:v>6.4767113440648245</c:v>
                </c:pt>
                <c:pt idx="474">
                  <c:v>6.4528630197679604</c:v>
                </c:pt>
                <c:pt idx="475">
                  <c:v>6.4291888501255983</c:v>
                </c:pt>
                <c:pt idx="476">
                  <c:v>6.4056869434286057</c:v>
                </c:pt>
                <c:pt idx="477">
                  <c:v>6.3823554351357359</c:v>
                </c:pt>
                <c:pt idx="478">
                  <c:v>6.3591924873901178</c:v>
                </c:pt>
                <c:pt idx="479">
                  <c:v>6.336196288545807</c:v>
                </c:pt>
                <c:pt idx="480">
                  <c:v>6.313365052704512</c:v>
                </c:pt>
                <c:pt idx="481">
                  <c:v>6.2906970192619269</c:v>
                </c:pt>
                <c:pt idx="482">
                  <c:v>6.2681904524634717</c:v>
                </c:pt>
                <c:pt idx="483">
                  <c:v>6.2458436409697811</c:v>
                </c:pt>
                <c:pt idx="484">
                  <c:v>6.2236548974306345</c:v>
                </c:pt>
                <c:pt idx="485">
                  <c:v>6.2016225580680953</c:v>
                </c:pt>
                <c:pt idx="486">
                  <c:v>6.1797449822682324</c:v>
                </c:pt>
                <c:pt idx="487">
                  <c:v>6.158020552181199</c:v>
                </c:pt>
                <c:pt idx="488">
                  <c:v>6.136447672329524</c:v>
                </c:pt>
                <c:pt idx="489">
                  <c:v>6.115024769224533</c:v>
                </c:pt>
                <c:pt idx="490">
                  <c:v>6.0937502909903287</c:v>
                </c:pt>
                <c:pt idx="491">
                  <c:v>6.0726227069958725</c:v>
                </c:pt>
                <c:pt idx="492">
                  <c:v>6.0516405074939996</c:v>
                </c:pt>
                <c:pt idx="493">
                  <c:v>6.03080220326828</c:v>
                </c:pt>
                <c:pt idx="494">
                  <c:v>6.0101063252865572</c:v>
                </c:pt>
                <c:pt idx="495">
                  <c:v>5.9895514243614798</c:v>
                </c:pt>
                <c:pt idx="496">
                  <c:v>5.9691360708181946</c:v>
                </c:pt>
                <c:pt idx="497">
                  <c:v>5.9488588541683498</c:v>
                </c:pt>
                <c:pt idx="498">
                  <c:v>5.9287183827904926</c:v>
                </c:pt>
                <c:pt idx="499">
                  <c:v>5.9087132836173453</c:v>
                </c:pt>
                <c:pt idx="500">
                  <c:v>5.8888422018283961</c:v>
                </c:pt>
                <c:pt idx="501">
                  <c:v>5.8691038005494818</c:v>
                </c:pt>
                <c:pt idx="502">
                  <c:v>5.8494967605575425</c:v>
                </c:pt>
                <c:pt idx="503">
                  <c:v>5.8300197799916305</c:v>
                </c:pt>
                <c:pt idx="504">
                  <c:v>5.810671574069147</c:v>
                </c:pt>
                <c:pt idx="505">
                  <c:v>5.7914508748081914</c:v>
                </c:pt>
                <c:pt idx="506">
                  <c:v>5.7723564307543711</c:v>
                </c:pt>
                <c:pt idx="507">
                  <c:v>5.7533870067141208</c:v>
                </c:pt>
                <c:pt idx="508">
                  <c:v>5.7345413834917451</c:v>
                </c:pt>
                <c:pt idx="509">
                  <c:v>5.7158183576329407</c:v>
                </c:pt>
                <c:pt idx="510">
                  <c:v>5.6972167411721557</c:v>
                </c:pt>
                <c:pt idx="511">
                  <c:v>5.6787353613851508</c:v>
                </c:pt>
                <c:pt idx="512">
                  <c:v>5.6603730605464762</c:v>
                </c:pt>
                <c:pt idx="513">
                  <c:v>5.6421286956912411</c:v>
                </c:pt>
                <c:pt idx="514">
                  <c:v>5.6240011383815158</c:v>
                </c:pt>
                <c:pt idx="515">
                  <c:v>5.6059892744771105</c:v>
                </c:pt>
                <c:pt idx="516">
                  <c:v>5.5880920039106741</c:v>
                </c:pt>
                <c:pt idx="517">
                  <c:v>5.570308240467142</c:v>
                </c:pt>
                <c:pt idx="518">
                  <c:v>5.5526369115669354</c:v>
                </c:pt>
                <c:pt idx="519">
                  <c:v>5.535076958053736</c:v>
                </c:pt>
                <c:pt idx="520">
                  <c:v>5.5176273339855584</c:v>
                </c:pt>
                <c:pt idx="521">
                  <c:v>5.5002870064305114</c:v>
                </c:pt>
                <c:pt idx="522">
                  <c:v>5.483054955265402</c:v>
                </c:pt>
                <c:pt idx="523">
                  <c:v>5.4659301729787444</c:v>
                </c:pt>
                <c:pt idx="524">
                  <c:v>5.4489116644771514</c:v>
                </c:pt>
                <c:pt idx="525">
                  <c:v>5.4319984468951077</c:v>
                </c:pt>
                <c:pt idx="526">
                  <c:v>5.4151895494086659</c:v>
                </c:pt>
                <c:pt idx="527">
                  <c:v>5.3984840130519558</c:v>
                </c:pt>
                <c:pt idx="528">
                  <c:v>5.3818808905373317</c:v>
                </c:pt>
                <c:pt idx="529">
                  <c:v>5.3653792460789589</c:v>
                </c:pt>
                <c:pt idx="530">
                  <c:v>5.3489781552191573</c:v>
                </c:pt>
                <c:pt idx="531">
                  <c:v>5.3326767046581836</c:v>
                </c:pt>
                <c:pt idx="532">
                  <c:v>5.3164739920867987</c:v>
                </c:pt>
                <c:pt idx="533">
                  <c:v>5.300369126022332</c:v>
                </c:pt>
                <c:pt idx="534">
                  <c:v>5.2843612256469044</c:v>
                </c:pt>
                <c:pt idx="535">
                  <c:v>5.2684494206491479</c:v>
                </c:pt>
                <c:pt idx="536">
                  <c:v>5.2526328510687392</c:v>
                </c:pt>
                <c:pt idx="537">
                  <c:v>5.2369106671430075</c:v>
                </c:pt>
                <c:pt idx="538">
                  <c:v>5.2212820291570665</c:v>
                </c:pt>
                <c:pt idx="539">
                  <c:v>5.2057461072960507</c:v>
                </c:pt>
                <c:pt idx="540">
                  <c:v>5.1903020815002492</c:v>
                </c:pt>
                <c:pt idx="541">
                  <c:v>5.1749491413224007</c:v>
                </c:pt>
                <c:pt idx="542">
                  <c:v>5.1596864857880291</c:v>
                </c:pt>
                <c:pt idx="543">
                  <c:v>5.1445133232574562</c:v>
                </c:pt>
                <c:pt idx="544">
                  <c:v>5.1294288712909974</c:v>
                </c:pt>
                <c:pt idx="545">
                  <c:v>5.1144323565160619</c:v>
                </c:pt>
                <c:pt idx="546">
                  <c:v>5.099523014496441</c:v>
                </c:pt>
                <c:pt idx="547">
                  <c:v>5.0847000896038423</c:v>
                </c:pt>
                <c:pt idx="548">
                  <c:v>5.0699628348924932</c:v>
                </c:pt>
                <c:pt idx="549">
                  <c:v>5.0553105119741701</c:v>
                </c:pt>
                <c:pt idx="550">
                  <c:v>5.0407423908972362</c:v>
                </c:pt>
                <c:pt idx="551">
                  <c:v>5.0262577500262751</c:v>
                </c:pt>
                <c:pt idx="552">
                  <c:v>5.011855875924681</c:v>
                </c:pt>
                <c:pt idx="553">
                  <c:v>4.9975360632387265</c:v>
                </c:pt>
                <c:pt idx="554">
                  <c:v>4.9832976145837335</c:v>
                </c:pt>
                <c:pt idx="555">
                  <c:v>4.9691398404323763</c:v>
                </c:pt>
                <c:pt idx="556">
                  <c:v>4.9550620590042911</c:v>
                </c:pt>
                <c:pt idx="557">
                  <c:v>4.9410635961582443</c:v>
                </c:pt>
                <c:pt idx="558">
                  <c:v>4.9271437852857787</c:v>
                </c:pt>
                <c:pt idx="559">
                  <c:v>4.9133019672060243</c:v>
                </c:pt>
                <c:pt idx="560">
                  <c:v>4.8995374900635795</c:v>
                </c:pt>
                <c:pt idx="561">
                  <c:v>4.885849709226818</c:v>
                </c:pt>
                <c:pt idx="562">
                  <c:v>4.8722379871885266</c:v>
                </c:pt>
                <c:pt idx="563">
                  <c:v>4.858701693468106</c:v>
                </c:pt>
                <c:pt idx="564">
                  <c:v>4.8452402045150222</c:v>
                </c:pt>
                <c:pt idx="565">
                  <c:v>4.8318529036145037</c:v>
                </c:pt>
                <c:pt idx="566">
                  <c:v>4.8185391807941187</c:v>
                </c:pt>
                <c:pt idx="567">
                  <c:v>4.805298432732144</c:v>
                </c:pt>
                <c:pt idx="568">
                  <c:v>4.7921300626674963</c:v>
                </c:pt>
                <c:pt idx="569">
                  <c:v>4.7790334803110284</c:v>
                </c:pt>
                <c:pt idx="570">
                  <c:v>4.7660081017581888</c:v>
                </c:pt>
                <c:pt idx="571">
                  <c:v>4.7530533494033023</c:v>
                </c:pt>
                <c:pt idx="572">
                  <c:v>4.7401686518548445</c:v>
                </c:pt>
                <c:pt idx="573">
                  <c:v>4.7273534438525644</c:v>
                </c:pt>
                <c:pt idx="574">
                  <c:v>4.7146071661856297</c:v>
                </c:pt>
                <c:pt idx="575">
                  <c:v>4.7019292656120513</c:v>
                </c:pt>
                <c:pt idx="576">
                  <c:v>4.6893191947793582</c:v>
                </c:pt>
                <c:pt idx="577">
                  <c:v>4.6767764121468929</c:v>
                </c:pt>
                <c:pt idx="578">
                  <c:v>4.6643003819089586</c:v>
                </c:pt>
                <c:pt idx="579">
                  <c:v>4.6518905739193031</c:v>
                </c:pt>
                <c:pt idx="580">
                  <c:v>4.6395464636166253</c:v>
                </c:pt>
                <c:pt idx="581">
                  <c:v>4.6272675319516736</c:v>
                </c:pt>
                <c:pt idx="582">
                  <c:v>4.6150532653150549</c:v>
                </c:pt>
                <c:pt idx="583">
                  <c:v>4.6029031554664073</c:v>
                </c:pt>
                <c:pt idx="584">
                  <c:v>4.5908166994644546</c:v>
                </c:pt>
                <c:pt idx="585">
                  <c:v>4.5787933995984531</c:v>
                </c:pt>
                <c:pt idx="586">
                  <c:v>4.5668327633205763</c:v>
                </c:pt>
                <c:pt idx="587">
                  <c:v>4.5549343031789817</c:v>
                </c:pt>
                <c:pt idx="588">
                  <c:v>4.5430975367526685</c:v>
                </c:pt>
                <c:pt idx="589">
                  <c:v>4.5313219865866472</c:v>
                </c:pt>
                <c:pt idx="590">
                  <c:v>4.5196071801283608</c:v>
                </c:pt>
                <c:pt idx="591">
                  <c:v>4.5079526496650715</c:v>
                </c:pt>
                <c:pt idx="592">
                  <c:v>4.4963579322623275</c:v>
                </c:pt>
                <c:pt idx="593">
                  <c:v>4.4848225697031694</c:v>
                </c:pt>
                <c:pt idx="594">
                  <c:v>4.4733461084282737</c:v>
                </c:pt>
                <c:pt idx="595">
                  <c:v>4.4619280994771202</c:v>
                </c:pt>
                <c:pt idx="596">
                  <c:v>4.4505680984300113</c:v>
                </c:pt>
                <c:pt idx="597">
                  <c:v>4.4392656653507743</c:v>
                </c:pt>
                <c:pt idx="598">
                  <c:v>4.4280203647308269</c:v>
                </c:pt>
                <c:pt idx="599">
                  <c:v>4.416831765433443</c:v>
                </c:pt>
                <c:pt idx="600">
                  <c:v>4.4056994406391823</c:v>
                </c:pt>
                <c:pt idx="601">
                  <c:v>4.3946229677923725</c:v>
                </c:pt>
                <c:pt idx="602">
                  <c:v>4.3836019285477335</c:v>
                </c:pt>
                <c:pt idx="603">
                  <c:v>4.3726359087185074</c:v>
                </c:pt>
                <c:pt idx="604">
                  <c:v>4.3617244982247598</c:v>
                </c:pt>
                <c:pt idx="605">
                  <c:v>4.3508672910430448</c:v>
                </c:pt>
                <c:pt idx="606">
                  <c:v>3.869189909451876</c:v>
                </c:pt>
                <c:pt idx="607">
                  <c:v>3.4834004982367048</c:v>
                </c:pt>
                <c:pt idx="608">
                  <c:v>3.1674882429860247</c:v>
                </c:pt>
                <c:pt idx="609">
                  <c:v>2.9040615068958289</c:v>
                </c:pt>
                <c:pt idx="610">
                  <c:v>2.681053553532621</c:v>
                </c:pt>
                <c:pt idx="611">
                  <c:v>2.48983086009153</c:v>
                </c:pt>
                <c:pt idx="612">
                  <c:v>2.3240538937229758</c:v>
                </c:pt>
                <c:pt idx="613">
                  <c:v>2.1789630488259775</c:v>
                </c:pt>
                <c:pt idx="614">
                  <c:v>2.0509155545857141</c:v>
                </c:pt>
                <c:pt idx="615">
                  <c:v>1.9370761804362928</c:v>
                </c:pt>
                <c:pt idx="616">
                  <c:v>1.8352052960474055</c:v>
                </c:pt>
                <c:pt idx="617">
                  <c:v>1.7435103289207632</c:v>
                </c:pt>
                <c:pt idx="618">
                  <c:v>1.709346864327415</c:v>
                </c:pt>
                <c:pt idx="619">
                  <c:v>1.6764960906563147</c:v>
                </c:pt>
                <c:pt idx="620">
                  <c:v>1.6448837990664344</c:v>
                </c:pt>
                <c:pt idx="621">
                  <c:v>1.6144412691767513</c:v>
                </c:pt>
                <c:pt idx="622">
                  <c:v>1.585104771014727</c:v>
                </c:pt>
                <c:pt idx="623">
                  <c:v>1.5568151202193974</c:v>
                </c:pt>
                <c:pt idx="624">
                  <c:v>1.5295172799716283</c:v>
                </c:pt>
                <c:pt idx="625">
                  <c:v>1.5031600040261424</c:v>
                </c:pt>
                <c:pt idx="626">
                  <c:v>1.4776955159781267</c:v>
                </c:pt>
                <c:pt idx="627">
                  <c:v>1.4530792205466696</c:v>
                </c:pt>
                <c:pt idx="628">
                  <c:v>1.4292694432070334</c:v>
                </c:pt>
                <c:pt idx="629">
                  <c:v>1.4062271949786407</c:v>
                </c:pt>
                <c:pt idx="630">
                  <c:v>1.3839159595776778</c:v>
                </c:pt>
                <c:pt idx="631">
                  <c:v>1.3623015004934018</c:v>
                </c:pt>
                <c:pt idx="632">
                  <c:v>1.3413516858456092</c:v>
                </c:pt>
                <c:pt idx="633">
                  <c:v>1.3210363291411227</c:v>
                </c:pt>
                <c:pt idx="634">
                  <c:v>1.3013270442705789</c:v>
                </c:pt>
                <c:pt idx="635">
                  <c:v>1.2821971132819954</c:v>
                </c:pt>
                <c:pt idx="636">
                  <c:v>1.2636213656370501</c:v>
                </c:pt>
                <c:pt idx="637">
                  <c:v>1.245576067803313</c:v>
                </c:pt>
                <c:pt idx="638">
                  <c:v>1.2280388221647911</c:v>
                </c:pt>
                <c:pt idx="639">
                  <c:v>1.2109884743469479</c:v>
                </c:pt>
                <c:pt idx="640">
                  <c:v>1.1944050281487932</c:v>
                </c:pt>
                <c:pt idx="641">
                  <c:v>1.1782695673653336</c:v>
                </c:pt>
                <c:pt idx="642">
                  <c:v>1.1625641838565741</c:v>
                </c:pt>
                <c:pt idx="643">
                  <c:v>1.1472719112892946</c:v>
                </c:pt>
                <c:pt idx="644">
                  <c:v>1.1323766640362578</c:v>
                </c:pt>
                <c:pt idx="645">
                  <c:v>1.1178631807707404</c:v>
                </c:pt>
                <c:pt idx="646">
                  <c:v>1.103716972340294</c:v>
                </c:pt>
                <c:pt idx="647">
                  <c:v>1.0899242735468135</c:v>
                </c:pt>
                <c:pt idx="648">
                  <c:v>1.0764719984940712</c:v>
                </c:pt>
                <c:pt idx="649">
                  <c:v>1.0633476992003352</c:v>
                </c:pt>
                <c:pt idx="650">
                  <c:v>1.0505395271995042</c:v>
                </c:pt>
                <c:pt idx="651">
                  <c:v>1.038036197882974</c:v>
                </c:pt>
                <c:pt idx="652">
                  <c:v>1.0258269573559176</c:v>
                </c:pt>
                <c:pt idx="653">
                  <c:v>1.013901551604647</c:v>
                </c:pt>
                <c:pt idx="654">
                  <c:v>1.0022501977875038</c:v>
                </c:pt>
                <c:pt idx="655">
                  <c:v>0.99086355748295318</c:v>
                </c:pt>
                <c:pt idx="656">
                  <c:v>0.97973271173844978</c:v>
                </c:pt>
                <c:pt idx="657">
                  <c:v>0.96884913778237092</c:v>
                </c:pt>
                <c:pt idx="658">
                  <c:v>0.95820468726989816</c:v>
                </c:pt>
                <c:pt idx="659">
                  <c:v>0.94779156594631786</c:v>
                </c:pt>
                <c:pt idx="660">
                  <c:v>0.9376023146219552</c:v>
                </c:pt>
                <c:pt idx="661">
                  <c:v>0.92762979136034573</c:v>
                </c:pt>
                <c:pt idx="662">
                  <c:v>0.91786715479034342</c:v>
                </c:pt>
                <c:pt idx="663">
                  <c:v>0.90830784846104962</c:v>
                </c:pt>
                <c:pt idx="664">
                  <c:v>0.89894558616347808</c:v>
                </c:pt>
                <c:pt idx="665">
                  <c:v>0.88977433815014706</c:v>
                </c:pt>
                <c:pt idx="666">
                  <c:v>0.88078831818984327</c:v>
                </c:pt>
                <c:pt idx="667">
                  <c:v>0.87198197139821332</c:v>
                </c:pt>
              </c:numCache>
            </c:numRef>
          </c:yVal>
          <c:smooth val="0"/>
          <c:extLst>
            <c:ext xmlns:c16="http://schemas.microsoft.com/office/drawing/2014/chart" uri="{C3380CC4-5D6E-409C-BE32-E72D297353CC}">
              <c16:uniqueId val="{00000002-C323-45F5-AD89-2A9969707A73}"/>
            </c:ext>
          </c:extLst>
        </c:ser>
        <c:ser>
          <c:idx val="3"/>
          <c:order val="3"/>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Calculations'!$BI$9:$BI$676</c:f>
              <c:numCache>
                <c:formatCode>General</c:formatCode>
                <c:ptCount val="668"/>
                <c:pt idx="0">
                  <c:v>133.56400099158742</c:v>
                </c:pt>
                <c:pt idx="1">
                  <c:v>115.46111497599769</c:v>
                </c:pt>
                <c:pt idx="2">
                  <c:v>107.6454903986744</c:v>
                </c:pt>
                <c:pt idx="3">
                  <c:v>103.45601908105928</c:v>
                </c:pt>
                <c:pt idx="4">
                  <c:v>100.8757671707624</c:v>
                </c:pt>
                <c:pt idx="5">
                  <c:v>99.137193038124167</c:v>
                </c:pt>
                <c:pt idx="6">
                  <c:v>97.891090302935581</c:v>
                </c:pt>
                <c:pt idx="7">
                  <c:v>96.957117624756805</c:v>
                </c:pt>
                <c:pt idx="8">
                  <c:v>96.233106007206345</c:v>
                </c:pt>
                <c:pt idx="9">
                  <c:v>95.656966031631924</c:v>
                </c:pt>
                <c:pt idx="10">
                  <c:v>93.176993588719128</c:v>
                </c:pt>
                <c:pt idx="11">
                  <c:v>92.499194408729679</c:v>
                </c:pt>
                <c:pt idx="12">
                  <c:v>92.274044412887875</c:v>
                </c:pt>
                <c:pt idx="13">
                  <c:v>92.23015280391823</c:v>
                </c:pt>
                <c:pt idx="14">
                  <c:v>92.276921772226089</c:v>
                </c:pt>
                <c:pt idx="15">
                  <c:v>92.375497111699715</c:v>
                </c:pt>
                <c:pt idx="16">
                  <c:v>92.506443288925539</c:v>
                </c:pt>
                <c:pt idx="17">
                  <c:v>92.658958885109485</c:v>
                </c:pt>
                <c:pt idx="18">
                  <c:v>92.826560638443752</c:v>
                </c:pt>
                <c:pt idx="19">
                  <c:v>94.832471121324744</c:v>
                </c:pt>
                <c:pt idx="20">
                  <c:v>97.012021008692656</c:v>
                </c:pt>
                <c:pt idx="21">
                  <c:v>99.225211126711727</c:v>
                </c:pt>
                <c:pt idx="22">
                  <c:v>101.44097527868163</c:v>
                </c:pt>
                <c:pt idx="23">
                  <c:v>103.64645304483042</c:v>
                </c:pt>
                <c:pt idx="24">
                  <c:v>105.83403683390081</c:v>
                </c:pt>
                <c:pt idx="25">
                  <c:v>107.99813948151598</c:v>
                </c:pt>
                <c:pt idx="26">
                  <c:v>110.1341200070074</c:v>
                </c:pt>
                <c:pt idx="27">
                  <c:v>112.23785478845207</c:v>
                </c:pt>
                <c:pt idx="28">
                  <c:v>122.14633444713429</c:v>
                </c:pt>
                <c:pt idx="29">
                  <c:v>130.73819217897309</c:v>
                </c:pt>
                <c:pt idx="30">
                  <c:v>137.60254550296051</c:v>
                </c:pt>
                <c:pt idx="31">
                  <c:v>142.20012999982652</c:v>
                </c:pt>
                <c:pt idx="32">
                  <c:v>143.58307334240044</c:v>
                </c:pt>
                <c:pt idx="33">
                  <c:v>139.79413350514284</c:v>
                </c:pt>
                <c:pt idx="34">
                  <c:v>126.9862366746147</c:v>
                </c:pt>
                <c:pt idx="35">
                  <c:v>102.42961963632538</c:v>
                </c:pt>
                <c:pt idx="36">
                  <c:v>77.110577813064666</c:v>
                </c:pt>
                <c:pt idx="37">
                  <c:v>62.238114823015778</c:v>
                </c:pt>
                <c:pt idx="38">
                  <c:v>55.178046932017921</c:v>
                </c:pt>
                <c:pt idx="39">
                  <c:v>52.032226820624487</c:v>
                </c:pt>
                <c:pt idx="40">
                  <c:v>50.809694595850544</c:v>
                </c:pt>
                <c:pt idx="41">
                  <c:v>50.573473862628191</c:v>
                </c:pt>
                <c:pt idx="42">
                  <c:v>50.859973473769799</c:v>
                </c:pt>
                <c:pt idx="43">
                  <c:v>51.425340283031773</c:v>
                </c:pt>
                <c:pt idx="44">
                  <c:v>52.134673546881942</c:v>
                </c:pt>
                <c:pt idx="45">
                  <c:v>52.91055221380536</c:v>
                </c:pt>
                <c:pt idx="46">
                  <c:v>53.707486231337711</c:v>
                </c:pt>
                <c:pt idx="47">
                  <c:v>54.498470266360727</c:v>
                </c:pt>
                <c:pt idx="48">
                  <c:v>55.267548528787572</c:v>
                </c:pt>
                <c:pt idx="49">
                  <c:v>56.005531555385105</c:v>
                </c:pt>
                <c:pt idx="50">
                  <c:v>56.707444171680208</c:v>
                </c:pt>
                <c:pt idx="51">
                  <c:v>57.370962457654755</c:v>
                </c:pt>
                <c:pt idx="52">
                  <c:v>57.995434887779666</c:v>
                </c:pt>
                <c:pt idx="53">
                  <c:v>58.581258415509993</c:v>
                </c:pt>
                <c:pt idx="54">
                  <c:v>59.129475441185832</c:v>
                </c:pt>
                <c:pt idx="55">
                  <c:v>59.64151103598148</c:v>
                </c:pt>
                <c:pt idx="56">
                  <c:v>60.119000740354011</c:v>
                </c:pt>
                <c:pt idx="57">
                  <c:v>60.563677672834174</c:v>
                </c:pt>
                <c:pt idx="58">
                  <c:v>60.977298912620668</c:v>
                </c:pt>
                <c:pt idx="59">
                  <c:v>61.361598110761676</c:v>
                </c:pt>
                <c:pt idx="60">
                  <c:v>61.718255720553969</c:v>
                </c:pt>
                <c:pt idx="61">
                  <c:v>62.048881099325968</c:v>
                </c:pt>
                <c:pt idx="62">
                  <c:v>62.3550026070114</c:v>
                </c:pt>
                <c:pt idx="63">
                  <c:v>62.638063069166208</c:v>
                </c:pt>
                <c:pt idx="64">
                  <c:v>62.899418805295966</c:v>
                </c:pt>
                <c:pt idx="65">
                  <c:v>63.14034098779203</c:v>
                </c:pt>
                <c:pt idx="66">
                  <c:v>63.362018482399947</c:v>
                </c:pt>
                <c:pt idx="67">
                  <c:v>63.565561586512032</c:v>
                </c:pt>
                <c:pt idx="68">
                  <c:v>63.752006265267113</c:v>
                </c:pt>
                <c:pt idx="69">
                  <c:v>63.922318613171555</c:v>
                </c:pt>
                <c:pt idx="70">
                  <c:v>64.077399358051167</c:v>
                </c:pt>
                <c:pt idx="71">
                  <c:v>64.218088286388948</c:v>
                </c:pt>
                <c:pt idx="72">
                  <c:v>64.345168512579178</c:v>
                </c:pt>
                <c:pt idx="73">
                  <c:v>64.459370544924766</c:v>
                </c:pt>
                <c:pt idx="74">
                  <c:v>64.561376122211755</c:v>
                </c:pt>
                <c:pt idx="75">
                  <c:v>64.65182180913942</c:v>
                </c:pt>
                <c:pt idx="76">
                  <c:v>64.731302348682334</c:v>
                </c:pt>
                <c:pt idx="77">
                  <c:v>64.800373775978159</c:v>
                </c:pt>
                <c:pt idx="78">
                  <c:v>64.859556302526428</c:v>
                </c:pt>
                <c:pt idx="79">
                  <c:v>64.909336982047392</c:v>
                </c:pt>
                <c:pt idx="80">
                  <c:v>64.950172170768724</c:v>
                </c:pt>
                <c:pt idx="81">
                  <c:v>64.982489795535898</c:v>
                </c:pt>
                <c:pt idx="82">
                  <c:v>65.006691443233592</c:v>
                </c:pt>
                <c:pt idx="83">
                  <c:v>65.023154284731149</c:v>
                </c:pt>
                <c:pt idx="84">
                  <c:v>65.032232846061788</c:v>
                </c:pt>
                <c:pt idx="85">
                  <c:v>65.034260638897933</c:v>
                </c:pt>
                <c:pt idx="86">
                  <c:v>65.029551661658587</c:v>
                </c:pt>
                <c:pt idx="87">
                  <c:v>65.018401781823783</c:v>
                </c:pt>
                <c:pt idx="88">
                  <c:v>65.001090009265909</c:v>
                </c:pt>
                <c:pt idx="89">
                  <c:v>64.977879669660808</c:v>
                </c:pt>
                <c:pt idx="90">
                  <c:v>64.949019486319244</c:v>
                </c:pt>
                <c:pt idx="91">
                  <c:v>64.914744578100652</c:v>
                </c:pt>
                <c:pt idx="92">
                  <c:v>64.875277380429651</c:v>
                </c:pt>
                <c:pt idx="93">
                  <c:v>64.830828495840748</c:v>
                </c:pt>
                <c:pt idx="94">
                  <c:v>64.781597479924983</c:v>
                </c:pt>
                <c:pt idx="95">
                  <c:v>64.727773568043574</c:v>
                </c:pt>
                <c:pt idx="96">
                  <c:v>64.669536347708117</c:v>
                </c:pt>
                <c:pt idx="97">
                  <c:v>64.607056381096186</c:v>
                </c:pt>
                <c:pt idx="98">
                  <c:v>64.540495781784273</c:v>
                </c:pt>
                <c:pt idx="99">
                  <c:v>64.470008749419179</c:v>
                </c:pt>
                <c:pt idx="100">
                  <c:v>64.395742065726736</c:v>
                </c:pt>
                <c:pt idx="101">
                  <c:v>64.317835554959103</c:v>
                </c:pt>
                <c:pt idx="102">
                  <c:v>64.236422511613014</c:v>
                </c:pt>
                <c:pt idx="103">
                  <c:v>64.151630098005811</c:v>
                </c:pt>
                <c:pt idx="104">
                  <c:v>64.063579714073782</c:v>
                </c:pt>
                <c:pt idx="105">
                  <c:v>63.972387341553997</c:v>
                </c:pt>
                <c:pt idx="106">
                  <c:v>63.878163864527167</c:v>
                </c:pt>
                <c:pt idx="107">
                  <c:v>63.781015368131122</c:v>
                </c:pt>
                <c:pt idx="108">
                  <c:v>63.681043417102018</c:v>
                </c:pt>
                <c:pt idx="109">
                  <c:v>63.57834531566273</c:v>
                </c:pt>
                <c:pt idx="110">
                  <c:v>63.473014350149199</c:v>
                </c:pt>
                <c:pt idx="111">
                  <c:v>63.365140015654362</c:v>
                </c:pt>
                <c:pt idx="112">
                  <c:v>63.254808227861048</c:v>
                </c:pt>
                <c:pt idx="113">
                  <c:v>63.142101521141853</c:v>
                </c:pt>
                <c:pt idx="114">
                  <c:v>63.027099233916758</c:v>
                </c:pt>
                <c:pt idx="115">
                  <c:v>62.909877682179783</c:v>
                </c:pt>
                <c:pt idx="116">
                  <c:v>62.790510322032958</c:v>
                </c:pt>
                <c:pt idx="117">
                  <c:v>62.669067902001387</c:v>
                </c:pt>
                <c:pt idx="118">
                  <c:v>62.545618605840787</c:v>
                </c:pt>
                <c:pt idx="119">
                  <c:v>62.420228186495279</c:v>
                </c:pt>
                <c:pt idx="120">
                  <c:v>62.29296009181158</c:v>
                </c:pt>
                <c:pt idx="121">
                  <c:v>62.163875582570157</c:v>
                </c:pt>
                <c:pt idx="122">
                  <c:v>62.033033843351205</c:v>
                </c:pt>
                <c:pt idx="123">
                  <c:v>61.900492086714152</c:v>
                </c:pt>
                <c:pt idx="124">
                  <c:v>61.766305651134658</c:v>
                </c:pt>
                <c:pt idx="125">
                  <c:v>61.630528093109731</c:v>
                </c:pt>
                <c:pt idx="126">
                  <c:v>61.493211273810616</c:v>
                </c:pt>
                <c:pt idx="127">
                  <c:v>61.354405440638047</c:v>
                </c:pt>
                <c:pt idx="128">
                  <c:v>61.214159304006529</c:v>
                </c:pt>
                <c:pt idx="129">
                  <c:v>61.072520109662008</c:v>
                </c:pt>
                <c:pt idx="130">
                  <c:v>60.929533706816059</c:v>
                </c:pt>
                <c:pt idx="131">
                  <c:v>60.785244612359108</c:v>
                </c:pt>
                <c:pt idx="132">
                  <c:v>60.639696071397722</c:v>
                </c:pt>
                <c:pt idx="133">
                  <c:v>60.492930114343579</c:v>
                </c:pt>
                <c:pt idx="134">
                  <c:v>60.344987610766594</c:v>
                </c:pt>
                <c:pt idx="135">
                  <c:v>60.195908320209398</c:v>
                </c:pt>
                <c:pt idx="136">
                  <c:v>60.045730940148886</c:v>
                </c:pt>
                <c:pt idx="137">
                  <c:v>59.89449315127564</c:v>
                </c:pt>
                <c:pt idx="138">
                  <c:v>59.742231660253822</c:v>
                </c:pt>
                <c:pt idx="139">
                  <c:v>59.588982240110397</c:v>
                </c:pt>
                <c:pt idx="140">
                  <c:v>59.434779768394833</c:v>
                </c:pt>
                <c:pt idx="141">
                  <c:v>59.279658263241359</c:v>
                </c:pt>
                <c:pt idx="142">
                  <c:v>59.123650917455961</c:v>
                </c:pt>
                <c:pt idx="143">
                  <c:v>58.96679013074403</c:v>
                </c:pt>
                <c:pt idx="144">
                  <c:v>58.809107540187085</c:v>
                </c:pt>
                <c:pt idx="145">
                  <c:v>58.650634049068401</c:v>
                </c:pt>
                <c:pt idx="146">
                  <c:v>58.491399854145087</c:v>
                </c:pt>
                <c:pt idx="147">
                  <c:v>58.331434471453306</c:v>
                </c:pt>
                <c:pt idx="148">
                  <c:v>58.170766760732178</c:v>
                </c:pt>
                <c:pt idx="149">
                  <c:v>58.009424948544662</c:v>
                </c:pt>
                <c:pt idx="150">
                  <c:v>57.847436650168902</c:v>
                </c:pt>
                <c:pt idx="151">
                  <c:v>57.684828890330806</c:v>
                </c:pt>
                <c:pt idx="152">
                  <c:v>57.521628122841918</c:v>
                </c:pt>
                <c:pt idx="153">
                  <c:v>57.357860249205814</c:v>
                </c:pt>
                <c:pt idx="154">
                  <c:v>57.193550636249697</c:v>
                </c:pt>
                <c:pt idx="155">
                  <c:v>57.028724132837212</c:v>
                </c:pt>
                <c:pt idx="156">
                  <c:v>56.863405085712756</c:v>
                </c:pt>
                <c:pt idx="157">
                  <c:v>56.697617354527253</c:v>
                </c:pt>
                <c:pt idx="158">
                  <c:v>56.531384326090034</c:v>
                </c:pt>
                <c:pt idx="159">
                  <c:v>56.364728927890965</c:v>
                </c:pt>
                <c:pt idx="160">
                  <c:v>56.197673640933999</c:v>
                </c:pt>
                <c:pt idx="161">
                  <c:v>56.030240511918791</c:v>
                </c:pt>
                <c:pt idx="162">
                  <c:v>55.862451164809698</c:v>
                </c:pt>
                <c:pt idx="163">
                  <c:v>55.694326811824197</c:v>
                </c:pt>
                <c:pt idx="164">
                  <c:v>55.525888263874592</c:v>
                </c:pt>
                <c:pt idx="165">
                  <c:v>55.357155940493271</c:v>
                </c:pt>
                <c:pt idx="166">
                  <c:v>55.188149879270597</c:v>
                </c:pt>
                <c:pt idx="167">
                  <c:v>55.018889744833643</c:v>
                </c:pt>
                <c:pt idx="168">
                  <c:v>54.849394837390321</c:v>
                </c:pt>
                <c:pt idx="169">
                  <c:v>54.679684100865245</c:v>
                </c:pt>
                <c:pt idx="170">
                  <c:v>54.509776130649527</c:v>
                </c:pt>
                <c:pt idx="171">
                  <c:v>54.339689180986937</c:v>
                </c:pt>
                <c:pt idx="172">
                  <c:v>54.169441172016988</c:v>
                </c:pt>
                <c:pt idx="173">
                  <c:v>53.999049696495405</c:v>
                </c:pt>
                <c:pt idx="174">
                  <c:v>53.828532026209928</c:v>
                </c:pt>
                <c:pt idx="175">
                  <c:v>53.657905118109497</c:v>
                </c:pt>
                <c:pt idx="176">
                  <c:v>53.487185620163629</c:v>
                </c:pt>
                <c:pt idx="177">
                  <c:v>53.316389876967662</c:v>
                </c:pt>
                <c:pt idx="178">
                  <c:v>53.145533935109185</c:v>
                </c:pt>
                <c:pt idx="179">
                  <c:v>52.974633548309427</c:v>
                </c:pt>
                <c:pt idx="180">
                  <c:v>52.803704182353655</c:v>
                </c:pt>
                <c:pt idx="181">
                  <c:v>52.632761019822638</c:v>
                </c:pt>
                <c:pt idx="182">
                  <c:v>52.461818964638013</c:v>
                </c:pt>
                <c:pt idx="183">
                  <c:v>52.290892646431999</c:v>
                </c:pt>
                <c:pt idx="184">
                  <c:v>52.119996424753381</c:v>
                </c:pt>
                <c:pt idx="185">
                  <c:v>51.949144393118644</c:v>
                </c:pt>
                <c:pt idx="186">
                  <c:v>51.778350382919683</c:v>
                </c:pt>
                <c:pt idx="187">
                  <c:v>51.607627967194787</c:v>
                </c:pt>
                <c:pt idx="188">
                  <c:v>51.436990464274061</c:v>
                </c:pt>
                <c:pt idx="189">
                  <c:v>51.266450941305521</c:v>
                </c:pt>
                <c:pt idx="190">
                  <c:v>51.096022217670821</c:v>
                </c:pt>
                <c:pt idx="191">
                  <c:v>50.925716868296576</c:v>
                </c:pt>
                <c:pt idx="192">
                  <c:v>50.755547226869425</c:v>
                </c:pt>
                <c:pt idx="193">
                  <c:v>50.585525388960576</c:v>
                </c:pt>
                <c:pt idx="194">
                  <c:v>50.415663215065905</c:v>
                </c:pt>
                <c:pt idx="195">
                  <c:v>50.245972333567522</c:v>
                </c:pt>
                <c:pt idx="196">
                  <c:v>50.076464143622246</c:v>
                </c:pt>
                <c:pt idx="197">
                  <c:v>49.90714981798169</c:v>
                </c:pt>
                <c:pt idx="198">
                  <c:v>49.73804030574928</c:v>
                </c:pt>
                <c:pt idx="199">
                  <c:v>49.569146335078131</c:v>
                </c:pt>
                <c:pt idx="200">
                  <c:v>49.400478415814206</c:v>
                </c:pt>
                <c:pt idx="201">
                  <c:v>49.232046842089034</c:v>
                </c:pt>
                <c:pt idx="202">
                  <c:v>49.063861694864727</c:v>
                </c:pt>
                <c:pt idx="203">
                  <c:v>48.895932844435919</c:v>
                </c:pt>
                <c:pt idx="204">
                  <c:v>48.728269952891139</c:v>
                </c:pt>
                <c:pt idx="205">
                  <c:v>48.560882476536506</c:v>
                </c:pt>
                <c:pt idx="206">
                  <c:v>48.393779668285163</c:v>
                </c:pt>
                <c:pt idx="207">
                  <c:v>48.226970580014324</c:v>
                </c:pt>
                <c:pt idx="208">
                  <c:v>48.060464064893125</c:v>
                </c:pt>
                <c:pt idx="209">
                  <c:v>47.894268779683017</c:v>
                </c:pt>
                <c:pt idx="210">
                  <c:v>47.7283931870125</c:v>
                </c:pt>
                <c:pt idx="211">
                  <c:v>47.562845557629458</c:v>
                </c:pt>
                <c:pt idx="212">
                  <c:v>47.397633972630842</c:v>
                </c:pt>
                <c:pt idx="213">
                  <c:v>47.232766325673424</c:v>
                </c:pt>
                <c:pt idx="214">
                  <c:v>47.068250325165565</c:v>
                </c:pt>
                <c:pt idx="215">
                  <c:v>46.904093496441988</c:v>
                </c:pt>
                <c:pt idx="216">
                  <c:v>46.740303183923288</c:v>
                </c:pt>
                <c:pt idx="217">
                  <c:v>46.57688655326001</c:v>
                </c:pt>
                <c:pt idx="218">
                  <c:v>46.413850593464275</c:v>
                </c:pt>
                <c:pt idx="219">
                  <c:v>46.251202119027113</c:v>
                </c:pt>
                <c:pt idx="220">
                  <c:v>46.088947772025989</c:v>
                </c:pt>
                <c:pt idx="221">
                  <c:v>45.927094024219656</c:v>
                </c:pt>
                <c:pt idx="222">
                  <c:v>45.765647179133339</c:v>
                </c:pt>
                <c:pt idx="223">
                  <c:v>45.604613374134175</c:v>
                </c:pt>
                <c:pt idx="224">
                  <c:v>45.443998582497073</c:v>
                </c:pt>
                <c:pt idx="225">
                  <c:v>45.283808615461965</c:v>
                </c:pt>
                <c:pt idx="226">
                  <c:v>43.706440993835145</c:v>
                </c:pt>
                <c:pt idx="227">
                  <c:v>42.176822970297366</c:v>
                </c:pt>
                <c:pt idx="228">
                  <c:v>40.698406060158533</c:v>
                </c:pt>
                <c:pt idx="229">
                  <c:v>39.273452708280672</c:v>
                </c:pt>
                <c:pt idx="230">
                  <c:v>37.903218072756061</c:v>
                </c:pt>
                <c:pt idx="231">
                  <c:v>36.588119314641517</c:v>
                </c:pt>
                <c:pt idx="232">
                  <c:v>35.327890125057991</c:v>
                </c:pt>
                <c:pt idx="233">
                  <c:v>34.1217189615449</c:v>
                </c:pt>
                <c:pt idx="234">
                  <c:v>32.968370335218452</c:v>
                </c:pt>
                <c:pt idx="235">
                  <c:v>31.866289289101161</c:v>
                </c:pt>
                <c:pt idx="236">
                  <c:v>30.813689842312328</c:v>
                </c:pt>
                <c:pt idx="237">
                  <c:v>29.808628618298997</c:v>
                </c:pt>
                <c:pt idx="238">
                  <c:v>28.849065140010481</c:v>
                </c:pt>
                <c:pt idx="239">
                  <c:v>27.932910391297867</c:v>
                </c:pt>
                <c:pt idx="240">
                  <c:v>27.058065247905489</c:v>
                </c:pt>
                <c:pt idx="241">
                  <c:v>26.222450307610785</c:v>
                </c:pt>
                <c:pt idx="242">
                  <c:v>25.424028526567952</c:v>
                </c:pt>
                <c:pt idx="243">
                  <c:v>24.660821920584624</c:v>
                </c:pt>
                <c:pt idx="244">
                  <c:v>23.930923432635694</c:v>
                </c:pt>
                <c:pt idx="245">
                  <c:v>23.232504912817717</c:v>
                </c:pt>
                <c:pt idx="246">
                  <c:v>22.56382201137734</c:v>
                </c:pt>
                <c:pt idx="247">
                  <c:v>21.923216653443944</c:v>
                </c:pt>
                <c:pt idx="248">
                  <c:v>21.309117647437404</c:v>
                </c:pt>
                <c:pt idx="249">
                  <c:v>20.720039878071901</c:v>
                </c:pt>
                <c:pt idx="250">
                  <c:v>20.154582448750432</c:v>
                </c:pt>
                <c:pt idx="251">
                  <c:v>19.611426065698936</c:v>
                </c:pt>
                <c:pt idx="252">
                  <c:v>19.08932989593481</c:v>
                </c:pt>
                <c:pt idx="253">
                  <c:v>18.587128081530693</c:v>
                </c:pt>
                <c:pt idx="254">
                  <c:v>18.103726052095254</c:v>
                </c:pt>
                <c:pt idx="255">
                  <c:v>17.638096744541116</c:v>
                </c:pt>
                <c:pt idx="256">
                  <c:v>17.189276812779809</c:v>
                </c:pt>
                <c:pt idx="257">
                  <c:v>16.75636288886443</c:v>
                </c:pt>
                <c:pt idx="258">
                  <c:v>16.338507940353821</c:v>
                </c:pt>
                <c:pt idx="259">
                  <c:v>15.934917755474459</c:v>
                </c:pt>
                <c:pt idx="260">
                  <c:v>15.544847577350964</c:v>
                </c:pt>
                <c:pt idx="261">
                  <c:v>15.167598900588416</c:v>
                </c:pt>
                <c:pt idx="262">
                  <c:v>14.802516437367871</c:v>
                </c:pt>
                <c:pt idx="263">
                  <c:v>14.448985255576531</c:v>
                </c:pt>
                <c:pt idx="264">
                  <c:v>14.106428088034022</c:v>
                </c:pt>
                <c:pt idx="265">
                  <c:v>13.774302809340156</c:v>
                </c:pt>
                <c:pt idx="266">
                  <c:v>13.452100075067534</c:v>
                </c:pt>
                <c:pt idx="267">
                  <c:v>13.139341116779889</c:v>
                </c:pt>
                <c:pt idx="268">
                  <c:v>12.835575685558979</c:v>
                </c:pt>
                <c:pt idx="269">
                  <c:v>12.540380136256999</c:v>
                </c:pt>
                <c:pt idx="270">
                  <c:v>12.253355644480564</c:v>
                </c:pt>
                <c:pt idx="271">
                  <c:v>11.974126548293242</c:v>
                </c:pt>
                <c:pt idx="272">
                  <c:v>11.702338806741892</c:v>
                </c:pt>
                <c:pt idx="273">
                  <c:v>11.437658567534555</c:v>
                </c:pt>
                <c:pt idx="274">
                  <c:v>11.179770836485034</c:v>
                </c:pt>
                <c:pt idx="275">
                  <c:v>10.928378241678445</c:v>
                </c:pt>
                <c:pt idx="276">
                  <c:v>10.683199885673389</c:v>
                </c:pt>
                <c:pt idx="277">
                  <c:v>10.44397027943711</c:v>
                </c:pt>
                <c:pt idx="278">
                  <c:v>10.210438352091614</c:v>
                </c:pt>
                <c:pt idx="279">
                  <c:v>9.982366530926214</c:v>
                </c:pt>
                <c:pt idx="280">
                  <c:v>9.759529886503401</c:v>
                </c:pt>
                <c:pt idx="281">
                  <c:v>9.5417153380390971</c:v>
                </c:pt>
                <c:pt idx="282">
                  <c:v>9.3287209145807424</c:v>
                </c:pt>
                <c:pt idx="283">
                  <c:v>9.1203550678280862</c:v>
                </c:pt>
                <c:pt idx="284">
                  <c:v>8.9164360327482939</c:v>
                </c:pt>
                <c:pt idx="285">
                  <c:v>8.7167912324224233</c:v>
                </c:pt>
                <c:pt idx="286">
                  <c:v>8.5212567238283725</c:v>
                </c:pt>
                <c:pt idx="287">
                  <c:v>8.3296766815161902</c:v>
                </c:pt>
                <c:pt idx="288">
                  <c:v>8.1419029163641596</c:v>
                </c:pt>
                <c:pt idx="289">
                  <c:v>7.9577944268185377</c:v>
                </c:pt>
                <c:pt idx="290">
                  <c:v>7.7772169802219935</c:v>
                </c:pt>
                <c:pt idx="291">
                  <c:v>7.6000427220200208</c:v>
                </c:pt>
                <c:pt idx="292">
                  <c:v>7.4261498108037358</c:v>
                </c:pt>
                <c:pt idx="293">
                  <c:v>7.2554220773097029</c:v>
                </c:pt>
                <c:pt idx="294">
                  <c:v>7.0877487056372388</c:v>
                </c:pt>
                <c:pt idx="295">
                  <c:v>6.9230239350839611</c:v>
                </c:pt>
                <c:pt idx="296">
                  <c:v>6.761146781117759</c:v>
                </c:pt>
                <c:pt idx="297">
                  <c:v>6.6020207741227637</c:v>
                </c:pt>
                <c:pt idx="298">
                  <c:v>6.4455537146573079</c:v>
                </c:pt>
                <c:pt idx="299">
                  <c:v>6.2916574440614284</c:v>
                </c:pt>
                <c:pt idx="300">
                  <c:v>6.1402476293371819</c:v>
                </c:pt>
                <c:pt idx="301">
                  <c:v>5.9912435613101422</c:v>
                </c:pt>
                <c:pt idx="302">
                  <c:v>5.8445679651520379</c:v>
                </c:pt>
                <c:pt idx="303">
                  <c:v>5.7001468224162295</c:v>
                </c:pt>
                <c:pt idx="304">
                  <c:v>5.5579092038001647</c:v>
                </c:pt>
                <c:pt idx="305">
                  <c:v>5.4177871119076713</c:v>
                </c:pt>
                <c:pt idx="306">
                  <c:v>5.279715333337748</c:v>
                </c:pt>
                <c:pt idx="307">
                  <c:v>5.1436312994767377</c:v>
                </c:pt>
                <c:pt idx="308">
                  <c:v>5.009474955415584</c:v>
                </c:pt>
                <c:pt idx="309">
                  <c:v>4.8771886364575607</c:v>
                </c:pt>
                <c:pt idx="310">
                  <c:v>4.7467169517179002</c:v>
                </c:pt>
                <c:pt idx="311">
                  <c:v>4.618006674356451</c:v>
                </c:pt>
                <c:pt idx="312">
                  <c:v>4.4910066380137721</c:v>
                </c:pt>
                <c:pt idx="313">
                  <c:v>4.3656676390542657</c:v>
                </c:pt>
                <c:pt idx="314">
                  <c:v>4.2419423442463824</c:v>
                </c:pt>
                <c:pt idx="315">
                  <c:v>4.1197852035369351</c:v>
                </c:pt>
                <c:pt idx="316">
                  <c:v>3.9991523676002885</c:v>
                </c:pt>
                <c:pt idx="317">
                  <c:v>3.88000160986482</c:v>
                </c:pt>
                <c:pt idx="318">
                  <c:v>3.7622922527406217</c:v>
                </c:pt>
                <c:pt idx="319">
                  <c:v>3.6459850977900032</c:v>
                </c:pt>
                <c:pt idx="320">
                  <c:v>3.5310423596020541</c:v>
                </c:pt>
                <c:pt idx="321">
                  <c:v>3.4174276031455975</c:v>
                </c:pt>
                <c:pt idx="322">
                  <c:v>3.3051056843933964</c:v>
                </c:pt>
                <c:pt idx="323">
                  <c:v>3.194042694021789</c:v>
                </c:pt>
                <c:pt idx="324">
                  <c:v>3.0842059040042216</c:v>
                </c:pt>
                <c:pt idx="325">
                  <c:v>2.9755637169287183</c:v>
                </c:pt>
                <c:pt idx="326">
                  <c:v>2.8680856178804959</c:v>
                </c:pt>
                <c:pt idx="327">
                  <c:v>2.7617421287410764</c:v>
                </c:pt>
                <c:pt idx="328">
                  <c:v>2.6565047647657138</c:v>
                </c:pt>
                <c:pt idx="329">
                  <c:v>2.5523459933080517</c:v>
                </c:pt>
                <c:pt idx="330">
                  <c:v>2.4492391945715326</c:v>
                </c:pt>
                <c:pt idx="331">
                  <c:v>2.3471586242729074</c:v>
                </c:pt>
                <c:pt idx="332">
                  <c:v>2.2460793781112898</c:v>
                </c:pt>
                <c:pt idx="333">
                  <c:v>2.1459773579426553</c:v>
                </c:pt>
                <c:pt idx="334">
                  <c:v>2.0468292395656533</c:v>
                </c:pt>
                <c:pt idx="335">
                  <c:v>1.9486124420313047</c:v>
                </c:pt>
                <c:pt idx="336">
                  <c:v>1.8513050983931123</c:v>
                </c:pt>
                <c:pt idx="337">
                  <c:v>1.7548860278204188</c:v>
                </c:pt>
                <c:pt idx="338">
                  <c:v>1.659334709001854</c:v>
                </c:pt>
                <c:pt idx="339">
                  <c:v>1.5646312547702337</c:v>
                </c:pt>
                <c:pt idx="340">
                  <c:v>1.4707563878849328</c:v>
                </c:pt>
                <c:pt idx="341">
                  <c:v>1.3776914179102846</c:v>
                </c:pt>
                <c:pt idx="342">
                  <c:v>1.2854182191333052</c:v>
                </c:pt>
                <c:pt idx="343">
                  <c:v>1.1939192094674809</c:v>
                </c:pt>
                <c:pt idx="344">
                  <c:v>1.1031773302909755</c:v>
                </c:pt>
                <c:pt idx="345">
                  <c:v>1.0131760271725057</c:v>
                </c:pt>
                <c:pt idx="346">
                  <c:v>0.92389923143932151</c:v>
                </c:pt>
                <c:pt idx="347">
                  <c:v>0.83533134254523134</c:v>
                </c:pt>
                <c:pt idx="348">
                  <c:v>0.74745721119850828</c:v>
                </c:pt>
                <c:pt idx="349">
                  <c:v>0.66026212321210664</c:v>
                </c:pt>
                <c:pt idx="350">
                  <c:v>0.57373178404037617</c:v>
                </c:pt>
                <c:pt idx="351">
                  <c:v>0.48785230396853763</c:v>
                </c:pt>
                <c:pt idx="352">
                  <c:v>0.40261018392371284</c:v>
                </c:pt>
                <c:pt idx="353">
                  <c:v>0.31799230187669991</c:v>
                </c:pt>
                <c:pt idx="354">
                  <c:v>0.23398589980658357</c:v>
                </c:pt>
                <c:pt idx="355">
                  <c:v>0.15057857120109475</c:v>
                </c:pt>
                <c:pt idx="356">
                  <c:v>6.7758249067509269E-2</c:v>
                </c:pt>
                <c:pt idx="357">
                  <c:v>-1.4486805570243177E-2</c:v>
                </c:pt>
                <c:pt idx="358">
                  <c:v>-9.6168014710741545E-2</c:v>
                </c:pt>
                <c:pt idx="359">
                  <c:v>-0.17729649397233516</c:v>
                </c:pt>
                <c:pt idx="360">
                  <c:v>-0.2578830627687978</c:v>
                </c:pt>
                <c:pt idx="361">
                  <c:v>-0.33793825408304201</c:v>
                </c:pt>
                <c:pt idx="362">
                  <c:v>-0.41747232385625921</c:v>
                </c:pt>
                <c:pt idx="363">
                  <c:v>-0.49649526001161348</c:v>
                </c:pt>
                <c:pt idx="364">
                  <c:v>-0.57501679112741044</c:v>
                </c:pt>
                <c:pt idx="365">
                  <c:v>-0.6530463947761973</c:v>
                </c:pt>
                <c:pt idx="366">
                  <c:v>-0.73059330554463031</c:v>
                </c:pt>
                <c:pt idx="367">
                  <c:v>-0.80766652274829198</c:v>
                </c:pt>
                <c:pt idx="368">
                  <c:v>-0.88427481785430473</c:v>
                </c:pt>
                <c:pt idx="369">
                  <c:v>-0.96042674162526964</c:v>
                </c:pt>
                <c:pt idx="370">
                  <c:v>-1.0361306309966096</c:v>
                </c:pt>
                <c:pt idx="371">
                  <c:v>-1.111394615697975</c:v>
                </c:pt>
                <c:pt idx="372">
                  <c:v>-1.186226624630649</c:v>
                </c:pt>
                <c:pt idx="373">
                  <c:v>-1.2606343920112124</c:v>
                </c:pt>
                <c:pt idx="374">
                  <c:v>-1.3346254632908483</c:v>
                </c:pt>
                <c:pt idx="375">
                  <c:v>-1.4082072008600051</c:v>
                </c:pt>
                <c:pt idx="376">
                  <c:v>-1.4813867895483099</c:v>
                </c:pt>
                <c:pt idx="377">
                  <c:v>-1.55417124192644</c:v>
                </c:pt>
                <c:pt idx="378">
                  <c:v>-1.6265674034201822</c:v>
                </c:pt>
                <c:pt idx="379">
                  <c:v>-1.6985819572426237</c:v>
                </c:pt>
                <c:pt idx="380">
                  <c:v>-1.7702214291535086</c:v>
                </c:pt>
                <c:pt idx="381">
                  <c:v>-1.8414921920516747</c:v>
                </c:pt>
                <c:pt idx="382">
                  <c:v>-1.9124004704075901</c:v>
                </c:pt>
                <c:pt idx="383">
                  <c:v>-1.9829523445429516</c:v>
                </c:pt>
                <c:pt idx="384">
                  <c:v>-2.0531537547630307</c:v>
                </c:pt>
                <c:pt idx="385">
                  <c:v>-2.1230105053473665</c:v>
                </c:pt>
                <c:pt idx="386">
                  <c:v>-2.1925282684049989</c:v>
                </c:pt>
                <c:pt idx="387">
                  <c:v>-2.2617125875995612</c:v>
                </c:pt>
                <c:pt idx="388">
                  <c:v>-2.3305688817486612</c:v>
                </c:pt>
                <c:pt idx="389">
                  <c:v>-2.3991024483031254</c:v>
                </c:pt>
                <c:pt idx="390">
                  <c:v>-2.4673184667106511</c:v>
                </c:pt>
                <c:pt idx="391">
                  <c:v>-2.5352220016679894</c:v>
                </c:pt>
                <c:pt idx="392">
                  <c:v>-2.6028180062662614</c:v>
                </c:pt>
                <c:pt idx="393">
                  <c:v>-2.6701113250334743</c:v>
                </c:pt>
                <c:pt idx="394">
                  <c:v>-2.7371066968777313</c:v>
                </c:pt>
                <c:pt idx="395">
                  <c:v>-2.803808757935542</c:v>
                </c:pt>
                <c:pt idx="396">
                  <c:v>-2.8702220443284432</c:v>
                </c:pt>
                <c:pt idx="397">
                  <c:v>-2.9363509948309172</c:v>
                </c:pt>
                <c:pt idx="398">
                  <c:v>-3.0021999534538111</c:v>
                </c:pt>
                <c:pt idx="399">
                  <c:v>-3.0677731719459018</c:v>
                </c:pt>
                <c:pt idx="400">
                  <c:v>-3.1330748122161935</c:v>
                </c:pt>
                <c:pt idx="401">
                  <c:v>-3.1981089486807548</c:v>
                </c:pt>
                <c:pt idx="402">
                  <c:v>-3.2628795705360005</c:v>
                </c:pt>
                <c:pt idx="403">
                  <c:v>-3.3273905839619147</c:v>
                </c:pt>
                <c:pt idx="404">
                  <c:v>-3.3916458142566341</c:v>
                </c:pt>
                <c:pt idx="405">
                  <c:v>-3.455649007906004</c:v>
                </c:pt>
                <c:pt idx="406">
                  <c:v>-3.5194038345897241</c:v>
                </c:pt>
                <c:pt idx="407">
                  <c:v>-3.5829138891264449</c:v>
                </c:pt>
                <c:pt idx="408">
                  <c:v>-3.6461826933601742</c:v>
                </c:pt>
                <c:pt idx="409">
                  <c:v>-3.7092136979897248</c:v>
                </c:pt>
                <c:pt idx="410">
                  <c:v>-3.7720102843436791</c:v>
                </c:pt>
                <c:pt idx="411">
                  <c:v>-3.8345757661022049</c:v>
                </c:pt>
                <c:pt idx="412">
                  <c:v>-3.8969133909679954</c:v>
                </c:pt>
                <c:pt idx="413">
                  <c:v>-3.959026342287757</c:v>
                </c:pt>
                <c:pt idx="414">
                  <c:v>-4.0209177406262597</c:v>
                </c:pt>
                <c:pt idx="415">
                  <c:v>-4.0825906452944878</c:v>
                </c:pt>
                <c:pt idx="416">
                  <c:v>-4.1440480558328829</c:v>
                </c:pt>
                <c:pt idx="417">
                  <c:v>-4.2052929134524106</c:v>
                </c:pt>
                <c:pt idx="418">
                  <c:v>-4.2663281024335333</c:v>
                </c:pt>
                <c:pt idx="419">
                  <c:v>-4.3271564514853083</c:v>
                </c:pt>
                <c:pt idx="420">
                  <c:v>-4.3877807350659452</c:v>
                </c:pt>
                <c:pt idx="421">
                  <c:v>-4.4482036746655069</c:v>
                </c:pt>
                <c:pt idx="422">
                  <c:v>-4.508427940052627</c:v>
                </c:pt>
                <c:pt idx="423">
                  <c:v>-4.5684561504861563</c:v>
                </c:pt>
                <c:pt idx="424">
                  <c:v>-4.628290875892759</c:v>
                </c:pt>
                <c:pt idx="425">
                  <c:v>-4.6879346380120523</c:v>
                </c:pt>
                <c:pt idx="426">
                  <c:v>-4.7473899115095151</c:v>
                </c:pt>
                <c:pt idx="427">
                  <c:v>-4.806659125059042</c:v>
                </c:pt>
                <c:pt idx="428">
                  <c:v>-4.8657446623958549</c:v>
                </c:pt>
                <c:pt idx="429">
                  <c:v>-4.9246488633401668</c:v>
                </c:pt>
                <c:pt idx="430">
                  <c:v>-4.9833740247934202</c:v>
                </c:pt>
                <c:pt idx="431">
                  <c:v>-5.0419224017073816</c:v>
                </c:pt>
                <c:pt idx="432">
                  <c:v>-5.1002962080270606</c:v>
                </c:pt>
                <c:pt idx="433">
                  <c:v>-5.1584976176084183</c:v>
                </c:pt>
                <c:pt idx="434">
                  <c:v>-5.2165287651113772</c:v>
                </c:pt>
                <c:pt idx="435">
                  <c:v>-5.2743917468692132</c:v>
                </c:pt>
                <c:pt idx="436">
                  <c:v>-5.3320886217351244</c:v>
                </c:pt>
                <c:pt idx="437">
                  <c:v>-5.3896214119058641</c:v>
                </c:pt>
                <c:pt idx="438">
                  <c:v>-5.4469921037242273</c:v>
                </c:pt>
                <c:pt idx="439">
                  <c:v>-5.5042026484606197</c:v>
                </c:pt>
                <c:pt idx="440">
                  <c:v>-5.561254963073992</c:v>
                </c:pt>
                <c:pt idx="441">
                  <c:v>-5.6181509309531634</c:v>
                </c:pt>
                <c:pt idx="442">
                  <c:v>-5.6748924026391023</c:v>
                </c:pt>
                <c:pt idx="443">
                  <c:v>-5.7314811965285344</c:v>
                </c:pt>
                <c:pt idx="444">
                  <c:v>-5.7879190995594456</c:v>
                </c:pt>
                <c:pt idx="445">
                  <c:v>-5.8442078678796463</c:v>
                </c:pt>
                <c:pt idx="446">
                  <c:v>-5.900349227497685</c:v>
                </c:pt>
                <c:pt idx="447">
                  <c:v>-5.9563448749178747</c:v>
                </c:pt>
                <c:pt idx="448">
                  <c:v>-6.0121964777589767</c:v>
                </c:pt>
                <c:pt idx="449">
                  <c:v>-6.0679056753574798</c:v>
                </c:pt>
                <c:pt idx="450">
                  <c:v>-6.1234740793562423</c:v>
                </c:pt>
                <c:pt idx="451">
                  <c:v>-6.1789032742776726</c:v>
                </c:pt>
                <c:pt idx="452">
                  <c:v>-6.2341948180836937</c:v>
                </c:pt>
                <c:pt idx="453">
                  <c:v>-6.2893502427212127</c:v>
                </c:pt>
                <c:pt idx="454">
                  <c:v>-6.3443710546542889</c:v>
                </c:pt>
                <c:pt idx="455">
                  <c:v>-6.3992587353840236</c:v>
                </c:pt>
                <c:pt idx="456">
                  <c:v>-6.454014741954694</c:v>
                </c:pt>
                <c:pt idx="457">
                  <c:v>-6.5086405074483196</c:v>
                </c:pt>
                <c:pt idx="458">
                  <c:v>-6.563137441467461</c:v>
                </c:pt>
                <c:pt idx="459">
                  <c:v>-6.6175069306056571</c:v>
                </c:pt>
                <c:pt idx="460">
                  <c:v>-6.6717503389074295</c:v>
                </c:pt>
                <c:pt idx="461">
                  <c:v>-6.7258690083166357</c:v>
                </c:pt>
                <c:pt idx="462">
                  <c:v>-6.7798642591147313</c:v>
                </c:pt>
                <c:pt idx="463">
                  <c:v>-6.8337373903483751</c:v>
                </c:pt>
                <c:pt idx="464">
                  <c:v>-6.8874896802469436</c:v>
                </c:pt>
                <c:pt idx="465">
                  <c:v>-6.9411223866302976</c:v>
                </c:pt>
                <c:pt idx="466">
                  <c:v>-6.9946367473071689</c:v>
                </c:pt>
                <c:pt idx="467">
                  <c:v>-7.0480339804639982</c:v>
                </c:pt>
                <c:pt idx="468">
                  <c:v>-7.1013152850449899</c:v>
                </c:pt>
                <c:pt idx="469">
                  <c:v>-7.154481841123328</c:v>
                </c:pt>
                <c:pt idx="470">
                  <c:v>-7.2075348102637236</c:v>
                </c:pt>
                <c:pt idx="471">
                  <c:v>-7.2604753358768335</c:v>
                </c:pt>
                <c:pt idx="472">
                  <c:v>-7.3133045435654651</c:v>
                </c:pt>
                <c:pt idx="473">
                  <c:v>-7.3660235414629085</c:v>
                </c:pt>
                <c:pt idx="474">
                  <c:v>-7.4186334205637081</c:v>
                </c:pt>
                <c:pt idx="475">
                  <c:v>-7.4711352550470167</c:v>
                </c:pt>
                <c:pt idx="476">
                  <c:v>-7.5235301025922183</c:v>
                </c:pt>
                <c:pt idx="477">
                  <c:v>-7.5758190046882135</c:v>
                </c:pt>
                <c:pt idx="478">
                  <c:v>-7.6280029869350301</c:v>
                </c:pt>
                <c:pt idx="479">
                  <c:v>-7.6800830593396086</c:v>
                </c:pt>
                <c:pt idx="480">
                  <c:v>-7.7320602166039407</c:v>
                </c:pt>
                <c:pt idx="481">
                  <c:v>-7.7839354384078945</c:v>
                </c:pt>
                <c:pt idx="482">
                  <c:v>-7.8357096896853591</c:v>
                </c:pt>
                <c:pt idx="483">
                  <c:v>-7.8873839208939103</c:v>
                </c:pt>
                <c:pt idx="484">
                  <c:v>-7.9389590682796154</c:v>
                </c:pt>
                <c:pt idx="485">
                  <c:v>-7.9904360541351593</c:v>
                </c:pt>
                <c:pt idx="486">
                  <c:v>-8.0418157870527125</c:v>
                </c:pt>
                <c:pt idx="487">
                  <c:v>-8.0930991621714554</c:v>
                </c:pt>
                <c:pt idx="488">
                  <c:v>-8.144287061419675</c:v>
                </c:pt>
                <c:pt idx="489">
                  <c:v>-8.1953803537515171</c:v>
                </c:pt>
                <c:pt idx="490">
                  <c:v>-8.2463798953790501</c:v>
                </c:pt>
                <c:pt idx="491">
                  <c:v>-8.297286529998928</c:v>
                </c:pt>
                <c:pt idx="492">
                  <c:v>-8.3481010890147047</c:v>
                </c:pt>
                <c:pt idx="493">
                  <c:v>-8.3988243917540615</c:v>
                </c:pt>
                <c:pt idx="494">
                  <c:v>-8.4494572456817423</c:v>
                </c:pt>
                <c:pt idx="495">
                  <c:v>-8.5000004466079417</c:v>
                </c:pt>
                <c:pt idx="496">
                  <c:v>-8.5504547788921457</c:v>
                </c:pt>
                <c:pt idx="497">
                  <c:v>-8.600821015643163</c:v>
                </c:pt>
                <c:pt idx="498">
                  <c:v>-8.6510999189143263</c:v>
                </c:pt>
                <c:pt idx="499">
                  <c:v>-8.7012922398955084</c:v>
                </c:pt>
                <c:pt idx="500">
                  <c:v>-8.7513987191004787</c:v>
                </c:pt>
                <c:pt idx="501">
                  <c:v>-8.8014200865506496</c:v>
                </c:pt>
                <c:pt idx="502">
                  <c:v>-8.8513570619552127</c:v>
                </c:pt>
                <c:pt idx="503">
                  <c:v>-8.9012103548872972</c:v>
                </c:pt>
                <c:pt idx="504">
                  <c:v>-8.9509806649568588</c:v>
                </c:pt>
                <c:pt idx="505">
                  <c:v>-9.000668681979846</c:v>
                </c:pt>
                <c:pt idx="506">
                  <c:v>-9.0502750861440404</c:v>
                </c:pt>
                <c:pt idx="507">
                  <c:v>-9.0998005481715722</c:v>
                </c:pt>
                <c:pt idx="508">
                  <c:v>-9.1492457294779399</c:v>
                </c:pt>
                <c:pt idx="509">
                  <c:v>-9.1986112823284998</c:v>
                </c:pt>
                <c:pt idx="510">
                  <c:v>-9.2478978499908067</c:v>
                </c:pt>
                <c:pt idx="511">
                  <c:v>-9.2971060668851067</c:v>
                </c:pt>
                <c:pt idx="512">
                  <c:v>-9.3462365587307659</c:v>
                </c:pt>
                <c:pt idx="513">
                  <c:v>-9.3952899426906242</c:v>
                </c:pt>
                <c:pt idx="514">
                  <c:v>-9.4442668275120525</c:v>
                </c:pt>
                <c:pt idx="515">
                  <c:v>-9.4931678136654796</c:v>
                </c:pt>
                <c:pt idx="516">
                  <c:v>-9.5419934934799642</c:v>
                </c:pt>
                <c:pt idx="517">
                  <c:v>-9.5907444512764926</c:v>
                </c:pt>
                <c:pt idx="518">
                  <c:v>-9.6394212634982637</c:v>
                </c:pt>
                <c:pt idx="519">
                  <c:v>-9.6880244988388142</c:v>
                </c:pt>
                <c:pt idx="520">
                  <c:v>-9.7365547183675858</c:v>
                </c:pt>
                <c:pt idx="521">
                  <c:v>-9.7850124756527066</c:v>
                </c:pt>
                <c:pt idx="522">
                  <c:v>-9.8333983168822101</c:v>
                </c:pt>
                <c:pt idx="523">
                  <c:v>-9.8817127809820704</c:v>
                </c:pt>
                <c:pt idx="524">
                  <c:v>-9.9299563997325322</c:v>
                </c:pt>
                <c:pt idx="525">
                  <c:v>-9.978129697882224</c:v>
                </c:pt>
                <c:pt idx="526">
                  <c:v>-10.026233193259742</c:v>
                </c:pt>
                <c:pt idx="527">
                  <c:v>-10.074267396883471</c:v>
                </c:pt>
                <c:pt idx="528">
                  <c:v>-10.122232813069331</c:v>
                </c:pt>
                <c:pt idx="529">
                  <c:v>-10.170129939536309</c:v>
                </c:pt>
                <c:pt idx="530">
                  <c:v>-10.217959267510111</c:v>
                </c:pt>
                <c:pt idx="531">
                  <c:v>-10.265721281824909</c:v>
                </c:pt>
                <c:pt idx="532">
                  <c:v>-10.313416461023365</c:v>
                </c:pt>
                <c:pt idx="533">
                  <c:v>-10.361045277454281</c:v>
                </c:pt>
                <c:pt idx="534">
                  <c:v>-10.408608197369119</c:v>
                </c:pt>
                <c:pt idx="535">
                  <c:v>-10.456105681016254</c:v>
                </c:pt>
                <c:pt idx="536">
                  <c:v>-10.503538182733848</c:v>
                </c:pt>
                <c:pt idx="537">
                  <c:v>-10.550906151040436</c:v>
                </c:pt>
                <c:pt idx="538">
                  <c:v>-10.598210028724878</c:v>
                </c:pt>
                <c:pt idx="539">
                  <c:v>-10.645450252933557</c:v>
                </c:pt>
                <c:pt idx="540">
                  <c:v>-10.692627255256696</c:v>
                </c:pt>
                <c:pt idx="541">
                  <c:v>-10.739741461813082</c:v>
                </c:pt>
                <c:pt idx="542">
                  <c:v>-10.786793293332863</c:v>
                </c:pt>
                <c:pt idx="543">
                  <c:v>-10.833783165239424</c:v>
                </c:pt>
                <c:pt idx="544">
                  <c:v>-10.880711487729087</c:v>
                </c:pt>
                <c:pt idx="545">
                  <c:v>-10.927578665850092</c:v>
                </c:pt>
                <c:pt idx="546">
                  <c:v>-10.974385099579933</c:v>
                </c:pt>
                <c:pt idx="547">
                  <c:v>-11.021131183900962</c:v>
                </c:pt>
                <c:pt idx="548">
                  <c:v>-11.067817308875163</c:v>
                </c:pt>
                <c:pt idx="549">
                  <c:v>-11.114443859717454</c:v>
                </c:pt>
                <c:pt idx="550">
                  <c:v>-11.161011216867507</c:v>
                </c:pt>
                <c:pt idx="551">
                  <c:v>-11.20751975606052</c:v>
                </c:pt>
                <c:pt idx="552">
                  <c:v>-11.253969848396679</c:v>
                </c:pt>
                <c:pt idx="553">
                  <c:v>-11.30036186040951</c:v>
                </c:pt>
                <c:pt idx="554">
                  <c:v>-11.346696154132729</c:v>
                </c:pt>
                <c:pt idx="555">
                  <c:v>-11.392973087166467</c:v>
                </c:pt>
                <c:pt idx="556">
                  <c:v>-11.439193012741697</c:v>
                </c:pt>
                <c:pt idx="557">
                  <c:v>-11.485356279784213</c:v>
                </c:pt>
                <c:pt idx="558">
                  <c:v>-11.531463232976961</c:v>
                </c:pt>
                <c:pt idx="559">
                  <c:v>-11.577514212821768</c:v>
                </c:pt>
                <c:pt idx="560">
                  <c:v>-11.62350955569957</c:v>
                </c:pt>
                <c:pt idx="561">
                  <c:v>-11.669449593929841</c:v>
                </c:pt>
                <c:pt idx="562">
                  <c:v>-11.715334655829224</c:v>
                </c:pt>
                <c:pt idx="563">
                  <c:v>-11.761165065768779</c:v>
                </c:pt>
                <c:pt idx="564">
                  <c:v>-11.806941144230393</c:v>
                </c:pt>
                <c:pt idx="565">
                  <c:v>-11.852663207862378</c:v>
                </c:pt>
                <c:pt idx="566">
                  <c:v>-11.898331569534122</c:v>
                </c:pt>
                <c:pt idx="567">
                  <c:v>-11.943946538389497</c:v>
                </c:pt>
                <c:pt idx="568">
                  <c:v>-11.989508419899892</c:v>
                </c:pt>
                <c:pt idx="569">
                  <c:v>-12.035017515915939</c:v>
                </c:pt>
                <c:pt idx="570">
                  <c:v>-12.080474124718563</c:v>
                </c:pt>
                <c:pt idx="571">
                  <c:v>-12.12587854106917</c:v>
                </c:pt>
                <c:pt idx="572">
                  <c:v>-12.171231056259018</c:v>
                </c:pt>
                <c:pt idx="573">
                  <c:v>-12.216531958157788</c:v>
                </c:pt>
                <c:pt idx="574">
                  <c:v>-12.261781531261221</c:v>
                </c:pt>
                <c:pt idx="575">
                  <c:v>-12.306980056738126</c:v>
                </c:pt>
                <c:pt idx="576">
                  <c:v>-12.352127812476681</c:v>
                </c:pt>
                <c:pt idx="577">
                  <c:v>-12.397225073129761</c:v>
                </c:pt>
                <c:pt idx="578">
                  <c:v>-12.442272110159593</c:v>
                </c:pt>
                <c:pt idx="579">
                  <c:v>-12.487269191881865</c:v>
                </c:pt>
                <c:pt idx="580">
                  <c:v>-12.532216583508983</c:v>
                </c:pt>
                <c:pt idx="581">
                  <c:v>-12.577114547192565</c:v>
                </c:pt>
                <c:pt idx="582">
                  <c:v>-12.621963342065385</c:v>
                </c:pt>
                <c:pt idx="583">
                  <c:v>-12.66676322428259</c:v>
                </c:pt>
                <c:pt idx="584">
                  <c:v>-12.711514447062314</c:v>
                </c:pt>
                <c:pt idx="585">
                  <c:v>-12.756217260725407</c:v>
                </c:pt>
                <c:pt idx="586">
                  <c:v>-12.800871912734948</c:v>
                </c:pt>
                <c:pt idx="587">
                  <c:v>-12.845478647734865</c:v>
                </c:pt>
                <c:pt idx="588">
                  <c:v>-12.890037707587766</c:v>
                </c:pt>
                <c:pt idx="589">
                  <c:v>-12.934549331412597</c:v>
                </c:pt>
                <c:pt idx="590">
                  <c:v>-12.979013755621537</c:v>
                </c:pt>
                <c:pt idx="591">
                  <c:v>-13.023431213956087</c:v>
                </c:pt>
                <c:pt idx="592">
                  <c:v>-13.067801937522916</c:v>
                </c:pt>
                <c:pt idx="593">
                  <c:v>-13.112126154829014</c:v>
                </c:pt>
                <c:pt idx="594">
                  <c:v>-13.156404091816285</c:v>
                </c:pt>
                <c:pt idx="595">
                  <c:v>-13.200635971895565</c:v>
                </c:pt>
                <c:pt idx="596">
                  <c:v>-13.244822015980191</c:v>
                </c:pt>
                <c:pt idx="597">
                  <c:v>-13.288962442519193</c:v>
                </c:pt>
                <c:pt idx="598">
                  <c:v>-13.3330574675295</c:v>
                </c:pt>
                <c:pt idx="599">
                  <c:v>-13.377107304628311</c:v>
                </c:pt>
                <c:pt idx="600">
                  <c:v>-13.421112165064216</c:v>
                </c:pt>
                <c:pt idx="601">
                  <c:v>-13.465072257748687</c:v>
                </c:pt>
                <c:pt idx="602">
                  <c:v>-13.508987789286294</c:v>
                </c:pt>
                <c:pt idx="603">
                  <c:v>-13.552858964005054</c:v>
                </c:pt>
                <c:pt idx="604">
                  <c:v>-13.596685983985907</c:v>
                </c:pt>
                <c:pt idx="605">
                  <c:v>-13.640469049092019</c:v>
                </c:pt>
                <c:pt idx="606">
                  <c:v>-15.777428368447744</c:v>
                </c:pt>
                <c:pt idx="607">
                  <c:v>-17.823432031860904</c:v>
                </c:pt>
                <c:pt idx="608">
                  <c:v>-19.790285877170362</c:v>
                </c:pt>
                <c:pt idx="609">
                  <c:v>-21.685453282422742</c:v>
                </c:pt>
                <c:pt idx="610">
                  <c:v>-23.513885939254351</c:v>
                </c:pt>
                <c:pt idx="611">
                  <c:v>-25.279054328854926</c:v>
                </c:pt>
                <c:pt idx="612">
                  <c:v>-26.983550999770273</c:v>
                </c:pt>
                <c:pt idx="613">
                  <c:v>-28.629453261871333</c:v>
                </c:pt>
                <c:pt idx="614">
                  <c:v>-30.218544435458028</c:v>
                </c:pt>
                <c:pt idx="615">
                  <c:v>-31.752449094702143</c:v>
                </c:pt>
                <c:pt idx="616">
                  <c:v>-33.232714697131684</c:v>
                </c:pt>
                <c:pt idx="617">
                  <c:v>-34.660859242162161</c:v>
                </c:pt>
                <c:pt idx="618">
                  <c:v>-35.261833954461594</c:v>
                </c:pt>
                <c:pt idx="619">
                  <c:v>-35.853326653642114</c:v>
                </c:pt>
                <c:pt idx="620">
                  <c:v>-36.435516359146021</c:v>
                </c:pt>
                <c:pt idx="621">
                  <c:v>-37.008576203413668</c:v>
                </c:pt>
                <c:pt idx="622">
                  <c:v>-37.572674014756387</c:v>
                </c:pt>
                <c:pt idx="623">
                  <c:v>-38.127972818531134</c:v>
                </c:pt>
                <c:pt idx="624">
                  <c:v>-38.674631268034744</c:v>
                </c:pt>
                <c:pt idx="625">
                  <c:v>-39.212804014921659</c:v>
                </c:pt>
                <c:pt idx="626">
                  <c:v>-39.742642027576892</c:v>
                </c:pt>
                <c:pt idx="627">
                  <c:v>-40.264292864706306</c:v>
                </c:pt>
                <c:pt idx="628">
                  <c:v>-40.777900910406174</c:v>
                </c:pt>
                <c:pt idx="629">
                  <c:v>-41.283607576115713</c:v>
                </c:pt>
                <c:pt idx="630">
                  <c:v>-41.78155147412221</c:v>
                </c:pt>
                <c:pt idx="631">
                  <c:v>-42.271868566653552</c:v>
                </c:pt>
                <c:pt idx="632">
                  <c:v>-42.754692294047487</c:v>
                </c:pt>
                <c:pt idx="633">
                  <c:v>-43.230153685015779</c:v>
                </c:pt>
                <c:pt idx="634">
                  <c:v>-43.698381451613216</c:v>
                </c:pt>
                <c:pt idx="635">
                  <c:v>-44.159502071170095</c:v>
                </c:pt>
                <c:pt idx="636">
                  <c:v>-44.61363985713848</c:v>
                </c:pt>
                <c:pt idx="637">
                  <c:v>-45.060917020539279</c:v>
                </c:pt>
                <c:pt idx="638">
                  <c:v>-45.501453723466142</c:v>
                </c:pt>
                <c:pt idx="639">
                  <c:v>-45.935368125901562</c:v>
                </c:pt>
                <c:pt idx="640">
                  <c:v>-46.362776426927326</c:v>
                </c:pt>
                <c:pt idx="641">
                  <c:v>-46.783792901259346</c:v>
                </c:pt>
                <c:pt idx="642">
                  <c:v>-47.198529931906279</c:v>
                </c:pt>
                <c:pt idx="643">
                  <c:v>-47.60709803963627</c:v>
                </c:pt>
                <c:pt idx="644">
                  <c:v>-48.00960590983729</c:v>
                </c:pt>
                <c:pt idx="645">
                  <c:v>-48.40616041726912</c:v>
                </c:pt>
                <c:pt idx="646">
                  <c:v>-48.796866649131573</c:v>
                </c:pt>
                <c:pt idx="647">
                  <c:v>-49.181827926806733</c:v>
                </c:pt>
                <c:pt idx="648">
                  <c:v>-49.561145826577842</c:v>
                </c:pt>
                <c:pt idx="649">
                  <c:v>-49.934920199577306</c:v>
                </c:pt>
                <c:pt idx="650">
                  <c:v>-50.303249191174984</c:v>
                </c:pt>
                <c:pt idx="651">
                  <c:v>-50.666229259980923</c:v>
                </c:pt>
                <c:pt idx="652">
                  <c:v>-51.023955196605527</c:v>
                </c:pt>
                <c:pt idx="653">
                  <c:v>-51.376520142291213</c:v>
                </c:pt>
                <c:pt idx="654">
                  <c:v>-51.724015607510296</c:v>
                </c:pt>
                <c:pt idx="655">
                  <c:v>-52.066531490598948</c:v>
                </c:pt>
                <c:pt idx="656">
                  <c:v>-52.404156096484144</c:v>
                </c:pt>
                <c:pt idx="657">
                  <c:v>-52.736976155544397</c:v>
                </c:pt>
                <c:pt idx="658">
                  <c:v>-53.06507684263147</c:v>
                </c:pt>
                <c:pt idx="659">
                  <c:v>-53.388541796274069</c:v>
                </c:pt>
                <c:pt idx="660">
                  <c:v>-53.707453138070861</c:v>
                </c:pt>
                <c:pt idx="661">
                  <c:v>-54.021891492276495</c:v>
                </c:pt>
                <c:pt idx="662">
                  <c:v>-54.331936005578342</c:v>
                </c:pt>
                <c:pt idx="663">
                  <c:v>-54.637664367053588</c:v>
                </c:pt>
                <c:pt idx="664">
                  <c:v>-54.93915282829758</c:v>
                </c:pt>
                <c:pt idx="665">
                  <c:v>-55.236476223706489</c:v>
                </c:pt>
                <c:pt idx="666">
                  <c:v>-55.529707990898089</c:v>
                </c:pt>
                <c:pt idx="667">
                  <c:v>-55.818920191250953</c:v>
                </c:pt>
              </c:numCache>
            </c:numRef>
          </c:yVal>
          <c:smooth val="0"/>
          <c:extLst>
            <c:ext xmlns:c16="http://schemas.microsoft.com/office/drawing/2014/chart" uri="{C3380CC4-5D6E-409C-BE32-E72D297353CC}">
              <c16:uniqueId val="{00000003-C323-45F5-AD89-2A9969707A73}"/>
            </c:ext>
          </c:extLst>
        </c:ser>
        <c:dLbls>
          <c:showLegendKey val="0"/>
          <c:showVal val="0"/>
          <c:showCatName val="0"/>
          <c:showSerName val="0"/>
          <c:showPercent val="0"/>
          <c:showBubbleSize val="0"/>
        </c:dLbls>
        <c:axId val="177428736"/>
        <c:axId val="177430528"/>
      </c:scatterChart>
      <c:valAx>
        <c:axId val="177420544"/>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8566911218015"/>
              <c:y val="0.88189196822838745"/>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6816"/>
        <c:crossesAt val="-80"/>
        <c:crossBetween val="midCat"/>
      </c:valAx>
      <c:valAx>
        <c:axId val="1774268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2.9010238907849841E-2"/>
              <c:y val="0.4409459841141904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0544"/>
        <c:crosses val="autoZero"/>
        <c:crossBetween val="midCat"/>
      </c:valAx>
      <c:valAx>
        <c:axId val="177428736"/>
        <c:scaling>
          <c:logBase val="10"/>
          <c:orientation val="minMax"/>
        </c:scaling>
        <c:delete val="1"/>
        <c:axPos val="b"/>
        <c:numFmt formatCode="General" sourceLinked="1"/>
        <c:majorTickMark val="out"/>
        <c:minorTickMark val="none"/>
        <c:tickLblPos val="none"/>
        <c:crossAx val="177430528"/>
        <c:crosses val="autoZero"/>
        <c:crossBetween val="midCat"/>
      </c:valAx>
      <c:valAx>
        <c:axId val="177430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733860059302123"/>
              <c:y val="0.36483022299377932"/>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28736"/>
        <c:crosses val="max"/>
        <c:crossBetween val="midCat"/>
      </c:valAx>
      <c:spPr>
        <a:noFill/>
        <a:ln w="12700">
          <a:solidFill>
            <a:srgbClr val="808080"/>
          </a:solidFill>
          <a:prstDash val="solid"/>
        </a:ln>
      </c:spPr>
    </c:plotArea>
    <c:legend>
      <c:legendPos val="t"/>
      <c:layout>
        <c:manualLayout>
          <c:xMode val="edge"/>
          <c:yMode val="edge"/>
          <c:x val="0.78157068250427764"/>
          <c:y val="1.3123359580052583E-2"/>
          <c:w val="0.20307185151344131"/>
          <c:h val="0.14698190285269724"/>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a:t>
            </a:r>
          </a:p>
        </c:rich>
      </c:tx>
      <c:layout>
        <c:manualLayout>
          <c:xMode val="edge"/>
          <c:yMode val="edge"/>
          <c:x val="0.40108892921960942"/>
          <c:y val="3.3854166666666671E-2"/>
        </c:manualLayout>
      </c:layout>
      <c:overlay val="0"/>
      <c:spPr>
        <a:noFill/>
        <a:ln w="25400">
          <a:noFill/>
        </a:ln>
      </c:spPr>
    </c:title>
    <c:autoTitleDeleted val="0"/>
    <c:plotArea>
      <c:layout>
        <c:manualLayout>
          <c:layoutTarget val="inner"/>
          <c:xMode val="edge"/>
          <c:yMode val="edge"/>
          <c:x val="0.11615245009074388"/>
          <c:y val="0.20833386315374539"/>
          <c:w val="0.79128856624319865"/>
          <c:h val="0.60416820314586173"/>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60.673213560066365</c:v>
                </c:pt>
                <c:pt idx="1">
                  <c:v>56.563164785863663</c:v>
                </c:pt>
                <c:pt idx="2">
                  <c:v>53.51017627501119</c:v>
                </c:pt>
                <c:pt idx="3">
                  <c:v>51.188233078530033</c:v>
                </c:pt>
                <c:pt idx="4">
                  <c:v>49.334386281981523</c:v>
                </c:pt>
                <c:pt idx="5">
                  <c:v>47.797282035415208</c:v>
                </c:pt>
                <c:pt idx="6">
                  <c:v>46.486642523101374</c:v>
                </c:pt>
                <c:pt idx="7">
                  <c:v>45.345271266185819</c:v>
                </c:pt>
                <c:pt idx="8">
                  <c:v>44.334930964975356</c:v>
                </c:pt>
                <c:pt idx="9">
                  <c:v>43.428898823818443</c:v>
                </c:pt>
                <c:pt idx="10">
                  <c:v>37.437696860094789</c:v>
                </c:pt>
                <c:pt idx="11">
                  <c:v>33.921553930284681</c:v>
                </c:pt>
                <c:pt idx="12">
                  <c:v>31.425025324040821</c:v>
                </c:pt>
                <c:pt idx="13">
                  <c:v>29.488145535202097</c:v>
                </c:pt>
                <c:pt idx="14">
                  <c:v>27.905535613715955</c:v>
                </c:pt>
                <c:pt idx="15">
                  <c:v>26.56752194063877</c:v>
                </c:pt>
                <c:pt idx="16">
                  <c:v>25.40860105147943</c:v>
                </c:pt>
                <c:pt idx="17">
                  <c:v>24.386507002971342</c:v>
                </c:pt>
                <c:pt idx="18">
                  <c:v>23.472374270929208</c:v>
                </c:pt>
                <c:pt idx="19">
                  <c:v>17.466661698959488</c:v>
                </c:pt>
                <c:pt idx="20">
                  <c:v>13.969157065788769</c:v>
                </c:pt>
                <c:pt idx="21">
                  <c:v>11.504257180488683</c:v>
                </c:pt>
                <c:pt idx="22">
                  <c:v>9.609396145791969</c:v>
                </c:pt>
                <c:pt idx="23">
                  <c:v>8.0784353589728788</c:v>
                </c:pt>
                <c:pt idx="24">
                  <c:v>6.8013161036550578</c:v>
                </c:pt>
                <c:pt idx="25">
                  <c:v>5.7122453280661576</c:v>
                </c:pt>
                <c:pt idx="26">
                  <c:v>4.7686885565405674</c:v>
                </c:pt>
                <c:pt idx="27">
                  <c:v>3.9415090995906321</c:v>
                </c:pt>
                <c:pt idx="28">
                  <c:v>0.97671519454301792</c:v>
                </c:pt>
                <c:pt idx="29">
                  <c:v>-0.79894291677405738</c:v>
                </c:pt>
                <c:pt idx="30">
                  <c:v>-1.8894426857460667</c:v>
                </c:pt>
                <c:pt idx="31">
                  <c:v>-2.5396797701616665</c:v>
                </c:pt>
                <c:pt idx="32">
                  <c:v>-2.892556825062619</c:v>
                </c:pt>
                <c:pt idx="33">
                  <c:v>-3.03976478785669</c:v>
                </c:pt>
                <c:pt idx="34">
                  <c:v>-3.0431566004602462</c:v>
                </c:pt>
                <c:pt idx="35">
                  <c:v>-2.9456202729401628</c:v>
                </c:pt>
                <c:pt idx="36">
                  <c:v>-2.7773823294384941</c:v>
                </c:pt>
                <c:pt idx="37">
                  <c:v>-2.5599741194783658</c:v>
                </c:pt>
                <c:pt idx="38">
                  <c:v>-2.3088507656489665</c:v>
                </c:pt>
                <c:pt idx="39">
                  <c:v>-2.0351700252874441</c:v>
                </c:pt>
                <c:pt idx="40">
                  <c:v>-1.7470220076050655</c:v>
                </c:pt>
                <c:pt idx="41">
                  <c:v>-1.4502897288291647</c:v>
                </c:pt>
                <c:pt idx="42">
                  <c:v>-1.1492571269480121</c:v>
                </c:pt>
                <c:pt idx="43">
                  <c:v>-0.84704221750019104</c:v>
                </c:pt>
                <c:pt idx="44">
                  <c:v>-0.54590802837937891</c:v>
                </c:pt>
                <c:pt idx="45">
                  <c:v>-0.24748740325774729</c:v>
                </c:pt>
                <c:pt idx="46">
                  <c:v>4.7053355917956306E-2</c:v>
                </c:pt>
                <c:pt idx="47">
                  <c:v>0.33689459314090953</c:v>
                </c:pt>
                <c:pt idx="48">
                  <c:v>0.62147491496488105</c:v>
                </c:pt>
                <c:pt idx="49">
                  <c:v>0.9004256629502716</c:v>
                </c:pt>
                <c:pt idx="50">
                  <c:v>1.1735220738895265</c:v>
                </c:pt>
                <c:pt idx="51">
                  <c:v>1.4406467025854164</c:v>
                </c:pt>
                <c:pt idx="52">
                  <c:v>1.70176191081739</c:v>
                </c:pt>
                <c:pt idx="53">
                  <c:v>1.956889098455358</c:v>
                </c:pt>
                <c:pt idx="54">
                  <c:v>2.2060929760576848</c:v>
                </c:pt>
                <c:pt idx="55">
                  <c:v>2.449469626712629</c:v>
                </c:pt>
                <c:pt idx="56">
                  <c:v>2.6871374295452064</c:v>
                </c:pt>
                <c:pt idx="57">
                  <c:v>2.9192301538622201</c:v>
                </c:pt>
                <c:pt idx="58">
                  <c:v>3.1458917063225837</c:v>
                </c:pt>
                <c:pt idx="59">
                  <c:v>3.3672721414087938</c:v>
                </c:pt>
                <c:pt idx="60">
                  <c:v>3.5835246403330356</c:v>
                </c:pt>
                <c:pt idx="61">
                  <c:v>3.7948032342585991</c:v>
                </c:pt>
                <c:pt idx="62">
                  <c:v>4.001261100762501</c:v>
                </c:pt>
                <c:pt idx="63">
                  <c:v>4.2030493024385578</c:v>
                </c:pt>
                <c:pt idx="64">
                  <c:v>4.4003158668087377</c:v>
                </c:pt>
                <c:pt idx="65">
                  <c:v>4.5932051297349181</c:v>
                </c:pt>
                <c:pt idx="66">
                  <c:v>4.7818572821132772</c:v>
                </c:pt>
                <c:pt idx="67">
                  <c:v>4.9664080731263791</c:v>
                </c:pt>
                <c:pt idx="68">
                  <c:v>5.1469886337177773</c:v>
                </c:pt>
                <c:pt idx="69">
                  <c:v>5.3237253919828937</c:v>
                </c:pt>
                <c:pt idx="70">
                  <c:v>5.4967400583947086</c:v>
                </c:pt>
                <c:pt idx="71">
                  <c:v>5.6661496636241093</c:v>
                </c:pt>
                <c:pt idx="72">
                  <c:v>5.8320666354896753</c:v>
                </c:pt>
                <c:pt idx="73">
                  <c:v>5.9945989045234995</c:v>
                </c:pt>
                <c:pt idx="74">
                  <c:v>6.1538500299520464</c:v>
                </c:pt>
                <c:pt idx="75">
                  <c:v>6.3099193397063669</c:v>
                </c:pt>
                <c:pt idx="76">
                  <c:v>6.4629020795036922</c:v>
                </c:pt>
                <c:pt idx="77">
                  <c:v>6.6128895671656762</c:v>
                </c:pt>
                <c:pt idx="78">
                  <c:v>6.7599693492245025</c:v>
                </c:pt>
                <c:pt idx="79">
                  <c:v>6.9042253575653785</c:v>
                </c:pt>
                <c:pt idx="80">
                  <c:v>7.0457380644047971</c:v>
                </c:pt>
                <c:pt idx="81">
                  <c:v>7.1845846343368249</c:v>
                </c:pt>
                <c:pt idx="82">
                  <c:v>7.320839072521256</c:v>
                </c:pt>
                <c:pt idx="83">
                  <c:v>7.4545723683552563</c:v>
                </c:pt>
                <c:pt idx="84">
                  <c:v>7.5858526341802124</c:v>
                </c:pt>
                <c:pt idx="85">
                  <c:v>7.7147452387392992</c:v>
                </c:pt>
                <c:pt idx="86">
                  <c:v>7.8413129352288555</c:v>
                </c:pt>
                <c:pt idx="87">
                  <c:v>7.9656159838846721</c:v>
                </c:pt>
                <c:pt idx="88">
                  <c:v>8.0877122691196899</c:v>
                </c:pt>
                <c:pt idx="89">
                  <c:v>8.2076574112864087</c:v>
                </c:pt>
                <c:pt idx="90">
                  <c:v>8.3255048731795718</c:v>
                </c:pt>
                <c:pt idx="91">
                  <c:v>8.4413060614257756</c:v>
                </c:pt>
                <c:pt idx="92">
                  <c:v>8.5551104229281023</c:v>
                </c:pt>
                <c:pt idx="93">
                  <c:v>8.6669655365488012</c:v>
                </c:pt>
                <c:pt idx="94">
                  <c:v>8.7769172002218419</c:v>
                </c:pt>
                <c:pt idx="95">
                  <c:v>8.885009513692065</c:v>
                </c:pt>
                <c:pt idx="96">
                  <c:v>8.9912849570787046</c:v>
                </c:pt>
                <c:pt idx="97">
                  <c:v>9.0957844654600191</c:v>
                </c:pt>
                <c:pt idx="98">
                  <c:v>9.1985474996724257</c:v>
                </c:pt>
                <c:pt idx="99">
                  <c:v>9.2996121135127758</c:v>
                </c:pt>
                <c:pt idx="100">
                  <c:v>9.3990150175269882</c:v>
                </c:pt>
                <c:pt idx="101">
                  <c:v>9.4967916395613816</c:v>
                </c:pt>
                <c:pt idx="102">
                  <c:v>9.5929761822464883</c:v>
                </c:pt>
                <c:pt idx="103">
                  <c:v>9.6876016775756817</c:v>
                </c:pt>
                <c:pt idx="104">
                  <c:v>9.7807000387335989</c:v>
                </c:pt>
                <c:pt idx="105">
                  <c:v>9.8723021093221277</c:v>
                </c:pt>
                <c:pt idx="106">
                  <c:v>9.9624377101242043</c:v>
                </c:pt>
                <c:pt idx="107">
                  <c:v>10.051135683538568</c:v>
                </c:pt>
                <c:pt idx="108">
                  <c:v>10.138423935811788</c:v>
                </c:pt>
                <c:pt idx="109">
                  <c:v>10.224329477186863</c:v>
                </c:pt>
                <c:pt idx="110">
                  <c:v>10.308878460081436</c:v>
                </c:pt>
                <c:pt idx="111">
                  <c:v>10.392096215402297</c:v>
                </c:pt>
                <c:pt idx="112">
                  <c:v>10.474007287096942</c:v>
                </c:pt>
                <c:pt idx="113">
                  <c:v>10.554635465037279</c:v>
                </c:pt>
                <c:pt idx="114">
                  <c:v>10.634003816325212</c:v>
                </c:pt>
                <c:pt idx="115">
                  <c:v>10.712134715104671</c:v>
                </c:pt>
                <c:pt idx="116">
                  <c:v>10.789049870959829</c:v>
                </c:pt>
                <c:pt idx="117">
                  <c:v>10.864770355974729</c:v>
                </c:pt>
                <c:pt idx="118">
                  <c:v>10.93931663052517</c:v>
                </c:pt>
                <c:pt idx="119">
                  <c:v>11.012708567869584</c:v>
                </c:pt>
                <c:pt idx="120">
                  <c:v>11.084965477601878</c:v>
                </c:pt>
                <c:pt idx="121">
                  <c:v>11.156106128025602</c:v>
                </c:pt>
                <c:pt idx="122">
                  <c:v>11.226148767505252</c:v>
                </c:pt>
                <c:pt idx="123">
                  <c:v>11.295111144847493</c:v>
                </c:pt>
                <c:pt idx="124">
                  <c:v>11.363010528761961</c:v>
                </c:pt>
                <c:pt idx="125">
                  <c:v>11.42986372644849</c:v>
                </c:pt>
                <c:pt idx="126">
                  <c:v>11.495687101354971</c:v>
                </c:pt>
                <c:pt idx="127">
                  <c:v>11.560496590147491</c:v>
                </c:pt>
                <c:pt idx="128">
                  <c:v>11.624307718932103</c:v>
                </c:pt>
                <c:pt idx="129">
                  <c:v>11.687135618765364</c:v>
                </c:pt>
                <c:pt idx="130">
                  <c:v>11.748995040488584</c:v>
                </c:pt>
                <c:pt idx="131">
                  <c:v>11.809900368919049</c:v>
                </c:pt>
                <c:pt idx="132">
                  <c:v>11.869865636429211</c:v>
                </c:pt>
                <c:pt idx="133">
                  <c:v>11.928904535943637</c:v>
                </c:pt>
                <c:pt idx="134">
                  <c:v>11.987030433381435</c:v>
                </c:pt>
                <c:pt idx="135">
                  <c:v>12.044256379570605</c:v>
                </c:pt>
                <c:pt idx="136">
                  <c:v>12.100595121659293</c:v>
                </c:pt>
                <c:pt idx="137">
                  <c:v>12.156059114047476</c:v>
                </c:pt>
                <c:pt idx="138">
                  <c:v>12.210660528861521</c:v>
                </c:pt>
                <c:pt idx="139">
                  <c:v>12.264411265992656</c:v>
                </c:pt>
                <c:pt idx="140">
                  <c:v>12.317322962719448</c:v>
                </c:pt>
                <c:pt idx="141">
                  <c:v>12.369407002933331</c:v>
                </c:pt>
                <c:pt idx="142">
                  <c:v>12.420674525984944</c:v>
                </c:pt>
                <c:pt idx="143">
                  <c:v>12.471136435168681</c:v>
                </c:pt>
                <c:pt idx="144">
                  <c:v>12.520803405861216</c:v>
                </c:pt>
                <c:pt idx="145">
                  <c:v>12.569685893329767</c:v>
                </c:pt>
                <c:pt idx="146">
                  <c:v>12.617794140224344</c:v>
                </c:pt>
                <c:pt idx="147">
                  <c:v>12.665138183767983</c:v>
                </c:pt>
                <c:pt idx="148">
                  <c:v>12.711727862658083</c:v>
                </c:pt>
                <c:pt idx="149">
                  <c:v>12.757572823691305</c:v>
                </c:pt>
                <c:pt idx="150">
                  <c:v>12.802682528123947</c:v>
                </c:pt>
                <c:pt idx="151">
                  <c:v>12.847066257779062</c:v>
                </c:pt>
                <c:pt idx="152">
                  <c:v>12.890733120911088</c:v>
                </c:pt>
                <c:pt idx="153">
                  <c:v>12.933692057838215</c:v>
                </c:pt>
                <c:pt idx="154">
                  <c:v>12.97595184635226</c:v>
                </c:pt>
                <c:pt idx="155">
                  <c:v>13.01752110691525</c:v>
                </c:pt>
                <c:pt idx="156">
                  <c:v>13.058408307651684</c:v>
                </c:pt>
                <c:pt idx="157">
                  <c:v>13.098621769144801</c:v>
                </c:pt>
                <c:pt idx="158">
                  <c:v>13.138169669044977</c:v>
                </c:pt>
                <c:pt idx="159">
                  <c:v>13.177060046497859</c:v>
                </c:pt>
                <c:pt idx="160">
                  <c:v>13.215300806399661</c:v>
                </c:pt>
                <c:pt idx="161">
                  <c:v>13.25289972348652</c:v>
                </c:pt>
                <c:pt idx="162">
                  <c:v>13.289864446264659</c:v>
                </c:pt>
                <c:pt idx="163">
                  <c:v>13.326202500787755</c:v>
                </c:pt>
                <c:pt idx="164">
                  <c:v>13.361921294287594</c:v>
                </c:pt>
                <c:pt idx="165">
                  <c:v>13.397028118663876</c:v>
                </c:pt>
                <c:pt idx="166">
                  <c:v>13.431530153838732</c:v>
                </c:pt>
                <c:pt idx="167">
                  <c:v>13.465434470981405</c:v>
                </c:pt>
                <c:pt idx="168">
                  <c:v>13.498748035608051</c:v>
                </c:pt>
                <c:pt idx="169">
                  <c:v>13.531477710561768</c:v>
                </c:pt>
                <c:pt idx="170">
                  <c:v>13.563630258877417</c:v>
                </c:pt>
                <c:pt idx="171">
                  <c:v>13.595212346535774</c:v>
                </c:pt>
                <c:pt idx="172">
                  <c:v>13.626230545111413</c:v>
                </c:pt>
                <c:pt idx="173">
                  <c:v>13.656691334318392</c:v>
                </c:pt>
                <c:pt idx="174">
                  <c:v>13.686601104457699</c:v>
                </c:pt>
                <c:pt idx="175">
                  <c:v>13.715966158770424</c:v>
                </c:pt>
                <c:pt idx="176">
                  <c:v>13.744792715700152</c:v>
                </c:pt>
                <c:pt idx="177">
                  <c:v>13.773086911068207</c:v>
                </c:pt>
                <c:pt idx="178">
                  <c:v>13.800854800165126</c:v>
                </c:pt>
                <c:pt idx="179">
                  <c:v>13.828102359761573</c:v>
                </c:pt>
                <c:pt idx="180">
                  <c:v>13.854835490041859</c:v>
                </c:pt>
                <c:pt idx="181">
                  <c:v>13.881060016463046</c:v>
                </c:pt>
                <c:pt idx="182">
                  <c:v>13.906781691542564</c:v>
                </c:pt>
                <c:pt idx="183">
                  <c:v>13.932006196577106</c:v>
                </c:pt>
                <c:pt idx="184">
                  <c:v>13.956739143295447</c:v>
                </c:pt>
                <c:pt idx="185">
                  <c:v>13.980986075447806</c:v>
                </c:pt>
                <c:pt idx="186">
                  <c:v>14.004752470334211</c:v>
                </c:pt>
                <c:pt idx="187">
                  <c:v>14.028043740274281</c:v>
                </c:pt>
                <c:pt idx="188">
                  <c:v>14.050865234020653</c:v>
                </c:pt>
                <c:pt idx="189">
                  <c:v>14.07322223811833</c:v>
                </c:pt>
                <c:pt idx="190">
                  <c:v>14.095119978212121</c:v>
                </c:pt>
                <c:pt idx="191">
                  <c:v>14.116563620304053</c:v>
                </c:pt>
                <c:pt idx="192">
                  <c:v>14.137558271962973</c:v>
                </c:pt>
                <c:pt idx="193">
                  <c:v>14.158108983488042</c:v>
                </c:pt>
                <c:pt idx="194">
                  <c:v>14.178220749028066</c:v>
                </c:pt>
                <c:pt idx="195">
                  <c:v>14.197898507658401</c:v>
                </c:pt>
                <c:pt idx="196">
                  <c:v>14.21714714441717</c:v>
                </c:pt>
                <c:pt idx="197">
                  <c:v>14.235971491302333</c:v>
                </c:pt>
                <c:pt idx="198">
                  <c:v>14.254376328231363</c:v>
                </c:pt>
                <c:pt idx="199">
                  <c:v>14.272366383964897</c:v>
                </c:pt>
                <c:pt idx="200">
                  <c:v>14.289946336995889</c:v>
                </c:pt>
                <c:pt idx="201">
                  <c:v>14.307120816405758</c:v>
                </c:pt>
                <c:pt idx="202">
                  <c:v>14.323894402688751</c:v>
                </c:pt>
                <c:pt idx="203">
                  <c:v>14.340271628545961</c:v>
                </c:pt>
                <c:pt idx="204">
                  <c:v>14.356256979650228</c:v>
                </c:pt>
                <c:pt idx="205">
                  <c:v>14.371854895383091</c:v>
                </c:pt>
                <c:pt idx="206">
                  <c:v>14.387069769545118</c:v>
                </c:pt>
                <c:pt idx="207">
                  <c:v>14.401905951040527</c:v>
                </c:pt>
                <c:pt idx="208">
                  <c:v>14.416367744537435</c:v>
                </c:pt>
                <c:pt idx="209">
                  <c:v>14.430459411104597</c:v>
                </c:pt>
                <c:pt idx="210">
                  <c:v>14.444185168825756</c:v>
                </c:pt>
                <c:pt idx="211">
                  <c:v>14.457549193392513</c:v>
                </c:pt>
                <c:pt idx="212">
                  <c:v>14.470555618676777</c:v>
                </c:pt>
                <c:pt idx="213">
                  <c:v>14.483208537283478</c:v>
                </c:pt>
                <c:pt idx="214">
                  <c:v>14.495512001084709</c:v>
                </c:pt>
                <c:pt idx="215">
                  <c:v>14.507470021735866</c:v>
                </c:pt>
                <c:pt idx="216">
                  <c:v>14.519086571174757</c:v>
                </c:pt>
                <c:pt idx="217">
                  <c:v>14.530365582104402</c:v>
                </c:pt>
                <c:pt idx="218">
                  <c:v>14.541310948460273</c:v>
                </c:pt>
                <c:pt idx="219">
                  <c:v>14.551926525862683</c:v>
                </c:pt>
                <c:pt idx="220">
                  <c:v>14.56221613205506</c:v>
                </c:pt>
                <c:pt idx="221">
                  <c:v>14.572183547328684</c:v>
                </c:pt>
                <c:pt idx="222">
                  <c:v>14.581832514934622</c:v>
                </c:pt>
                <c:pt idx="223">
                  <c:v>14.591166741483381</c:v>
                </c:pt>
                <c:pt idx="224">
                  <c:v>14.600189897332971</c:v>
                </c:pt>
                <c:pt idx="225">
                  <c:v>14.608905616965782</c:v>
                </c:pt>
                <c:pt idx="226">
                  <c:v>14.679928461504453</c:v>
                </c:pt>
                <c:pt idx="227">
                  <c:v>14.723952209698027</c:v>
                </c:pt>
                <c:pt idx="228">
                  <c:v>14.744069163885198</c:v>
                </c:pt>
                <c:pt idx="229">
                  <c:v>14.743076087018903</c:v>
                </c:pt>
                <c:pt idx="230">
                  <c:v>14.723496621658104</c:v>
                </c:pt>
                <c:pt idx="231">
                  <c:v>14.687601827902313</c:v>
                </c:pt>
                <c:pt idx="232">
                  <c:v>14.637429646382607</c:v>
                </c:pt>
                <c:pt idx="233">
                  <c:v>14.574803643060806</c:v>
                </c:pt>
                <c:pt idx="234">
                  <c:v>14.501351126991015</c:v>
                </c:pt>
                <c:pt idx="235">
                  <c:v>14.418520592585185</c:v>
                </c:pt>
                <c:pt idx="236">
                  <c:v>14.327598380182685</c:v>
                </c:pt>
                <c:pt idx="237">
                  <c:v>14.229724440515197</c:v>
                </c:pt>
                <c:pt idx="238">
                  <c:v>14.125907107364457</c:v>
                </c:pt>
                <c:pt idx="239">
                  <c:v>14.01703681334757</c:v>
                </c:pt>
                <c:pt idx="240">
                  <c:v>13.90389871704614</c:v>
                </c:pt>
                <c:pt idx="241">
                  <c:v>13.787184240374541</c:v>
                </c:pt>
                <c:pt idx="242">
                  <c:v>13.66750154062462</c:v>
                </c:pt>
                <c:pt idx="243">
                  <c:v>13.5453849612068</c:v>
                </c:pt>
                <c:pt idx="244">
                  <c:v>13.421303518908442</c:v>
                </c:pt>
                <c:pt idx="245">
                  <c:v>13.295668494201312</c:v>
                </c:pt>
                <c:pt idx="246">
                  <c:v>13.16884019565104</c:v>
                </c:pt>
                <c:pt idx="247">
                  <c:v>13.041133970734656</c:v>
                </c:pt>
                <c:pt idx="248">
                  <c:v>12.912825534201902</c:v>
                </c:pt>
                <c:pt idx="249">
                  <c:v>12.784155682244993</c:v>
                </c:pt>
                <c:pt idx="250">
                  <c:v>12.655334456757705</c:v>
                </c:pt>
                <c:pt idx="251">
                  <c:v>12.526544819325757</c:v>
                </c:pt>
                <c:pt idx="252">
                  <c:v>12.397945889644779</c:v>
                </c:pt>
                <c:pt idx="253">
                  <c:v>12.269675798058234</c:v>
                </c:pt>
                <c:pt idx="254">
                  <c:v>12.141854197022386</c:v>
                </c:pt>
                <c:pt idx="255">
                  <c:v>12.014584471653546</c:v>
                </c:pt>
                <c:pt idx="256">
                  <c:v>11.887955685165243</c:v>
                </c:pt>
                <c:pt idx="257">
                  <c:v>11.762044290997322</c:v>
                </c:pt>
                <c:pt idx="258">
                  <c:v>11.636915639789382</c:v>
                </c:pt>
                <c:pt idx="259">
                  <c:v>11.512625306054291</c:v>
                </c:pt>
                <c:pt idx="260">
                  <c:v>11.38922025645115</c:v>
                </c:pt>
                <c:pt idx="261">
                  <c:v>11.26673987892039</c:v>
                </c:pt>
                <c:pt idx="262">
                  <c:v>11.145216889602906</c:v>
                </c:pt>
                <c:pt idx="263">
                  <c:v>11.024678132394584</c:v>
                </c:pt>
                <c:pt idx="264">
                  <c:v>10.905145284161556</c:v>
                </c:pt>
                <c:pt idx="265">
                  <c:v>10.786635477034935</c:v>
                </c:pt>
                <c:pt idx="266">
                  <c:v>10.66916184779271</c:v>
                </c:pt>
                <c:pt idx="267">
                  <c:v>10.552734023099173</c:v>
                </c:pt>
                <c:pt idx="268">
                  <c:v>10.437358548288255</c:v>
                </c:pt>
                <c:pt idx="269">
                  <c:v>10.32303926642861</c:v>
                </c:pt>
                <c:pt idx="270">
                  <c:v>10.209777653578163</c:v>
                </c:pt>
                <c:pt idx="271">
                  <c:v>10.09757311541023</c:v>
                </c:pt>
                <c:pt idx="272">
                  <c:v>9.9864232497587384</c:v>
                </c:pt>
                <c:pt idx="273">
                  <c:v>9.8763240790752498</c:v>
                </c:pt>
                <c:pt idx="274">
                  <c:v>9.7672702563054514</c:v>
                </c:pt>
                <c:pt idx="275">
                  <c:v>9.6592552472683799</c:v>
                </c:pt>
                <c:pt idx="276">
                  <c:v>9.5522714922504939</c:v>
                </c:pt>
                <c:pt idx="277">
                  <c:v>9.4463105492017831</c:v>
                </c:pt>
                <c:pt idx="278">
                  <c:v>9.341363220636536</c:v>
                </c:pt>
                <c:pt idx="279">
                  <c:v>9.2374196660920784</c:v>
                </c:pt>
                <c:pt idx="280">
                  <c:v>9.1344695017803641</c:v>
                </c:pt>
                <c:pt idx="281">
                  <c:v>9.0325018888754389</c:v>
                </c:pt>
                <c:pt idx="282">
                  <c:v>8.9315056117115184</c:v>
                </c:pt>
                <c:pt idx="283">
                  <c:v>8.8314691470187228</c:v>
                </c:pt>
                <c:pt idx="284">
                  <c:v>8.7323807251933658</c:v>
                </c:pt>
                <c:pt idx="285">
                  <c:v>8.6342283844855015</c:v>
                </c:pt>
                <c:pt idx="286">
                  <c:v>8.5370000188857453</c:v>
                </c:pt>
                <c:pt idx="287">
                  <c:v>8.4406834204046817</c:v>
                </c:pt>
                <c:pt idx="288">
                  <c:v>8.3452663163600462</c:v>
                </c:pt>
                <c:pt idx="289">
                  <c:v>8.2507364022178216</c:v>
                </c:pt>
                <c:pt idx="290">
                  <c:v>8.1570813704724809</c:v>
                </c:pt>
                <c:pt idx="291">
                  <c:v>8.0642889359977676</c:v>
                </c:pt>
                <c:pt idx="292">
                  <c:v>7.97234685825181</c:v>
                </c:pt>
                <c:pt idx="293">
                  <c:v>7.8812429606781622</c:v>
                </c:pt>
                <c:pt idx="294">
                  <c:v>7.7909651476070092</c:v>
                </c:pt>
                <c:pt idx="295">
                  <c:v>7.701501418927819</c:v>
                </c:pt>
                <c:pt idx="296">
                  <c:v>7.6128398827750985</c:v>
                </c:pt>
                <c:pt idx="297">
                  <c:v>7.5249687664431715</c:v>
                </c:pt>
                <c:pt idx="298">
                  <c:v>7.4378764257224006</c:v>
                </c:pt>
                <c:pt idx="299">
                  <c:v>7.3515513528289578</c:v>
                </c:pt>
                <c:pt idx="300">
                  <c:v>7.2659821830817428</c:v>
                </c:pt>
                <c:pt idx="301">
                  <c:v>7.1811577004638414</c:v>
                </c:pt>
                <c:pt idx="302">
                  <c:v>7.0970668421913787</c:v>
                </c:pt>
                <c:pt idx="303">
                  <c:v>7.0136987023995898</c:v>
                </c:pt>
                <c:pt idx="304">
                  <c:v>6.9310425350444547</c:v>
                </c:pt>
                <c:pt idx="305">
                  <c:v>6.8490877561079504</c:v>
                </c:pt>
                <c:pt idx="306">
                  <c:v>6.7678239451856301</c:v>
                </c:pt>
                <c:pt idx="307">
                  <c:v>6.6872408465272208</c:v>
                </c:pt>
                <c:pt idx="308">
                  <c:v>6.6073283695933007</c:v>
                </c:pt>
                <c:pt idx="309">
                  <c:v>6.5280765891848445</c:v>
                </c:pt>
                <c:pt idx="310">
                  <c:v>6.4494757451962039</c:v>
                </c:pt>
                <c:pt idx="311">
                  <c:v>6.3715162420371252</c:v>
                </c:pt>
                <c:pt idx="312">
                  <c:v>6.2941886477643845</c:v>
                </c:pt>
                <c:pt idx="313">
                  <c:v>6.2174836929596982</c:v>
                </c:pt>
                <c:pt idx="314">
                  <c:v>6.1413922693863832</c:v>
                </c:pt>
                <c:pt idx="315">
                  <c:v>6.0659054284542577</c:v>
                </c:pt>
                <c:pt idx="316">
                  <c:v>5.991014379518818</c:v>
                </c:pt>
                <c:pt idx="317">
                  <c:v>5.9167104880382393</c:v>
                </c:pt>
                <c:pt idx="318">
                  <c:v>5.8429852736092416</c:v>
                </c:pt>
                <c:pt idx="319">
                  <c:v>5.7698304079004714</c:v>
                </c:pt>
                <c:pt idx="320">
                  <c:v>5.6972377125002822</c:v>
                </c:pt>
                <c:pt idx="321">
                  <c:v>5.6251991566939088</c:v>
                </c:pt>
                <c:pt idx="322">
                  <c:v>5.5537068551833721</c:v>
                </c:pt>
                <c:pt idx="323">
                  <c:v>5.4827530657620773</c:v>
                </c:pt>
                <c:pt idx="324">
                  <c:v>5.4123301869547582</c:v>
                </c:pt>
                <c:pt idx="325">
                  <c:v>5.3424307556321526</c:v>
                </c:pt>
                <c:pt idx="326">
                  <c:v>5.2730474446089568</c:v>
                </c:pt>
                <c:pt idx="327">
                  <c:v>5.2041730602323568</c:v>
                </c:pt>
                <c:pt idx="328">
                  <c:v>5.1358005399678595</c:v>
                </c:pt>
                <c:pt idx="329">
                  <c:v>5.0679229499882181</c:v>
                </c:pt>
                <c:pt idx="330">
                  <c:v>5.000533482770618</c:v>
                </c:pt>
                <c:pt idx="331">
                  <c:v>4.9336254547066085</c:v>
                </c:pt>
                <c:pt idx="332">
                  <c:v>4.8671923037288076</c:v>
                </c:pt>
                <c:pt idx="333">
                  <c:v>4.8012275869578076</c:v>
                </c:pt>
                <c:pt idx="334">
                  <c:v>4.7357249783723274</c:v>
                </c:pt>
                <c:pt idx="335">
                  <c:v>4.6706782665051669</c:v>
                </c:pt>
                <c:pt idx="336">
                  <c:v>4.6060813521672852</c:v>
                </c:pt>
                <c:pt idx="337">
                  <c:v>4.5419282462018673</c:v>
                </c:pt>
                <c:pt idx="338">
                  <c:v>4.478213067270012</c:v>
                </c:pt>
                <c:pt idx="339">
                  <c:v>4.4149300396694278</c:v>
                </c:pt>
                <c:pt idx="340">
                  <c:v>4.3520734911872374</c:v>
                </c:pt>
                <c:pt idx="341">
                  <c:v>4.2896378509878303</c:v>
                </c:pt>
                <c:pt idx="342">
                  <c:v>4.227617647536472</c:v>
                </c:pt>
                <c:pt idx="343">
                  <c:v>4.1660075065592341</c:v>
                </c:pt>
                <c:pt idx="344">
                  <c:v>4.1048021490396494</c:v>
                </c:pt>
                <c:pt idx="345">
                  <c:v>4.0439963892524107</c:v>
                </c:pt>
                <c:pt idx="346">
                  <c:v>3.9835851328341985</c:v>
                </c:pt>
                <c:pt idx="347">
                  <c:v>3.9235633748917147</c:v>
                </c:pt>
                <c:pt idx="348">
                  <c:v>3.8639261981469275</c:v>
                </c:pt>
                <c:pt idx="349">
                  <c:v>3.804668771119315</c:v>
                </c:pt>
                <c:pt idx="350">
                  <c:v>3.7457863463450254</c:v>
                </c:pt>
                <c:pt idx="351">
                  <c:v>3.6872742586325225</c:v>
                </c:pt>
                <c:pt idx="352">
                  <c:v>3.6291279233545772</c:v>
                </c:pt>
                <c:pt idx="353">
                  <c:v>3.5713428347761198</c:v>
                </c:pt>
                <c:pt idx="354">
                  <c:v>3.5139145644175942</c:v>
                </c:pt>
                <c:pt idx="355">
                  <c:v>3.4568387594533423</c:v>
                </c:pt>
                <c:pt idx="356">
                  <c:v>3.4001111411445661</c:v>
                </c:pt>
                <c:pt idx="357">
                  <c:v>3.3437275033063285</c:v>
                </c:pt>
                <c:pt idx="358">
                  <c:v>3.2876837108081132</c:v>
                </c:pt>
                <c:pt idx="359">
                  <c:v>3.231975698107334</c:v>
                </c:pt>
                <c:pt idx="360">
                  <c:v>3.1765994678153238</c:v>
                </c:pt>
                <c:pt idx="361">
                  <c:v>3.1215510892951546</c:v>
                </c:pt>
                <c:pt idx="362">
                  <c:v>3.0668266972907015</c:v>
                </c:pt>
                <c:pt idx="363">
                  <c:v>3.0124224905864523</c:v>
                </c:pt>
                <c:pt idx="364">
                  <c:v>2.9583347306973797</c:v>
                </c:pt>
                <c:pt idx="365">
                  <c:v>2.9045597405883061</c:v>
                </c:pt>
                <c:pt idx="366">
                  <c:v>2.851093903422206</c:v>
                </c:pt>
                <c:pt idx="367">
                  <c:v>2.7979336613367685</c:v>
                </c:pt>
                <c:pt idx="368">
                  <c:v>2.7450755142487355</c:v>
                </c:pt>
                <c:pt idx="369">
                  <c:v>2.6925160186853092</c:v>
                </c:pt>
                <c:pt idx="370">
                  <c:v>2.6402517866421378</c:v>
                </c:pt>
                <c:pt idx="371">
                  <c:v>2.5882794844672379</c:v>
                </c:pt>
                <c:pt idx="372">
                  <c:v>2.5365958317703168</c:v>
                </c:pt>
                <c:pt idx="373">
                  <c:v>2.4851976003569116</c:v>
                </c:pt>
                <c:pt idx="374">
                  <c:v>2.4340816131867649</c:v>
                </c:pt>
                <c:pt idx="375">
                  <c:v>2.3832447433559323</c:v>
                </c:pt>
                <c:pt idx="376">
                  <c:v>2.3326839131020289</c:v>
                </c:pt>
                <c:pt idx="377">
                  <c:v>2.2823960928321076</c:v>
                </c:pt>
                <c:pt idx="378">
                  <c:v>2.2323783001726429</c:v>
                </c:pt>
                <c:pt idx="379">
                  <c:v>2.1826275990410648</c:v>
                </c:pt>
                <c:pt idx="380">
                  <c:v>2.1331410987384203</c:v>
                </c:pt>
                <c:pt idx="381">
                  <c:v>2.083915953062526</c:v>
                </c:pt>
                <c:pt idx="382">
                  <c:v>2.0349493594412782</c:v>
                </c:pt>
                <c:pt idx="383">
                  <c:v>1.9862385580855451</c:v>
                </c:pt>
                <c:pt idx="384">
                  <c:v>1.9377808311611577</c:v>
                </c:pt>
                <c:pt idx="385">
                  <c:v>1.8895735019796485</c:v>
                </c:pt>
                <c:pt idx="386">
                  <c:v>1.8416139342071332</c:v>
                </c:pt>
                <c:pt idx="387">
                  <c:v>1.7938995310910588</c:v>
                </c:pt>
                <c:pt idx="388">
                  <c:v>1.7464277347042356</c:v>
                </c:pt>
                <c:pt idx="389">
                  <c:v>1.6991960252058669</c:v>
                </c:pt>
                <c:pt idx="390">
                  <c:v>1.6522019201190488</c:v>
                </c:pt>
                <c:pt idx="391">
                  <c:v>1.6054429736244278</c:v>
                </c:pt>
                <c:pt idx="392">
                  <c:v>1.5589167758695874</c:v>
                </c:pt>
                <c:pt idx="393">
                  <c:v>1.512620952293747</c:v>
                </c:pt>
                <c:pt idx="394">
                  <c:v>1.466553162967499</c:v>
                </c:pt>
                <c:pt idx="395">
                  <c:v>1.4207111019470724</c:v>
                </c:pt>
                <c:pt idx="396">
                  <c:v>1.3750924966429086</c:v>
                </c:pt>
                <c:pt idx="397">
                  <c:v>1.3296951072021441</c:v>
                </c:pt>
                <c:pt idx="398">
                  <c:v>1.2845167259046064</c:v>
                </c:pt>
                <c:pt idx="399">
                  <c:v>1.2395551765720938</c:v>
                </c:pt>
                <c:pt idx="400">
                  <c:v>1.1948083139905556</c:v>
                </c:pt>
                <c:pt idx="401">
                  <c:v>1.1502740233448565</c:v>
                </c:pt>
                <c:pt idx="402">
                  <c:v>1.1059502196658346</c:v>
                </c:pt>
                <c:pt idx="403">
                  <c:v>1.0618348472893939</c:v>
                </c:pt>
                <c:pt idx="404">
                  <c:v>1.0179258793272199</c:v>
                </c:pt>
                <c:pt idx="405">
                  <c:v>0.97422131714896976</c:v>
                </c:pt>
                <c:pt idx="406">
                  <c:v>0.93071918987561264</c:v>
                </c:pt>
                <c:pt idx="407">
                  <c:v>0.88741755388357435</c:v>
                </c:pt>
                <c:pt idx="408">
                  <c:v>0.84431449231957179</c:v>
                </c:pt>
                <c:pt idx="409">
                  <c:v>0.8014081146257146</c:v>
                </c:pt>
                <c:pt idx="410">
                  <c:v>0.75869655607478781</c:v>
                </c:pt>
                <c:pt idx="411">
                  <c:v>0.71617797731535549</c:v>
                </c:pt>
                <c:pt idx="412">
                  <c:v>0.67385056392644582</c:v>
                </c:pt>
                <c:pt idx="413">
                  <c:v>0.63171252598171301</c:v>
                </c:pt>
                <c:pt idx="414">
                  <c:v>0.58976209762269283</c:v>
                </c:pt>
                <c:pt idx="415">
                  <c:v>0.5479975366410339</c:v>
                </c:pt>
                <c:pt idx="416">
                  <c:v>0.50641712406946349</c:v>
                </c:pt>
                <c:pt idx="417">
                  <c:v>0.46501916378124974</c:v>
                </c:pt>
                <c:pt idx="418">
                  <c:v>0.42380198209803022</c:v>
                </c:pt>
                <c:pt idx="419">
                  <c:v>0.38276392740572085</c:v>
                </c:pt>
                <c:pt idx="420">
                  <c:v>0.34190336977839764</c:v>
                </c:pt>
                <c:pt idx="421">
                  <c:v>0.30121870060985856</c:v>
                </c:pt>
                <c:pt idx="422">
                  <c:v>0.26070833225283413</c:v>
                </c:pt>
                <c:pt idx="423">
                  <c:v>0.22037069766550132</c:v>
                </c:pt>
                <c:pt idx="424">
                  <c:v>0.18020425006525398</c:v>
                </c:pt>
                <c:pt idx="425">
                  <c:v>0.14020746258950595</c:v>
                </c:pt>
                <c:pt idx="426">
                  <c:v>0.10037882796333393</c:v>
                </c:pt>
                <c:pt idx="427">
                  <c:v>6.0716858173913479E-2</c:v>
                </c:pt>
                <c:pt idx="428">
                  <c:v>2.1220084151425959E-2</c:v>
                </c:pt>
                <c:pt idx="429">
                  <c:v>-1.8112944543561084E-2</c:v>
                </c:pt>
                <c:pt idx="430">
                  <c:v>-5.7283660026483593E-2</c:v>
                </c:pt>
                <c:pt idx="431">
                  <c:v>-9.6293476389062646E-2</c:v>
                </c:pt>
                <c:pt idx="432">
                  <c:v>-0.13514378999358184</c:v>
                </c:pt>
                <c:pt idx="433">
                  <c:v>-0.17383597976138176</c:v>
                </c:pt>
                <c:pt idx="434">
                  <c:v>-0.21237140745557273</c:v>
                </c:pt>
                <c:pt idx="435">
                  <c:v>-0.25075141795827238</c:v>
                </c:pt>
                <c:pt idx="436">
                  <c:v>-0.28897733954231164</c:v>
                </c:pt>
                <c:pt idx="437">
                  <c:v>-0.32705048413766918</c:v>
                </c:pt>
                <c:pt idx="438">
                  <c:v>-0.36497214759270469</c:v>
                </c:pt>
                <c:pt idx="439">
                  <c:v>-0.40274360993026381</c:v>
                </c:pt>
                <c:pt idx="440">
                  <c:v>-0.44036613559890792</c:v>
                </c:pt>
                <c:pt idx="441">
                  <c:v>-0.47784097371916612</c:v>
                </c:pt>
                <c:pt idx="442">
                  <c:v>-0.51516935832514976</c:v>
                </c:pt>
                <c:pt idx="443">
                  <c:v>-0.55235250860146534</c:v>
                </c:pt>
                <c:pt idx="444">
                  <c:v>-0.58939162911559928</c:v>
                </c:pt>
                <c:pt idx="445">
                  <c:v>-0.62628791004589079</c:v>
                </c:pt>
                <c:pt idx="446">
                  <c:v>-0.66304252740513769</c:v>
                </c:pt>
                <c:pt idx="447">
                  <c:v>-0.69965664325998067</c:v>
                </c:pt>
                <c:pt idx="448">
                  <c:v>-0.7361314059461328</c:v>
                </c:pt>
                <c:pt idx="449">
                  <c:v>-0.77246795027955606</c:v>
                </c:pt>
                <c:pt idx="450">
                  <c:v>-0.80866739776364993</c:v>
                </c:pt>
                <c:pt idx="451">
                  <c:v>-0.84473085679261906</c:v>
                </c:pt>
                <c:pt idx="452">
                  <c:v>-0.88065942285095733</c:v>
                </c:pt>
                <c:pt idx="453">
                  <c:v>-0.91645417870930324</c:v>
                </c:pt>
                <c:pt idx="454">
                  <c:v>-0.95211619461661101</c:v>
                </c:pt>
                <c:pt idx="455">
                  <c:v>-0.98764652848878709</c:v>
                </c:pt>
                <c:pt idx="456">
                  <c:v>-1.0230462260938444</c:v>
                </c:pt>
                <c:pt idx="457">
                  <c:v>-1.0583163212336701</c:v>
                </c:pt>
                <c:pt idx="458">
                  <c:v>-1.0934578359224352</c:v>
                </c:pt>
                <c:pt idx="459">
                  <c:v>-1.1284717805617714</c:v>
                </c:pt>
                <c:pt idx="460">
                  <c:v>-1.1633591541127655</c:v>
                </c:pt>
                <c:pt idx="461">
                  <c:v>-1.1981209442648091</c:v>
                </c:pt>
                <c:pt idx="462">
                  <c:v>-1.2327581276014046</c:v>
                </c:pt>
                <c:pt idx="463">
                  <c:v>-1.2672716697629969</c:v>
                </c:pt>
                <c:pt idx="464">
                  <c:v>-1.301662525606859</c:v>
                </c:pt>
                <c:pt idx="465">
                  <c:v>-1.3359316393641194</c:v>
                </c:pt>
                <c:pt idx="466">
                  <c:v>-1.3700799447940035</c:v>
                </c:pt>
                <c:pt idx="467">
                  <c:v>-1.4041083653352959</c:v>
                </c:pt>
                <c:pt idx="468">
                  <c:v>-1.4380178142551556</c:v>
                </c:pt>
                <c:pt idx="469">
                  <c:v>-1.4718091947952441</c:v>
                </c:pt>
                <c:pt idx="470">
                  <c:v>-1.5054834003153406</c:v>
                </c:pt>
                <c:pt idx="471">
                  <c:v>-1.5390413144343911</c:v>
                </c:pt>
                <c:pt idx="472">
                  <c:v>-1.5724838111690795</c:v>
                </c:pt>
                <c:pt idx="473">
                  <c:v>-1.6058117550700313</c:v>
                </c:pt>
                <c:pt idx="474">
                  <c:v>-1.6390260013555675</c:v>
                </c:pt>
                <c:pt idx="475">
                  <c:v>-1.6721273960432033</c:v>
                </c:pt>
                <c:pt idx="476">
                  <c:v>-1.7051167760788433</c:v>
                </c:pt>
                <c:pt idx="477">
                  <c:v>-1.7379949694637351</c:v>
                </c:pt>
                <c:pt idx="478">
                  <c:v>-1.7707627953792606</c:v>
                </c:pt>
                <c:pt idx="479">
                  <c:v>-1.8034210643095927</c:v>
                </c:pt>
                <c:pt idx="480">
                  <c:v>-1.835970578162224</c:v>
                </c:pt>
                <c:pt idx="481">
                  <c:v>-1.8684121303864734</c:v>
                </c:pt>
                <c:pt idx="482">
                  <c:v>-1.9007465060899542</c:v>
                </c:pt>
                <c:pt idx="483">
                  <c:v>-1.9329744821530979</c:v>
                </c:pt>
                <c:pt idx="484">
                  <c:v>-1.9650968273417107</c:v>
                </c:pt>
                <c:pt idx="485">
                  <c:v>-1.9971143024176652</c:v>
                </c:pt>
                <c:pt idx="486">
                  <c:v>-2.0290276602477113</c:v>
                </c:pt>
                <c:pt idx="487">
                  <c:v>-2.0608376459104787</c:v>
                </c:pt>
                <c:pt idx="488">
                  <c:v>-2.0925449968017134</c:v>
                </c:pt>
                <c:pt idx="489">
                  <c:v>-2.124150442737692</c:v>
                </c:pt>
                <c:pt idx="490">
                  <c:v>-2.1556547060570423</c:v>
                </c:pt>
                <c:pt idx="491">
                  <c:v>-2.1870585017207462</c:v>
                </c:pt>
                <c:pt idx="492">
                  <c:v>-2.2183625374105986</c:v>
                </c:pt>
                <c:pt idx="493">
                  <c:v>-2.2495675136259927</c:v>
                </c:pt>
                <c:pt idx="494">
                  <c:v>-2.2806741237791317</c:v>
                </c:pt>
                <c:pt idx="495">
                  <c:v>-2.3116830542887246</c:v>
                </c:pt>
                <c:pt idx="496">
                  <c:v>-2.3425949846720591</c:v>
                </c:pt>
                <c:pt idx="497">
                  <c:v>-2.3734105876357141</c:v>
                </c:pt>
                <c:pt idx="498">
                  <c:v>-2.4041305291646635</c:v>
                </c:pt>
                <c:pt idx="499">
                  <c:v>-2.4347554686100676</c:v>
                </c:pt>
                <c:pt idx="500">
                  <c:v>-2.4652860587755603</c:v>
                </c:pt>
                <c:pt idx="501">
                  <c:v>-2.4957229460021928</c:v>
                </c:pt>
                <c:pt idx="502">
                  <c:v>-2.5260667702520228</c:v>
                </c:pt>
                <c:pt idx="503">
                  <c:v>-2.5563181651903406</c:v>
                </c:pt>
                <c:pt idx="504">
                  <c:v>-2.586477758266637</c:v>
                </c:pt>
                <c:pt idx="505">
                  <c:v>-2.6165461707942264</c:v>
                </c:pt>
                <c:pt idx="506">
                  <c:v>-2.6465240180286518</c:v>
                </c:pt>
                <c:pt idx="507">
                  <c:v>-2.6764119092448588</c:v>
                </c:pt>
                <c:pt idx="508">
                  <c:v>-2.7062104478131239</c:v>
                </c:pt>
                <c:pt idx="509">
                  <c:v>-2.7359202312738251</c:v>
                </c:pt>
                <c:pt idx="510">
                  <c:v>-2.765541851411017</c:v>
                </c:pt>
                <c:pt idx="511">
                  <c:v>-2.7950758943248815</c:v>
                </c:pt>
                <c:pt idx="512">
                  <c:v>-2.8245229405030559</c:v>
                </c:pt>
                <c:pt idx="513">
                  <c:v>-2.8538835648908005</c:v>
                </c:pt>
                <c:pt idx="514">
                  <c:v>-2.8831583369602054</c:v>
                </c:pt>
                <c:pt idx="515">
                  <c:v>-2.9123478207781721</c:v>
                </c:pt>
                <c:pt idx="516">
                  <c:v>-2.9414525750734759</c:v>
                </c:pt>
                <c:pt idx="517">
                  <c:v>-2.9704731533027529</c:v>
                </c:pt>
                <c:pt idx="518">
                  <c:v>-2.9994101037154759</c:v>
                </c:pt>
                <c:pt idx="519">
                  <c:v>-3.0282639694179632</c:v>
                </c:pt>
                <c:pt idx="520">
                  <c:v>-3.0570352884363796</c:v>
                </c:pt>
                <c:pt idx="521">
                  <c:v>-3.085724593778818</c:v>
                </c:pt>
                <c:pt idx="522">
                  <c:v>-3.1143324134964412</c:v>
                </c:pt>
                <c:pt idx="523">
                  <c:v>-3.1428592707436898</c:v>
                </c:pt>
                <c:pt idx="524">
                  <c:v>-3.1713056838375691</c:v>
                </c:pt>
                <c:pt idx="525">
                  <c:v>-3.1996721663161027</c:v>
                </c:pt>
                <c:pt idx="526">
                  <c:v>-3.227959226995857</c:v>
                </c:pt>
                <c:pt idx="527">
                  <c:v>-3.2561673700286384</c:v>
                </c:pt>
                <c:pt idx="528">
                  <c:v>-3.2842970949573642</c:v>
                </c:pt>
                <c:pt idx="529">
                  <c:v>-3.3123488967710553</c:v>
                </c:pt>
                <c:pt idx="530">
                  <c:v>-3.3403232659590554</c:v>
                </c:pt>
                <c:pt idx="531">
                  <c:v>-3.3682206885644801</c:v>
                </c:pt>
                <c:pt idx="532">
                  <c:v>-3.3960416462367875</c:v>
                </c:pt>
                <c:pt idx="533">
                  <c:v>-3.4237866162836998</c:v>
                </c:pt>
                <c:pt idx="534">
                  <c:v>-3.4514560717222547</c:v>
                </c:pt>
                <c:pt idx="535">
                  <c:v>-3.479050481329188</c:v>
                </c:pt>
                <c:pt idx="536">
                  <c:v>-3.5065703096905665</c:v>
                </c:pt>
                <c:pt idx="537">
                  <c:v>-3.5340160172506851</c:v>
                </c:pt>
                <c:pt idx="538">
                  <c:v>-3.5613880603602821</c:v>
                </c:pt>
                <c:pt idx="539">
                  <c:v>-3.5886868913240324</c:v>
                </c:pt>
                <c:pt idx="540">
                  <c:v>-3.6159129584473817</c:v>
                </c:pt>
                <c:pt idx="541">
                  <c:v>-3.6430667060827249</c:v>
                </c:pt>
                <c:pt idx="542">
                  <c:v>-3.6701485746748554</c:v>
                </c:pt>
                <c:pt idx="543">
                  <c:v>-3.6971590008058635</c:v>
                </c:pt>
                <c:pt idx="544">
                  <c:v>-3.7240984172393174</c:v>
                </c:pt>
                <c:pt idx="545">
                  <c:v>-3.7509672529638749</c:v>
                </c:pt>
                <c:pt idx="546">
                  <c:v>-3.7777659332362279</c:v>
                </c:pt>
                <c:pt idx="547">
                  <c:v>-3.8044948796234785</c:v>
                </c:pt>
                <c:pt idx="548">
                  <c:v>-3.8311545100449211</c:v>
                </c:pt>
                <c:pt idx="549">
                  <c:v>-3.8577452388132021</c:v>
                </c:pt>
                <c:pt idx="550">
                  <c:v>-3.8842674766749576</c:v>
                </c:pt>
                <c:pt idx="551">
                  <c:v>-3.9107216308508246</c:v>
                </c:pt>
                <c:pt idx="552">
                  <c:v>-3.9371081050749623</c:v>
                </c:pt>
                <c:pt idx="553">
                  <c:v>-3.9634272996339575</c:v>
                </c:pt>
                <c:pt idx="554">
                  <c:v>-3.9896796114052497</c:v>
                </c:pt>
                <c:pt idx="555">
                  <c:v>-4.0158654338949997</c:v>
                </c:pt>
                <c:pt idx="556">
                  <c:v>-4.0419851572754055</c:v>
                </c:pt>
                <c:pt idx="557">
                  <c:v>-4.0680391684216035</c:v>
                </c:pt>
                <c:pt idx="558">
                  <c:v>-4.0940278509479331</c:v>
                </c:pt>
                <c:pt idx="559">
                  <c:v>-4.1199515852438253</c:v>
                </c:pt>
                <c:pt idx="560">
                  <c:v>-4.1458107485091293</c:v>
                </c:pt>
                <c:pt idx="561">
                  <c:v>-4.1716057147889867</c:v>
                </c:pt>
                <c:pt idx="562">
                  <c:v>-4.1973368550082188</c:v>
                </c:pt>
                <c:pt idx="563">
                  <c:v>-4.2230045370052967</c:v>
                </c:pt>
                <c:pt idx="564">
                  <c:v>-4.2486091255657579</c:v>
                </c:pt>
                <c:pt idx="565">
                  <c:v>-4.2741509824552946</c:v>
                </c:pt>
                <c:pt idx="566">
                  <c:v>-4.2996304664522818</c:v>
                </c:pt>
                <c:pt idx="567">
                  <c:v>-4.3250479333799756</c:v>
                </c:pt>
                <c:pt idx="568">
                  <c:v>-4.3504037361381922</c:v>
                </c:pt>
                <c:pt idx="569">
                  <c:v>-4.3756982247346317</c:v>
                </c:pt>
                <c:pt idx="570">
                  <c:v>-4.4009317463157425</c:v>
                </c:pt>
                <c:pt idx="571">
                  <c:v>-4.4261046451972161</c:v>
                </c:pt>
                <c:pt idx="572">
                  <c:v>-4.4512172628940325</c:v>
                </c:pt>
                <c:pt idx="573">
                  <c:v>-4.4762699381501587</c:v>
                </c:pt>
                <c:pt idx="574">
                  <c:v>-4.5012630069678252</c:v>
                </c:pt>
                <c:pt idx="575">
                  <c:v>-4.5261968026364308</c:v>
                </c:pt>
                <c:pt idx="576">
                  <c:v>-4.5510716557610644</c:v>
                </c:pt>
                <c:pt idx="577">
                  <c:v>-4.5758878942906582</c:v>
                </c:pt>
                <c:pt idx="578">
                  <c:v>-4.6006458435457818</c:v>
                </c:pt>
                <c:pt idx="579">
                  <c:v>-4.6253458262460718</c:v>
                </c:pt>
                <c:pt idx="580">
                  <c:v>-4.6499881625372819</c:v>
                </c:pt>
                <c:pt idx="581">
                  <c:v>-4.6745731700180428</c:v>
                </c:pt>
                <c:pt idx="582">
                  <c:v>-4.6991011637661924</c:v>
                </c:pt>
                <c:pt idx="583">
                  <c:v>-4.7235724563648738</c:v>
                </c:pt>
                <c:pt idx="584">
                  <c:v>-4.7479873579281886</c:v>
                </c:pt>
                <c:pt idx="585">
                  <c:v>-4.7723461761266215</c:v>
                </c:pt>
                <c:pt idx="586">
                  <c:v>-4.7966492162120664</c:v>
                </c:pt>
                <c:pt idx="587">
                  <c:v>-4.8208967810425642</c:v>
                </c:pt>
                <c:pt idx="588">
                  <c:v>-4.8450891711067507</c:v>
                </c:pt>
                <c:pt idx="589">
                  <c:v>-4.8692266845479253</c:v>
                </c:pt>
                <c:pt idx="590">
                  <c:v>-4.8933096171879296</c:v>
                </c:pt>
                <c:pt idx="591">
                  <c:v>-4.9173382625505866</c:v>
                </c:pt>
                <c:pt idx="592">
                  <c:v>-4.9413129118849524</c:v>
                </c:pt>
                <c:pt idx="593">
                  <c:v>-4.9652338541882548</c:v>
                </c:pt>
                <c:pt idx="594">
                  <c:v>-4.9891013762284926</c:v>
                </c:pt>
                <c:pt idx="595">
                  <c:v>-5.0129157625668199</c:v>
                </c:pt>
                <c:pt idx="596">
                  <c:v>-5.0366772955796133</c:v>
                </c:pt>
                <c:pt idx="597">
                  <c:v>-5.0603862554802799</c:v>
                </c:pt>
                <c:pt idx="598">
                  <c:v>-5.0840429203407957</c:v>
                </c:pt>
                <c:pt idx="599">
                  <c:v>-5.1076475661129495</c:v>
                </c:pt>
                <c:pt idx="600">
                  <c:v>-5.1312004666493909</c:v>
                </c:pt>
                <c:pt idx="601">
                  <c:v>-5.1547018937243472</c:v>
                </c:pt>
                <c:pt idx="602">
                  <c:v>-5.1781521170541254</c:v>
                </c:pt>
                <c:pt idx="603">
                  <c:v>-5.2015514043173567</c:v>
                </c:pt>
                <c:pt idx="604">
                  <c:v>-5.2249000211749994</c:v>
                </c:pt>
                <c:pt idx="605">
                  <c:v>-5.2481982312900808</c:v>
                </c:pt>
                <c:pt idx="606">
                  <c:v>-6.3541382087882292</c:v>
                </c:pt>
                <c:pt idx="607">
                  <c:v>-7.3613989369934245</c:v>
                </c:pt>
                <c:pt idx="608">
                  <c:v>-8.2896634549452131</c:v>
                </c:pt>
                <c:pt idx="609">
                  <c:v>-9.1533543146240479</c:v>
                </c:pt>
                <c:pt idx="610">
                  <c:v>-9.9633091630212149</c:v>
                </c:pt>
                <c:pt idx="611">
                  <c:v>-10.727842861286792</c:v>
                </c:pt>
                <c:pt idx="612">
                  <c:v>-11.453447393747014</c:v>
                </c:pt>
                <c:pt idx="613">
                  <c:v>-12.14526836088109</c:v>
                </c:pt>
                <c:pt idx="614">
                  <c:v>-12.807438434592292</c:v>
                </c:pt>
                <c:pt idx="615">
                  <c:v>-13.44331624755152</c:v>
                </c:pt>
                <c:pt idx="616">
                  <c:v>-14.055660993963933</c:v>
                </c:pt>
                <c:pt idx="617">
                  <c:v>-14.646762248089081</c:v>
                </c:pt>
                <c:pt idx="618">
                  <c:v>-14.876878222656945</c:v>
                </c:pt>
                <c:pt idx="619">
                  <c:v>-15.104026341908423</c:v>
                </c:pt>
                <c:pt idx="620">
                  <c:v>-15.328309153542882</c:v>
                </c:pt>
                <c:pt idx="621">
                  <c:v>-15.549822727218903</c:v>
                </c:pt>
                <c:pt idx="622">
                  <c:v>-15.768657186727367</c:v>
                </c:pt>
                <c:pt idx="623">
                  <c:v>-15.984897191921661</c:v>
                </c:pt>
                <c:pt idx="624">
                  <c:v>-16.198622375755054</c:v>
                </c:pt>
                <c:pt idx="625">
                  <c:v>-16.409907741129615</c:v>
                </c:pt>
                <c:pt idx="626">
                  <c:v>-16.618824021703499</c:v>
                </c:pt>
                <c:pt idx="627">
                  <c:v>-16.825438010321015</c:v>
                </c:pt>
                <c:pt idx="628">
                  <c:v>-17.029812858310301</c:v>
                </c:pt>
                <c:pt idx="629">
                  <c:v>-17.2320083485289</c:v>
                </c:pt>
                <c:pt idx="630">
                  <c:v>-17.432081144718531</c:v>
                </c:pt>
                <c:pt idx="631">
                  <c:v>-17.630085019451535</c:v>
                </c:pt>
                <c:pt idx="632">
                  <c:v>-17.826071062706674</c:v>
                </c:pt>
                <c:pt idx="633">
                  <c:v>-18.020087872896649</c:v>
                </c:pt>
                <c:pt idx="634">
                  <c:v>-18.212181731979754</c:v>
                </c:pt>
                <c:pt idx="635">
                  <c:v>-18.40239676612066</c:v>
                </c:pt>
                <c:pt idx="636">
                  <c:v>-18.590775093216433</c:v>
                </c:pt>
                <c:pt idx="637">
                  <c:v>-18.777356958472428</c:v>
                </c:pt>
                <c:pt idx="638">
                  <c:v>-18.962180859095593</c:v>
                </c:pt>
                <c:pt idx="639">
                  <c:v>-19.145283659068191</c:v>
                </c:pt>
                <c:pt idx="640">
                  <c:v>-19.326700694872173</c:v>
                </c:pt>
                <c:pt idx="641">
                  <c:v>-19.506465872951182</c:v>
                </c:pt>
                <c:pt idx="642">
                  <c:v>-19.684611759622811</c:v>
                </c:pt>
                <c:pt idx="643">
                  <c:v>-19.861169664086983</c:v>
                </c:pt>
                <c:pt idx="644">
                  <c:v>-20.036169715116507</c:v>
                </c:pt>
                <c:pt idx="645">
                  <c:v>-20.209640931962021</c:v>
                </c:pt>
                <c:pt idx="646">
                  <c:v>-20.381611289955185</c:v>
                </c:pt>
                <c:pt idx="647">
                  <c:v>-20.552107781250129</c:v>
                </c:pt>
                <c:pt idx="648">
                  <c:v>-20.721156471103996</c:v>
                </c:pt>
                <c:pt idx="649">
                  <c:v>-20.888782550061688</c:v>
                </c:pt>
                <c:pt idx="650">
                  <c:v>-21.055010382377866</c:v>
                </c:pt>
                <c:pt idx="651">
                  <c:v>-21.219863550979966</c:v>
                </c:pt>
                <c:pt idx="652">
                  <c:v>-21.383364899249848</c:v>
                </c:pt>
                <c:pt idx="653">
                  <c:v>-21.545536569877495</c:v>
                </c:pt>
                <c:pt idx="654">
                  <c:v>-21.706400041018696</c:v>
                </c:pt>
                <c:pt idx="655">
                  <c:v>-21.865976159968707</c:v>
                </c:pt>
                <c:pt idx="656">
                  <c:v>-22.024285174546119</c:v>
                </c:pt>
                <c:pt idx="657">
                  <c:v>-22.181346762364768</c:v>
                </c:pt>
                <c:pt idx="658">
                  <c:v>-22.337180058156527</c:v>
                </c:pt>
                <c:pt idx="659">
                  <c:v>-22.491803679294588</c:v>
                </c:pt>
                <c:pt idx="660">
                  <c:v>-22.645235749654166</c:v>
                </c:pt>
                <c:pt idx="661">
                  <c:v>-22.79749392193645</c:v>
                </c:pt>
                <c:pt idx="662">
                  <c:v>-22.94859539857147</c:v>
                </c:pt>
                <c:pt idx="663">
                  <c:v>-23.098556951305753</c:v>
                </c:pt>
                <c:pt idx="664">
                  <c:v>-23.247394939572597</c:v>
                </c:pt>
                <c:pt idx="665">
                  <c:v>-23.395125327734494</c:v>
                </c:pt>
                <c:pt idx="666">
                  <c:v>-23.541763701280232</c:v>
                </c:pt>
                <c:pt idx="667">
                  <c:v>-23.687325282052711</c:v>
                </c:pt>
              </c:numCache>
            </c:numRef>
          </c:yVal>
          <c:smooth val="1"/>
          <c:extLst>
            <c:ext xmlns:c16="http://schemas.microsoft.com/office/drawing/2014/chart" uri="{C3380CC4-5D6E-409C-BE32-E72D297353CC}">
              <c16:uniqueId val="{00000000-306B-4242-B253-B9A3B2188A5D}"/>
            </c:ext>
          </c:extLst>
        </c:ser>
        <c:dLbls>
          <c:showLegendKey val="0"/>
          <c:showVal val="0"/>
          <c:showCatName val="0"/>
          <c:showSerName val="0"/>
          <c:showPercent val="0"/>
          <c:showBubbleSize val="0"/>
        </c:dLbls>
        <c:axId val="177449216"/>
        <c:axId val="177463680"/>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-226.43264690786557</c:v>
                </c:pt>
                <c:pt idx="1">
                  <c:v>-244.53218082205166</c:v>
                </c:pt>
                <c:pt idx="2">
                  <c:v>-252.34445329625805</c:v>
                </c:pt>
                <c:pt idx="3">
                  <c:v>-256.53057250818637</c:v>
                </c:pt>
                <c:pt idx="4">
                  <c:v>-259.10747230936994</c:v>
                </c:pt>
                <c:pt idx="5">
                  <c:v>-260.84269432861169</c:v>
                </c:pt>
                <c:pt idx="6">
                  <c:v>-262.08544494526393</c:v>
                </c:pt>
                <c:pt idx="7">
                  <c:v>-263.01606549891</c:v>
                </c:pt>
                <c:pt idx="8">
                  <c:v>-263.7367249850746</c:v>
                </c:pt>
                <c:pt idx="9">
                  <c:v>-264.30951282155343</c:v>
                </c:pt>
                <c:pt idx="10">
                  <c:v>-266.7559632610056</c:v>
                </c:pt>
                <c:pt idx="11">
                  <c:v>-267.40023872418141</c:v>
                </c:pt>
                <c:pt idx="12">
                  <c:v>-267.59186243302645</c:v>
                </c:pt>
                <c:pt idx="13">
                  <c:v>-267.60222432780239</c:v>
                </c:pt>
                <c:pt idx="14">
                  <c:v>-267.52192136084443</c:v>
                </c:pt>
                <c:pt idx="15">
                  <c:v>-267.38980688069807</c:v>
                </c:pt>
                <c:pt idx="16">
                  <c:v>-267.2253155628423</c:v>
                </c:pt>
                <c:pt idx="17">
                  <c:v>-267.0392479677069</c:v>
                </c:pt>
                <c:pt idx="18">
                  <c:v>-266.83808649824374</c:v>
                </c:pt>
                <c:pt idx="19">
                  <c:v>-264.49596498596696</c:v>
                </c:pt>
                <c:pt idx="20">
                  <c:v>-261.9784815743057</c:v>
                </c:pt>
                <c:pt idx="21">
                  <c:v>-259.42475869382179</c:v>
                </c:pt>
                <c:pt idx="22">
                  <c:v>-256.86496695166591</c:v>
                </c:pt>
                <c:pt idx="23">
                  <c:v>-254.31104562453365</c:v>
                </c:pt>
                <c:pt idx="24">
                  <c:v>-251.76964852248449</c:v>
                </c:pt>
                <c:pt idx="25">
                  <c:v>-249.24536881763208</c:v>
                </c:pt>
                <c:pt idx="26">
                  <c:v>-246.74180510308346</c:v>
                </c:pt>
                <c:pt idx="27">
                  <c:v>-244.26198128424306</c:v>
                </c:pt>
                <c:pt idx="28">
                  <c:v>-232.30162655753324</c:v>
                </c:pt>
                <c:pt idx="29">
                  <c:v>-221.22619750541449</c:v>
                </c:pt>
                <c:pt idx="30">
                  <c:v>-211.15398741594291</c:v>
                </c:pt>
                <c:pt idx="31">
                  <c:v>-202.11298305837312</c:v>
                </c:pt>
                <c:pt idx="32">
                  <c:v>-194.06875144369994</c:v>
                </c:pt>
                <c:pt idx="33">
                  <c:v>-186.94988100863077</c:v>
                </c:pt>
                <c:pt idx="34">
                  <c:v>-180.66753784213637</c:v>
                </c:pt>
                <c:pt idx="35">
                  <c:v>-175.12854045220794</c:v>
                </c:pt>
                <c:pt idx="36">
                  <c:v>-170.24309214022088</c:v>
                </c:pt>
                <c:pt idx="37">
                  <c:v>-165.92874949941097</c:v>
                </c:pt>
                <c:pt idx="38">
                  <c:v>-162.11200624278297</c:v>
                </c:pt>
                <c:pt idx="39">
                  <c:v>-158.72849490800064</c:v>
                </c:pt>
                <c:pt idx="40">
                  <c:v>-155.72246242887584</c:v>
                </c:pt>
                <c:pt idx="41">
                  <c:v>-153.04591823746421</c:v>
                </c:pt>
                <c:pt idx="42">
                  <c:v>-150.65768214817962</c:v>
                </c:pt>
                <c:pt idx="43">
                  <c:v>-148.522452622636</c:v>
                </c:pt>
                <c:pt idx="44">
                  <c:v>-146.60995296142164</c:v>
                </c:pt>
                <c:pt idx="45">
                  <c:v>-144.89417739809861</c:v>
                </c:pt>
                <c:pt idx="46">
                  <c:v>-143.35274006014205</c:v>
                </c:pt>
                <c:pt idx="47">
                  <c:v>-141.96632037655331</c:v>
                </c:pt>
                <c:pt idx="48">
                  <c:v>-140.71819452848081</c:v>
                </c:pt>
                <c:pt idx="49">
                  <c:v>-139.59384146161776</c:v>
                </c:pt>
                <c:pt idx="50">
                  <c:v>-138.58061237091567</c:v>
                </c:pt>
                <c:pt idx="51">
                  <c:v>-137.66745362454807</c:v>
                </c:pt>
                <c:pt idx="52">
                  <c:v>-136.84467437931795</c:v>
                </c:pt>
                <c:pt idx="53">
                  <c:v>-136.10375142934168</c:v>
                </c:pt>
                <c:pt idx="54">
                  <c:v>-135.43716501779875</c:v>
                </c:pt>
                <c:pt idx="55">
                  <c:v>-134.83826038630068</c:v>
                </c:pt>
                <c:pt idx="56">
                  <c:v>-134.30113073027351</c:v>
                </c:pt>
                <c:pt idx="57">
                  <c:v>-133.82051798039467</c:v>
                </c:pt>
                <c:pt idx="58">
                  <c:v>-133.39172845532352</c:v>
                </c:pt>
                <c:pt idx="59">
                  <c:v>-133.01056094740045</c:v>
                </c:pt>
                <c:pt idx="60">
                  <c:v>-132.67324522781391</c:v>
                </c:pt>
                <c:pt idx="61">
                  <c:v>-132.37638930639667</c:v>
                </c:pt>
                <c:pt idx="62">
                  <c:v>-132.11693406711572</c:v>
                </c:pt>
                <c:pt idx="63">
                  <c:v>-131.89211413476295</c:v>
                </c:pt>
                <c:pt idx="64">
                  <c:v>-131.69942402076089</c:v>
                </c:pt>
                <c:pt idx="65">
                  <c:v>-131.53658875410434</c:v>
                </c:pt>
                <c:pt idx="66">
                  <c:v>-131.40153833360773</c:v>
                </c:pt>
                <c:pt idx="67">
                  <c:v>-131.29238544497213</c:v>
                </c:pt>
                <c:pt idx="68">
                  <c:v>-131.20740597491994</c:v>
                </c:pt>
                <c:pt idx="69">
                  <c:v>-131.14502192816542</c:v>
                </c:pt>
                <c:pt idx="70">
                  <c:v>-131.10378641405569</c:v>
                </c:pt>
                <c:pt idx="71">
                  <c:v>-131.08237042056697</c:v>
                </c:pt>
                <c:pt idx="72">
                  <c:v>-131.07955113579249</c:v>
                </c:pt>
                <c:pt idx="73">
                  <c:v>-131.09420161259283</c:v>
                </c:pt>
                <c:pt idx="74">
                  <c:v>-131.1252816018953</c:v>
                </c:pt>
                <c:pt idx="75">
                  <c:v>-131.17182940521946</c:v>
                </c:pt>
                <c:pt idx="76">
                  <c:v>-131.23295461816778</c:v>
                </c:pt>
                <c:pt idx="77">
                  <c:v>-131.30783165451501</c:v>
                </c:pt>
                <c:pt idx="78">
                  <c:v>-131.39569395570453</c:v>
                </c:pt>
                <c:pt idx="79">
                  <c:v>-131.49582880345187</c:v>
                </c:pt>
                <c:pt idx="80">
                  <c:v>-131.60757266414296</c:v>
                </c:pt>
                <c:pt idx="81">
                  <c:v>-131.73030700309482</c:v>
                </c:pt>
                <c:pt idx="82">
                  <c:v>-131.86345451477632</c:v>
                </c:pt>
                <c:pt idx="83">
                  <c:v>-132.00647572197715</c:v>
                </c:pt>
                <c:pt idx="84">
                  <c:v>-132.15886590283537</c:v>
                </c:pt>
                <c:pt idx="85">
                  <c:v>-132.32015230973974</c:v>
                </c:pt>
                <c:pt idx="86">
                  <c:v>-132.48989164853123</c:v>
                </c:pt>
                <c:pt idx="87">
                  <c:v>-132.66766779024326</c:v>
                </c:pt>
                <c:pt idx="88">
                  <c:v>-132.85308969092893</c:v>
                </c:pt>
                <c:pt idx="89">
                  <c:v>-133.0457894979975</c:v>
                </c:pt>
                <c:pt idx="90">
                  <c:v>-133.24542082398676</c:v>
                </c:pt>
                <c:pt idx="91">
                  <c:v>-133.45165717087934</c:v>
                </c:pt>
                <c:pt idx="92">
                  <c:v>-133.66419048998065</c:v>
                </c:pt>
                <c:pt idx="93">
                  <c:v>-133.8827298640457</c:v>
                </c:pt>
                <c:pt idx="94">
                  <c:v>-134.10700029980745</c:v>
                </c:pt>
                <c:pt idx="95">
                  <c:v>-134.33674162034669</c:v>
                </c:pt>
                <c:pt idx="96">
                  <c:v>-134.57170744787638</c:v>
                </c:pt>
                <c:pt idx="97">
                  <c:v>-134.81166426851246</c:v>
                </c:pt>
                <c:pt idx="98">
                  <c:v>-135.05639057148429</c:v>
                </c:pt>
                <c:pt idx="99">
                  <c:v>-135.30567605601914</c:v>
                </c:pt>
                <c:pt idx="100">
                  <c:v>-135.55932089982451</c:v>
                </c:pt>
                <c:pt idx="101">
                  <c:v>-135.81713508370669</c:v>
                </c:pt>
                <c:pt idx="102">
                  <c:v>-136.0789377674065</c:v>
                </c:pt>
                <c:pt idx="103">
                  <c:v>-136.34455671222003</c:v>
                </c:pt>
                <c:pt idx="104">
                  <c:v>-136.61382774640123</c:v>
                </c:pt>
                <c:pt idx="105">
                  <c:v>-136.88659426973058</c:v>
                </c:pt>
                <c:pt idx="106">
                  <c:v>-137.16270679397712</c:v>
                </c:pt>
                <c:pt idx="107">
                  <c:v>-137.44202251628823</c:v>
                </c:pt>
                <c:pt idx="108">
                  <c:v>-137.72440492281956</c:v>
                </c:pt>
                <c:pt idx="109">
                  <c:v>-138.00972342016189</c:v>
                </c:pt>
                <c:pt idx="110">
                  <c:v>-138.29785299234618</c:v>
                </c:pt>
                <c:pt idx="111">
                  <c:v>-138.58867388140661</c:v>
                </c:pt>
                <c:pt idx="112">
                  <c:v>-138.88207128966104</c:v>
                </c:pt>
                <c:pt idx="113">
                  <c:v>-139.17793510203131</c:v>
                </c:pt>
                <c:pt idx="114">
                  <c:v>-139.47615962687036</c:v>
                </c:pt>
                <c:pt idx="115">
                  <c:v>-139.7766433538969</c:v>
                </c:pt>
                <c:pt idx="116">
                  <c:v>-140.07928872795648</c:v>
                </c:pt>
                <c:pt idx="117">
                  <c:v>-140.38400193743621</c:v>
                </c:pt>
                <c:pt idx="118">
                  <c:v>-140.69069271625881</c:v>
                </c:pt>
                <c:pt idx="119">
                  <c:v>-140.99927415846929</c:v>
                </c:pt>
                <c:pt idx="120">
                  <c:v>-141.30966254451022</c:v>
                </c:pt>
                <c:pt idx="121">
                  <c:v>-141.62177717835186</c:v>
                </c:pt>
                <c:pt idx="122">
                  <c:v>-141.93554023471341</c:v>
                </c:pt>
                <c:pt idx="123">
                  <c:v>-142.25087661567028</c:v>
                </c:pt>
                <c:pt idx="124">
                  <c:v>-142.56771381599759</c:v>
                </c:pt>
                <c:pt idx="125">
                  <c:v>-142.88598179665198</c:v>
                </c:pt>
                <c:pt idx="126">
                  <c:v>-143.20561286583916</c:v>
                </c:pt>
                <c:pt idx="127">
                  <c:v>-143.52654156715582</c:v>
                </c:pt>
                <c:pt idx="128">
                  <c:v>-143.84870457433533</c:v>
                </c:pt>
                <c:pt idx="129">
                  <c:v>-144.17204059215959</c:v>
                </c:pt>
                <c:pt idx="130">
                  <c:v>-144.49649026313355</c:v>
                </c:pt>
                <c:pt idx="131">
                  <c:v>-144.82199607954752</c:v>
                </c:pt>
                <c:pt idx="132">
                  <c:v>-145.14850230057993</c:v>
                </c:pt>
                <c:pt idx="133">
                  <c:v>-145.47595487411857</c:v>
                </c:pt>
                <c:pt idx="134">
                  <c:v>-145.80430136300092</c:v>
                </c:pt>
                <c:pt idx="135">
                  <c:v>-146.13349087539504</c:v>
                </c:pt>
                <c:pt idx="136">
                  <c:v>-146.46347399906321</c:v>
                </c:pt>
                <c:pt idx="137">
                  <c:v>-146.79420273926689</c:v>
                </c:pt>
                <c:pt idx="138">
                  <c:v>-147.12563046008927</c:v>
                </c:pt>
                <c:pt idx="139">
                  <c:v>-147.45771182896655</c:v>
                </c:pt>
                <c:pt idx="140">
                  <c:v>-147.79040276423308</c:v>
                </c:pt>
                <c:pt idx="141">
                  <c:v>-148.12366038549885</c:v>
                </c:pt>
                <c:pt idx="142">
                  <c:v>-148.45744296668974</c:v>
                </c:pt>
                <c:pt idx="143">
                  <c:v>-148.79170989159169</c:v>
                </c:pt>
                <c:pt idx="144">
                  <c:v>-149.12642161175108</c:v>
                </c:pt>
                <c:pt idx="145">
                  <c:v>-149.46153960659294</c:v>
                </c:pt>
                <c:pt idx="146">
                  <c:v>-149.79702634562648</c:v>
                </c:pt>
                <c:pt idx="147">
                  <c:v>-150.13284525261773</c:v>
                </c:pt>
                <c:pt idx="148">
                  <c:v>-150.46896067161452</c:v>
                </c:pt>
                <c:pt idx="149">
                  <c:v>-150.8053378347177</c:v>
                </c:pt>
                <c:pt idx="150">
                  <c:v>-151.14194283149857</c:v>
                </c:pt>
                <c:pt idx="151">
                  <c:v>-151.47874257996844</c:v>
                </c:pt>
                <c:pt idx="152">
                  <c:v>-151.81570479901262</c:v>
                </c:pt>
                <c:pt idx="153">
                  <c:v>-152.15279798220533</c:v>
                </c:pt>
                <c:pt idx="154">
                  <c:v>-152.4899913729289</c:v>
                </c:pt>
                <c:pt idx="155">
                  <c:v>-152.82725494072261</c:v>
                </c:pt>
                <c:pt idx="156">
                  <c:v>-153.16455935879409</c:v>
                </c:pt>
                <c:pt idx="157">
                  <c:v>-153.5018759826269</c:v>
                </c:pt>
                <c:pt idx="158">
                  <c:v>-153.83917682962453</c:v>
                </c:pt>
                <c:pt idx="159">
                  <c:v>-154.17643455973291</c:v>
                </c:pt>
                <c:pt idx="160">
                  <c:v>-154.51362245698689</c:v>
                </c:pt>
                <c:pt idx="161">
                  <c:v>-154.85071441193111</c:v>
                </c:pt>
                <c:pt idx="162">
                  <c:v>-155.18768490486531</c:v>
                </c:pt>
                <c:pt idx="163">
                  <c:v>-155.52450898987013</c:v>
                </c:pt>
                <c:pt idx="164">
                  <c:v>-155.86116227957018</c:v>
                </c:pt>
                <c:pt idx="165">
                  <c:v>-156.19762093059362</c:v>
                </c:pt>
                <c:pt idx="166">
                  <c:v>-156.53386162969068</c:v>
                </c:pt>
                <c:pt idx="167">
                  <c:v>-156.86986158047455</c:v>
                </c:pt>
                <c:pt idx="168">
                  <c:v>-157.20559849075144</c:v>
                </c:pt>
                <c:pt idx="169">
                  <c:v>-157.54105056040623</c:v>
                </c:pt>
                <c:pt idx="170">
                  <c:v>-157.876196469815</c:v>
                </c:pt>
                <c:pt idx="171">
                  <c:v>-158.2110153687544</c:v>
                </c:pt>
                <c:pt idx="172">
                  <c:v>-158.54548686578138</c:v>
                </c:pt>
                <c:pt idx="173">
                  <c:v>-158.87959101805731</c:v>
                </c:pt>
                <c:pt idx="174">
                  <c:v>-159.21330832159225</c:v>
                </c:pt>
                <c:pt idx="175">
                  <c:v>-159.54661970188647</c:v>
                </c:pt>
                <c:pt idx="176">
                  <c:v>-159.87950650494724</c:v>
                </c:pt>
                <c:pt idx="177">
                  <c:v>-160.21195048866082</c:v>
                </c:pt>
                <c:pt idx="178">
                  <c:v>-160.54393381449941</c:v>
                </c:pt>
                <c:pt idx="179">
                  <c:v>-160.87543903954526</c:v>
                </c:pt>
                <c:pt idx="180">
                  <c:v>-161.20644910881427</c:v>
                </c:pt>
                <c:pt idx="181">
                  <c:v>-161.53694734786279</c:v>
                </c:pt>
                <c:pt idx="182">
                  <c:v>-161.86691745566139</c:v>
                </c:pt>
                <c:pt idx="183">
                  <c:v>-162.19634349772176</c:v>
                </c:pt>
                <c:pt idx="184">
                  <c:v>-162.52520989946191</c:v>
                </c:pt>
                <c:pt idx="185">
                  <c:v>-162.85350143979713</c:v>
                </c:pt>
                <c:pt idx="186">
                  <c:v>-163.1812032449433</c:v>
                </c:pt>
                <c:pt idx="187">
                  <c:v>-163.50830078242211</c:v>
                </c:pt>
                <c:pt idx="188">
                  <c:v>-163.83477985525531</c:v>
                </c:pt>
                <c:pt idx="189">
                  <c:v>-164.16062659633897</c:v>
                </c:pt>
                <c:pt idx="190">
                  <c:v>-164.48582746298652</c:v>
                </c:pt>
                <c:pt idx="191">
                  <c:v>-164.81036923163194</c:v>
                </c:pt>
                <c:pt idx="192">
                  <c:v>-165.13423899268369</c:v>
                </c:pt>
                <c:pt idx="193">
                  <c:v>-165.45742414552114</c:v>
                </c:pt>
                <c:pt idx="194">
                  <c:v>-165.77991239362566</c:v>
                </c:pt>
                <c:pt idx="195">
                  <c:v>-166.10169173983812</c:v>
                </c:pt>
                <c:pt idx="196">
                  <c:v>-166.42275048173698</c:v>
                </c:pt>
                <c:pt idx="197">
                  <c:v>-166.74307720712886</c:v>
                </c:pt>
                <c:pt idx="198">
                  <c:v>-167.06266078964634</c:v>
                </c:pt>
                <c:pt idx="199">
                  <c:v>-167.38149038444644</c:v>
                </c:pt>
                <c:pt idx="200">
                  <c:v>-167.69955542400436</c:v>
                </c:pt>
                <c:pt idx="201">
                  <c:v>-168.01684561399713</c:v>
                </c:pt>
                <c:pt idx="202">
                  <c:v>-168.33335092927265</c:v>
                </c:pt>
                <c:pt idx="203">
                  <c:v>-168.64906160989821</c:v>
                </c:pt>
                <c:pt idx="204">
                  <c:v>-168.96396815728573</c:v>
                </c:pt>
                <c:pt idx="205">
                  <c:v>-169.27806133038828</c:v>
                </c:pt>
                <c:pt idx="206">
                  <c:v>-169.5913321419647</c:v>
                </c:pt>
                <c:pt idx="207">
                  <c:v>-169.90377185490848</c:v>
                </c:pt>
                <c:pt idx="208">
                  <c:v>-170.21537197863728</c:v>
                </c:pt>
                <c:pt idx="209">
                  <c:v>-170.52612426554029</c:v>
                </c:pt>
                <c:pt idx="210">
                  <c:v>-170.83602070748032</c:v>
                </c:pt>
                <c:pt idx="211">
                  <c:v>-171.14505353234739</c:v>
                </c:pt>
                <c:pt idx="212">
                  <c:v>-171.45321520066204</c:v>
                </c:pt>
                <c:pt idx="213">
                  <c:v>-171.76049840222507</c:v>
                </c:pt>
                <c:pt idx="214">
                  <c:v>-172.06689605281204</c:v>
                </c:pt>
                <c:pt idx="215">
                  <c:v>-172.37240129091018</c:v>
                </c:pt>
                <c:pt idx="216">
                  <c:v>-172.67700747449575</c:v>
                </c:pt>
                <c:pt idx="217">
                  <c:v>-172.98070817785009</c:v>
                </c:pt>
                <c:pt idx="218">
                  <c:v>-173.28349718841244</c:v>
                </c:pt>
                <c:pt idx="219">
                  <c:v>-173.58536850366869</c:v>
                </c:pt>
                <c:pt idx="220">
                  <c:v>-173.88631632807329</c:v>
                </c:pt>
                <c:pt idx="221">
                  <c:v>-174.18633507000456</c:v>
                </c:pt>
                <c:pt idx="222">
                  <c:v>-174.48541933875086</c:v>
                </c:pt>
                <c:pt idx="223">
                  <c:v>-174.78356394152729</c:v>
                </c:pt>
                <c:pt idx="224">
                  <c:v>-175.08076388052169</c:v>
                </c:pt>
                <c:pt idx="225">
                  <c:v>-175.37701434996856</c:v>
                </c:pt>
                <c:pt idx="226">
                  <c:v>-178.28637253955</c:v>
                </c:pt>
                <c:pt idx="227">
                  <c:v>-181.09681502071399</c:v>
                </c:pt>
                <c:pt idx="228">
                  <c:v>-183.80627359754493</c:v>
                </c:pt>
                <c:pt idx="229">
                  <c:v>-186.41402100777918</c:v>
                </c:pt>
                <c:pt idx="230">
                  <c:v>-188.92044084513213</c:v>
                </c:pt>
                <c:pt idx="231">
                  <c:v>-191.32681945393378</c:v>
                </c:pt>
                <c:pt idx="232">
                  <c:v>-193.63516035027942</c:v>
                </c:pt>
                <c:pt idx="233">
                  <c:v>-195.84802132008429</c:v>
                </c:pt>
                <c:pt idx="234">
                  <c:v>-197.9683737268995</c:v>
                </c:pt>
                <c:pt idx="235">
                  <c:v>-199.99948295944441</c:v>
                </c:pt>
                <c:pt idx="236">
                  <c:v>-201.94480847130166</c:v>
                </c:pt>
                <c:pt idx="237">
                  <c:v>-203.80792154998991</c:v>
                </c:pt>
                <c:pt idx="238">
                  <c:v>-205.59243879436178</c:v>
                </c:pt>
                <c:pt idx="239">
                  <c:v>-207.3019692520549</c:v>
                </c:pt>
                <c:pt idx="240">
                  <c:v>-208.94007323967324</c:v>
                </c:pt>
                <c:pt idx="241">
                  <c:v>-210.51023100545927</c:v>
                </c:pt>
                <c:pt idx="242">
                  <c:v>-212.01581957007102</c:v>
                </c:pt>
                <c:pt idx="243">
                  <c:v>-213.46009627433227</c:v>
                </c:pt>
                <c:pt idx="244">
                  <c:v>-214.8461877580072</c:v>
                </c:pt>
                <c:pt idx="245">
                  <c:v>-216.17708328039689</c:v>
                </c:pt>
                <c:pt idx="246">
                  <c:v>-217.45563146557936</c:v>
                </c:pt>
                <c:pt idx="247">
                  <c:v>-218.68453970915931</c:v>
                </c:pt>
                <c:pt idx="248">
                  <c:v>-219.86637561836466</c:v>
                </c:pt>
                <c:pt idx="249">
                  <c:v>-221.00356997354109</c:v>
                </c:pt>
                <c:pt idx="250">
                  <c:v>-222.0984207977381</c:v>
                </c:pt>
                <c:pt idx="251">
                  <c:v>-223.15309820382413</c:v>
                </c:pt>
                <c:pt idx="252">
                  <c:v>-224.16964975726131</c:v>
                </c:pt>
                <c:pt idx="253">
                  <c:v>-225.15000614920149</c:v>
                </c:pt>
                <c:pt idx="254">
                  <c:v>-226.09598702071156</c:v>
                </c:pt>
                <c:pt idx="255">
                  <c:v>-227.00930681633074</c:v>
                </c:pt>
                <c:pt idx="256">
                  <c:v>-227.89158057525654</c:v>
                </c:pt>
                <c:pt idx="257">
                  <c:v>-228.74432959250655</c:v>
                </c:pt>
                <c:pt idx="258">
                  <c:v>-229.56898690149146</c:v>
                </c:pt>
                <c:pt idx="259">
                  <c:v>-230.36690254447657</c:v>
                </c:pt>
                <c:pt idx="260">
                  <c:v>-231.13934860916174</c:v>
                </c:pt>
                <c:pt idx="261">
                  <c:v>-231.8875240187171</c:v>
                </c:pt>
                <c:pt idx="262">
                  <c:v>-232.61255906958615</c:v>
                </c:pt>
                <c:pt idx="263">
                  <c:v>-233.31551971664763</c:v>
                </c:pt>
                <c:pt idx="264">
                  <c:v>-233.99741160925282</c:v>
                </c:pt>
                <c:pt idx="265">
                  <c:v>-234.65918388451649</c:v>
                </c:pt>
                <c:pt idx="266">
                  <c:v>-235.30173272625817</c:v>
                </c:pt>
                <c:pt idx="267">
                  <c:v>-235.92590469935882</c:v>
                </c:pt>
                <c:pt idx="268">
                  <c:v>-236.53249987015619</c:v>
                </c:pt>
                <c:pt idx="269">
                  <c:v>-237.1222747239708</c:v>
                </c:pt>
                <c:pt idx="270">
                  <c:v>-237.69594489102857</c:v>
                </c:pt>
                <c:pt idx="271">
                  <c:v>-238.25418769199854</c:v>
                </c:pt>
                <c:pt idx="272">
                  <c:v>-238.79764451415204</c:v>
                </c:pt>
                <c:pt idx="273">
                  <c:v>-239.32692302882103</c:v>
                </c:pt>
                <c:pt idx="274">
                  <c:v>-239.84259926042543</c:v>
                </c:pt>
                <c:pt idx="275">
                  <c:v>-240.34521951687415</c:v>
                </c:pt>
                <c:pt idx="276">
                  <c:v>-240.83530219065099</c:v>
                </c:pt>
                <c:pt idx="277">
                  <c:v>-241.31333943938537</c:v>
                </c:pt>
                <c:pt idx="278">
                  <c:v>-241.77979875419408</c:v>
                </c:pt>
                <c:pt idx="279">
                  <c:v>-242.23512442357216</c:v>
                </c:pt>
                <c:pt idx="280">
                  <c:v>-242.67973890011447</c:v>
                </c:pt>
                <c:pt idx="281">
                  <c:v>-243.11404407687303</c:v>
                </c:pt>
                <c:pt idx="282">
                  <c:v>-243.53842247969357</c:v>
                </c:pt>
                <c:pt idx="283">
                  <c:v>-243.95323838144284</c:v>
                </c:pt>
                <c:pt idx="284">
                  <c:v>-244.35883884362173</c:v>
                </c:pt>
                <c:pt idx="285">
                  <c:v>-244.75555469047333</c:v>
                </c:pt>
                <c:pt idx="286">
                  <c:v>-245.14370142032948</c:v>
                </c:pt>
                <c:pt idx="287">
                  <c:v>-245.52358005859659</c:v>
                </c:pt>
                <c:pt idx="288">
                  <c:v>-245.89547795646456</c:v>
                </c:pt>
                <c:pt idx="289">
                  <c:v>-246.25966953912399</c:v>
                </c:pt>
                <c:pt idx="290">
                  <c:v>-246.61641700700096</c:v>
                </c:pt>
                <c:pt idx="291">
                  <c:v>-246.96597099326254</c:v>
                </c:pt>
                <c:pt idx="292">
                  <c:v>-247.30857118060655</c:v>
                </c:pt>
                <c:pt idx="293">
                  <c:v>-247.64444688012946</c:v>
                </c:pt>
                <c:pt idx="294">
                  <c:v>-247.97381757486198</c:v>
                </c:pt>
                <c:pt idx="295">
                  <c:v>-248.29689343037074</c:v>
                </c:pt>
                <c:pt idx="296">
                  <c:v>-248.61387577465217</c:v>
                </c:pt>
                <c:pt idx="297">
                  <c:v>-248.92495754938005</c:v>
                </c:pt>
                <c:pt idx="298">
                  <c:v>-249.23032373442004</c:v>
                </c:pt>
                <c:pt idx="299">
                  <c:v>-249.53015174738567</c:v>
                </c:pt>
                <c:pt idx="300">
                  <c:v>-249.82461181988211</c:v>
                </c:pt>
                <c:pt idx="301">
                  <c:v>-250.11386735196629</c:v>
                </c:pt>
                <c:pt idx="302">
                  <c:v>-250.39807524624149</c:v>
                </c:pt>
                <c:pt idx="303">
                  <c:v>-250.67738622290562</c:v>
                </c:pt>
                <c:pt idx="304">
                  <c:v>-250.95194511697662</c:v>
                </c:pt>
                <c:pt idx="305">
                  <c:v>-251.22189115883344</c:v>
                </c:pt>
                <c:pt idx="306">
                  <c:v>-251.48735823913165</c:v>
                </c:pt>
                <c:pt idx="307">
                  <c:v>-251.74847515907692</c:v>
                </c:pt>
                <c:pt idx="308">
                  <c:v>-252.00536586697413</c:v>
                </c:pt>
                <c:pt idx="309">
                  <c:v>-252.25814968190321</c:v>
                </c:pt>
                <c:pt idx="310">
                  <c:v>-252.50694150531803</c:v>
                </c:pt>
                <c:pt idx="311">
                  <c:v>-252.75185202130709</c:v>
                </c:pt>
                <c:pt idx="312">
                  <c:v>-252.99298788620678</c:v>
                </c:pt>
                <c:pt idx="313">
                  <c:v>-253.23045190821063</c:v>
                </c:pt>
                <c:pt idx="314">
                  <c:v>-253.46434321757476</c:v>
                </c:pt>
                <c:pt idx="315">
                  <c:v>-253.69475742797988</c:v>
                </c:pt>
                <c:pt idx="316">
                  <c:v>-253.92178678957339</c:v>
                </c:pt>
                <c:pt idx="317">
                  <c:v>-254.14552033418022</c:v>
                </c:pt>
                <c:pt idx="318">
                  <c:v>-254.36604401313957</c:v>
                </c:pt>
                <c:pt idx="319">
                  <c:v>-254.58344082819451</c:v>
                </c:pt>
                <c:pt idx="320">
                  <c:v>-254.79779095583422</c:v>
                </c:pt>
                <c:pt idx="321">
                  <c:v>-255.00917186546297</c:v>
                </c:pt>
                <c:pt idx="322">
                  <c:v>-255.21765843174592</c:v>
                </c:pt>
                <c:pt idx="323">
                  <c:v>-255.42332304145975</c:v>
                </c:pt>
                <c:pt idx="324">
                  <c:v>-255.62623569515591</c:v>
                </c:pt>
                <c:pt idx="325">
                  <c:v>-255.82646410392368</c:v>
                </c:pt>
                <c:pt idx="326">
                  <c:v>-256.02407378152429</c:v>
                </c:pt>
                <c:pt idx="327">
                  <c:v>-256.21912813214965</c:v>
                </c:pt>
                <c:pt idx="328">
                  <c:v>-256.41168853404253</c:v>
                </c:pt>
                <c:pt idx="329">
                  <c:v>-256.60181441920366</c:v>
                </c:pt>
                <c:pt idx="330">
                  <c:v>-256.78956334939375</c:v>
                </c:pt>
                <c:pt idx="331">
                  <c:v>-256.97499108862962</c:v>
                </c:pt>
                <c:pt idx="332">
                  <c:v>-257.15815167235854</c:v>
                </c:pt>
                <c:pt idx="333">
                  <c:v>-257.33909747348639</c:v>
                </c:pt>
                <c:pt idx="334">
                  <c:v>-257.51787926542329</c:v>
                </c:pt>
                <c:pt idx="335">
                  <c:v>-257.69454628230216</c:v>
                </c:pt>
                <c:pt idx="336">
                  <c:v>-257.86914627651413</c:v>
                </c:pt>
                <c:pt idx="337">
                  <c:v>-258.04172557370077</c:v>
                </c:pt>
                <c:pt idx="338">
                  <c:v>-258.21232912532918</c:v>
                </c:pt>
                <c:pt idx="339">
                  <c:v>-258.38100055897524</c:v>
                </c:pt>
                <c:pt idx="340">
                  <c:v>-258.54778222642699</c:v>
                </c:pt>
                <c:pt idx="341">
                  <c:v>-258.71271524971894</c:v>
                </c:pt>
                <c:pt idx="342">
                  <c:v>-258.87583956519848</c:v>
                </c:pt>
                <c:pt idx="343">
                  <c:v>-259.03719396572183</c:v>
                </c:pt>
                <c:pt idx="344">
                  <c:v>-259.19681614107031</c:v>
                </c:pt>
                <c:pt idx="345">
                  <c:v>-259.35474271667391</c:v>
                </c:pt>
                <c:pt idx="346">
                  <c:v>-259.51100929072322</c:v>
                </c:pt>
                <c:pt idx="347">
                  <c:v>-259.66565046974745</c:v>
                </c:pt>
                <c:pt idx="348">
                  <c:v>-259.81869990273134</c:v>
                </c:pt>
                <c:pt idx="349">
                  <c:v>-259.97019031383979</c:v>
                </c:pt>
                <c:pt idx="350">
                  <c:v>-260.12015353381628</c:v>
                </c:pt>
                <c:pt idx="351">
                  <c:v>-260.26862053011644</c:v>
                </c:pt>
                <c:pt idx="352">
                  <c:v>-260.41562143583599</c:v>
                </c:pt>
                <c:pt idx="353">
                  <c:v>-260.56118557748806</c:v>
                </c:pt>
                <c:pt idx="354">
                  <c:v>-260.70534150168345</c:v>
                </c:pt>
                <c:pt idx="355">
                  <c:v>-260.84811700076278</c:v>
                </c:pt>
                <c:pt idx="356">
                  <c:v>-260.98953913742912</c:v>
                </c:pt>
                <c:pt idx="357">
                  <c:v>-261.12963426842504</c:v>
                </c:pt>
                <c:pt idx="358">
                  <c:v>-261.26842806729792</c:v>
                </c:pt>
                <c:pt idx="359">
                  <c:v>-261.40594554629257</c:v>
                </c:pt>
                <c:pt idx="360">
                  <c:v>-261.54221107741148</c:v>
                </c:pt>
                <c:pt idx="361">
                  <c:v>-261.67724841267784</c:v>
                </c:pt>
                <c:pt idx="362">
                  <c:v>-261.81108070363683</c:v>
                </c:pt>
                <c:pt idx="363">
                  <c:v>-261.9437305201281</c:v>
                </c:pt>
                <c:pt idx="364">
                  <c:v>-262.0752198683611</c:v>
                </c:pt>
                <c:pt idx="365">
                  <c:v>-262.20557020832246</c:v>
                </c:pt>
                <c:pt idx="366">
                  <c:v>-262.33480247054473</c:v>
                </c:pt>
                <c:pt idx="367">
                  <c:v>-262.46293707226346</c:v>
                </c:pt>
                <c:pt idx="368">
                  <c:v>-262.58999393298757</c:v>
                </c:pt>
                <c:pt idx="369">
                  <c:v>-262.71599248950866</c:v>
                </c:pt>
                <c:pt idx="370">
                  <c:v>-262.84095171037205</c:v>
                </c:pt>
                <c:pt idx="371">
                  <c:v>-262.96489010983191</c:v>
                </c:pt>
                <c:pt idx="372">
                  <c:v>-263.08782576131171</c:v>
                </c:pt>
                <c:pt idx="373">
                  <c:v>-263.20977631039079</c:v>
                </c:pt>
                <c:pt idx="374">
                  <c:v>-263.33075898733534</c:v>
                </c:pt>
                <c:pt idx="375">
                  <c:v>-263.45079061919307</c:v>
                </c:pt>
                <c:pt idx="376">
                  <c:v>-263.56988764146899</c:v>
                </c:pt>
                <c:pt idx="377">
                  <c:v>-263.68806610939879</c:v>
                </c:pt>
                <c:pt idx="378">
                  <c:v>-263.80534170883612</c:v>
                </c:pt>
                <c:pt idx="379">
                  <c:v>-263.92172976676881</c:v>
                </c:pt>
                <c:pt idx="380">
                  <c:v>-264.03724526147926</c:v>
                </c:pt>
                <c:pt idx="381">
                  <c:v>-264.151902832362</c:v>
                </c:pt>
                <c:pt idx="382">
                  <c:v>-264.26571678941241</c:v>
                </c:pt>
                <c:pt idx="383">
                  <c:v>-264.37870112239938</c:v>
                </c:pt>
                <c:pt idx="384">
                  <c:v>-264.49086950973413</c:v>
                </c:pt>
                <c:pt idx="385">
                  <c:v>-264.60223532704578</c:v>
                </c:pt>
                <c:pt idx="386">
                  <c:v>-264.71281165547703</c:v>
                </c:pt>
                <c:pt idx="387">
                  <c:v>-264.82261128970788</c:v>
                </c:pt>
                <c:pt idx="388">
                  <c:v>-264.93164674572017</c:v>
                </c:pt>
                <c:pt idx="389">
                  <c:v>-265.03993026831108</c:v>
                </c:pt>
                <c:pt idx="390">
                  <c:v>-265.14747383836504</c:v>
                </c:pt>
                <c:pt idx="391">
                  <c:v>-265.2542891798945</c:v>
                </c:pt>
                <c:pt idx="392">
                  <c:v>-265.36038776685575</c:v>
                </c:pt>
                <c:pt idx="393">
                  <c:v>-265.46578082975026</c:v>
                </c:pt>
                <c:pt idx="394">
                  <c:v>-265.57047936201815</c:v>
                </c:pt>
                <c:pt idx="395">
                  <c:v>-265.67449412623137</c:v>
                </c:pt>
                <c:pt idx="396">
                  <c:v>-265.77783566009509</c:v>
                </c:pt>
                <c:pt idx="397">
                  <c:v>-265.88051428226203</c:v>
                </c:pt>
                <c:pt idx="398">
                  <c:v>-265.98254009796847</c:v>
                </c:pt>
                <c:pt idx="399">
                  <c:v>-266.08392300449771</c:v>
                </c:pt>
                <c:pt idx="400">
                  <c:v>-266.18467269647596</c:v>
                </c:pt>
                <c:pt idx="401">
                  <c:v>-266.28479867100845</c:v>
                </c:pt>
                <c:pt idx="402">
                  <c:v>-266.38431023266003</c:v>
                </c:pt>
                <c:pt idx="403">
                  <c:v>-266.48321649828625</c:v>
                </c:pt>
                <c:pt idx="404">
                  <c:v>-266.58152640171994</c:v>
                </c:pt>
                <c:pt idx="405">
                  <c:v>-266.67924869831825</c:v>
                </c:pt>
                <c:pt idx="406">
                  <c:v>-266.77639196937525</c:v>
                </c:pt>
                <c:pt idx="407">
                  <c:v>-266.87296462640472</c:v>
                </c:pt>
                <c:pt idx="408">
                  <c:v>-266.96897491529654</c:v>
                </c:pt>
                <c:pt idx="409">
                  <c:v>-267.06443092035295</c:v>
                </c:pt>
                <c:pt idx="410">
                  <c:v>-267.1593405682064</c:v>
                </c:pt>
                <c:pt idx="411">
                  <c:v>-267.25371163162538</c:v>
                </c:pt>
                <c:pt idx="412">
                  <c:v>-267.34755173320957</c:v>
                </c:pt>
                <c:pt idx="413">
                  <c:v>-267.44086834898002</c:v>
                </c:pt>
                <c:pt idx="414">
                  <c:v>-267.53366881186685</c:v>
                </c:pt>
                <c:pt idx="415">
                  <c:v>-267.6259603150977</c:v>
                </c:pt>
                <c:pt idx="416">
                  <c:v>-267.71774991549108</c:v>
                </c:pt>
                <c:pt idx="417">
                  <c:v>-267.80904453665647</c:v>
                </c:pt>
                <c:pt idx="418">
                  <c:v>-267.89985097210558</c:v>
                </c:pt>
                <c:pt idx="419">
                  <c:v>-267.99017588827667</c:v>
                </c:pt>
                <c:pt idx="420">
                  <c:v>-268.08002582747474</c:v>
                </c:pt>
                <c:pt idx="421">
                  <c:v>-268.16940721073155</c:v>
                </c:pt>
                <c:pt idx="422">
                  <c:v>-268.25832634058588</c:v>
                </c:pt>
                <c:pt idx="423">
                  <c:v>-268.34678940378865</c:v>
                </c:pt>
                <c:pt idx="424">
                  <c:v>-268.43480247393421</c:v>
                </c:pt>
                <c:pt idx="425">
                  <c:v>-268.52237151401999</c:v>
                </c:pt>
                <c:pt idx="426">
                  <c:v>-268.60950237893758</c:v>
                </c:pt>
                <c:pt idx="427">
                  <c:v>-268.69620081789651</c:v>
                </c:pt>
                <c:pt idx="428">
                  <c:v>-268.7824724767836</c:v>
                </c:pt>
                <c:pt idx="429">
                  <c:v>-268.8683229004593</c:v>
                </c:pt>
                <c:pt idx="430">
                  <c:v>-268.95375753499286</c:v>
                </c:pt>
                <c:pt idx="431">
                  <c:v>-269.03878172983923</c:v>
                </c:pt>
                <c:pt idx="432">
                  <c:v>-269.12340073995813</c:v>
                </c:pt>
                <c:pt idx="433">
                  <c:v>-269.20761972787795</c:v>
                </c:pt>
                <c:pt idx="434">
                  <c:v>-269.29144376570605</c:v>
                </c:pt>
                <c:pt idx="435">
                  <c:v>-269.37487783708627</c:v>
                </c:pt>
                <c:pt idx="436">
                  <c:v>-269.45792683910707</c:v>
                </c:pt>
                <c:pt idx="437">
                  <c:v>-269.54059558415906</c:v>
                </c:pt>
                <c:pt idx="438">
                  <c:v>-269.6228888017464</c:v>
                </c:pt>
                <c:pt idx="439">
                  <c:v>-269.70481114025102</c:v>
                </c:pt>
                <c:pt idx="440">
                  <c:v>-269.78636716865276</c:v>
                </c:pt>
                <c:pt idx="441">
                  <c:v>-269.86756137820532</c:v>
                </c:pt>
                <c:pt idx="442">
                  <c:v>-269.94839818407064</c:v>
                </c:pt>
                <c:pt idx="443">
                  <c:v>-270.02888192691171</c:v>
                </c:pt>
                <c:pt idx="444">
                  <c:v>-270.10901687444618</c:v>
                </c:pt>
                <c:pt idx="445">
                  <c:v>-270.18880722296103</c:v>
                </c:pt>
                <c:pt idx="446">
                  <c:v>-270.26825709878955</c:v>
                </c:pt>
                <c:pt idx="447">
                  <c:v>-270.34737055975228</c:v>
                </c:pt>
                <c:pt idx="448">
                  <c:v>-270.42615159656242</c:v>
                </c:pt>
                <c:pt idx="449">
                  <c:v>-270.50460413419648</c:v>
                </c:pt>
                <c:pt idx="450">
                  <c:v>-270.58273203323222</c:v>
                </c:pt>
                <c:pt idx="451">
                  <c:v>-270.66053909115351</c:v>
                </c:pt>
                <c:pt idx="452">
                  <c:v>-270.73802904362395</c:v>
                </c:pt>
                <c:pt idx="453">
                  <c:v>-270.81520556572968</c:v>
                </c:pt>
                <c:pt idx="454">
                  <c:v>-270.89207227319264</c:v>
                </c:pt>
                <c:pt idx="455">
                  <c:v>-270.96863272355455</c:v>
                </c:pt>
                <c:pt idx="456">
                  <c:v>-271.04489041733268</c:v>
                </c:pt>
                <c:pt idx="457">
                  <c:v>-271.1208487991488</c:v>
                </c:pt>
                <c:pt idx="458">
                  <c:v>-271.19651125883058</c:v>
                </c:pt>
                <c:pt idx="459">
                  <c:v>-271.27188113248803</c:v>
                </c:pt>
                <c:pt idx="460">
                  <c:v>-271.34696170356392</c:v>
                </c:pt>
                <c:pt idx="461">
                  <c:v>-271.42175620386024</c:v>
                </c:pt>
                <c:pt idx="462">
                  <c:v>-271.49626781454049</c:v>
                </c:pt>
                <c:pt idx="463">
                  <c:v>-271.57049966710906</c:v>
                </c:pt>
                <c:pt idx="464">
                  <c:v>-271.64445484436771</c:v>
                </c:pt>
                <c:pt idx="465">
                  <c:v>-271.71813638135012</c:v>
                </c:pt>
                <c:pt idx="466">
                  <c:v>-271.79154726623528</c:v>
                </c:pt>
                <c:pt idx="467">
                  <c:v>-271.86469044123993</c:v>
                </c:pt>
                <c:pt idx="468">
                  <c:v>-271.93756880349054</c:v>
                </c:pt>
                <c:pt idx="469">
                  <c:v>-272.01018520587576</c:v>
                </c:pt>
                <c:pt idx="470">
                  <c:v>-272.0825424578797</c:v>
                </c:pt>
                <c:pt idx="471">
                  <c:v>-272.15464332639635</c:v>
                </c:pt>
                <c:pt idx="472">
                  <c:v>-272.22649053652572</c:v>
                </c:pt>
                <c:pt idx="473">
                  <c:v>-272.29808677235246</c:v>
                </c:pt>
                <c:pt idx="474">
                  <c:v>-272.36943467770686</c:v>
                </c:pt>
                <c:pt idx="475">
                  <c:v>-272.44053685690955</c:v>
                </c:pt>
                <c:pt idx="476">
                  <c:v>-272.51139587549892</c:v>
                </c:pt>
                <c:pt idx="477">
                  <c:v>-272.58201426094342</c:v>
                </c:pt>
                <c:pt idx="478">
                  <c:v>-272.65239450333786</c:v>
                </c:pt>
                <c:pt idx="479">
                  <c:v>-272.72253905608432</c:v>
                </c:pt>
                <c:pt idx="480">
                  <c:v>-272.79245033655889</c:v>
                </c:pt>
                <c:pt idx="481">
                  <c:v>-272.8621307267631</c:v>
                </c:pt>
                <c:pt idx="482">
                  <c:v>-272.93158257396226</c:v>
                </c:pt>
                <c:pt idx="483">
                  <c:v>-273.00080819130932</c:v>
                </c:pt>
                <c:pt idx="484">
                  <c:v>-273.06980985845559</c:v>
                </c:pt>
                <c:pt idx="485">
                  <c:v>-273.13858982214856</c:v>
                </c:pt>
                <c:pt idx="486">
                  <c:v>-273.20715029681696</c:v>
                </c:pt>
                <c:pt idx="487">
                  <c:v>-273.2754934651432</c:v>
                </c:pt>
                <c:pt idx="488">
                  <c:v>-273.34362147862407</c:v>
                </c:pt>
                <c:pt idx="489">
                  <c:v>-273.4115364581192</c:v>
                </c:pt>
                <c:pt idx="490">
                  <c:v>-273.47924049438836</c:v>
                </c:pt>
                <c:pt idx="491">
                  <c:v>-273.5467356486177</c:v>
                </c:pt>
                <c:pt idx="492">
                  <c:v>-273.61402395293425</c:v>
                </c:pt>
                <c:pt idx="493">
                  <c:v>-273.68110741091056</c:v>
                </c:pt>
                <c:pt idx="494">
                  <c:v>-273.74798799805853</c:v>
                </c:pt>
                <c:pt idx="495">
                  <c:v>-273.81466766231301</c:v>
                </c:pt>
                <c:pt idx="496">
                  <c:v>-273.88114832450577</c:v>
                </c:pt>
                <c:pt idx="497">
                  <c:v>-273.94743187882926</c:v>
                </c:pt>
                <c:pt idx="498">
                  <c:v>-274.01352019329141</c:v>
                </c:pt>
                <c:pt idx="499">
                  <c:v>-274.07941511016077</c:v>
                </c:pt>
                <c:pt idx="500">
                  <c:v>-274.14511844640316</c:v>
                </c:pt>
                <c:pt idx="501">
                  <c:v>-274.21063199410878</c:v>
                </c:pt>
                <c:pt idx="502">
                  <c:v>-274.27595752091116</c:v>
                </c:pt>
                <c:pt idx="503">
                  <c:v>-274.341096770398</c:v>
                </c:pt>
                <c:pt idx="504">
                  <c:v>-274.40605146251289</c:v>
                </c:pt>
                <c:pt idx="505">
                  <c:v>-274.47082329395005</c:v>
                </c:pt>
                <c:pt idx="506">
                  <c:v>-274.53541393854027</c:v>
                </c:pt>
                <c:pt idx="507">
                  <c:v>-274.59982504763019</c:v>
                </c:pt>
                <c:pt idx="508">
                  <c:v>-274.66405825045308</c:v>
                </c:pt>
                <c:pt idx="509">
                  <c:v>-274.72811515449314</c:v>
                </c:pt>
                <c:pt idx="510">
                  <c:v>-274.79199734584222</c:v>
                </c:pt>
                <c:pt idx="511">
                  <c:v>-274.85570638954971</c:v>
                </c:pt>
                <c:pt idx="512">
                  <c:v>-274.91924382996558</c:v>
                </c:pt>
                <c:pt idx="513">
                  <c:v>-274.98261119107673</c:v>
                </c:pt>
                <c:pt idx="514">
                  <c:v>-275.04580997683678</c:v>
                </c:pt>
                <c:pt idx="515">
                  <c:v>-275.10884167148993</c:v>
                </c:pt>
                <c:pt idx="516">
                  <c:v>-275.17170773988778</c:v>
                </c:pt>
                <c:pt idx="517">
                  <c:v>-275.23440962780074</c:v>
                </c:pt>
                <c:pt idx="518">
                  <c:v>-275.29694876222334</c:v>
                </c:pt>
                <c:pt idx="519">
                  <c:v>-275.35932655167358</c:v>
                </c:pt>
                <c:pt idx="520">
                  <c:v>-275.42154438648674</c:v>
                </c:pt>
                <c:pt idx="521">
                  <c:v>-275.48360363910331</c:v>
                </c:pt>
                <c:pt idx="522">
                  <c:v>-275.54550566435211</c:v>
                </c:pt>
                <c:pt idx="523">
                  <c:v>-275.60725179972752</c:v>
                </c:pt>
                <c:pt idx="524">
                  <c:v>-275.66884336566164</c:v>
                </c:pt>
                <c:pt idx="525">
                  <c:v>-275.73028166579161</c:v>
                </c:pt>
                <c:pt idx="526">
                  <c:v>-275.79156798722158</c:v>
                </c:pt>
                <c:pt idx="527">
                  <c:v>-275.85270360077999</c:v>
                </c:pt>
                <c:pt idx="528">
                  <c:v>-275.91368976127228</c:v>
                </c:pt>
                <c:pt idx="529">
                  <c:v>-275.97452770772861</c:v>
                </c:pt>
                <c:pt idx="530">
                  <c:v>-276.03521866364702</c:v>
                </c:pt>
                <c:pt idx="531">
                  <c:v>-276.09576383723248</c:v>
                </c:pt>
                <c:pt idx="532">
                  <c:v>-276.15616442163127</c:v>
                </c:pt>
                <c:pt idx="533">
                  <c:v>-276.21642159516097</c:v>
                </c:pt>
                <c:pt idx="534">
                  <c:v>-276.27653652153674</c:v>
                </c:pt>
                <c:pt idx="535">
                  <c:v>-276.33651035009302</c:v>
                </c:pt>
                <c:pt idx="536">
                  <c:v>-276.39634421600152</c:v>
                </c:pt>
                <c:pt idx="537">
                  <c:v>-276.45603924048487</c:v>
                </c:pt>
                <c:pt idx="538">
                  <c:v>-276.5155965310272</c:v>
                </c:pt>
                <c:pt idx="539">
                  <c:v>-276.57501718158011</c:v>
                </c:pt>
                <c:pt idx="540">
                  <c:v>-276.63430227276547</c:v>
                </c:pt>
                <c:pt idx="541">
                  <c:v>-276.69345287207443</c:v>
                </c:pt>
                <c:pt idx="542">
                  <c:v>-276.75247003406292</c:v>
                </c:pt>
                <c:pt idx="543">
                  <c:v>-276.81135480054371</c:v>
                </c:pt>
                <c:pt idx="544">
                  <c:v>-276.87010820077512</c:v>
                </c:pt>
                <c:pt idx="545">
                  <c:v>-276.92873125164613</c:v>
                </c:pt>
                <c:pt idx="546">
                  <c:v>-276.98722495785887</c:v>
                </c:pt>
                <c:pt idx="547">
                  <c:v>-277.04559031210692</c:v>
                </c:pt>
                <c:pt idx="548">
                  <c:v>-277.10382829525184</c:v>
                </c:pt>
                <c:pt idx="549">
                  <c:v>-277.16193987649518</c:v>
                </c:pt>
                <c:pt idx="550">
                  <c:v>-277.2199260135485</c:v>
                </c:pt>
                <c:pt idx="551">
                  <c:v>-277.27778765280033</c:v>
                </c:pt>
                <c:pt idx="552">
                  <c:v>-277.33552572947963</c:v>
                </c:pt>
                <c:pt idx="553">
                  <c:v>-277.39314116781736</c:v>
                </c:pt>
                <c:pt idx="554">
                  <c:v>-277.45063488120439</c:v>
                </c:pt>
                <c:pt idx="555">
                  <c:v>-277.50800777234736</c:v>
                </c:pt>
                <c:pt idx="556">
                  <c:v>-277.56526073342161</c:v>
                </c:pt>
                <c:pt idx="557">
                  <c:v>-277.62239464622132</c:v>
                </c:pt>
                <c:pt idx="558">
                  <c:v>-277.67941038230765</c:v>
                </c:pt>
                <c:pt idx="559">
                  <c:v>-277.73630880315386</c:v>
                </c:pt>
                <c:pt idx="560">
                  <c:v>-277.79309076028824</c:v>
                </c:pt>
                <c:pt idx="561">
                  <c:v>-277.84975709543426</c:v>
                </c:pt>
                <c:pt idx="562">
                  <c:v>-277.90630864064929</c:v>
                </c:pt>
                <c:pt idx="563">
                  <c:v>-277.96274621845976</c:v>
                </c:pt>
                <c:pt idx="564">
                  <c:v>-278.01907064199509</c:v>
                </c:pt>
                <c:pt idx="565">
                  <c:v>-278.07528271511876</c:v>
                </c:pt>
                <c:pt idx="566">
                  <c:v>-278.13138323255765</c:v>
                </c:pt>
                <c:pt idx="567">
                  <c:v>-278.18737298002873</c:v>
                </c:pt>
                <c:pt idx="568">
                  <c:v>-278.24325273436432</c:v>
                </c:pt>
                <c:pt idx="569">
                  <c:v>-278.29902326363469</c:v>
                </c:pt>
                <c:pt idx="570">
                  <c:v>-278.3546853272689</c:v>
                </c:pt>
                <c:pt idx="571">
                  <c:v>-278.41023967617372</c:v>
                </c:pt>
                <c:pt idx="572">
                  <c:v>-278.46568705285046</c:v>
                </c:pt>
                <c:pt idx="573">
                  <c:v>-278.5210281915102</c:v>
                </c:pt>
                <c:pt idx="574">
                  <c:v>-278.57626381818653</c:v>
                </c:pt>
                <c:pt idx="575">
                  <c:v>-278.63139465084737</c:v>
                </c:pt>
                <c:pt idx="576">
                  <c:v>-278.6864213995039</c:v>
                </c:pt>
                <c:pt idx="577">
                  <c:v>-278.74134476631889</c:v>
                </c:pt>
                <c:pt idx="578">
                  <c:v>-278.79616544571223</c:v>
                </c:pt>
                <c:pt idx="579">
                  <c:v>-278.85088412446567</c:v>
                </c:pt>
                <c:pt idx="580">
                  <c:v>-278.90550148182513</c:v>
                </c:pt>
                <c:pt idx="581">
                  <c:v>-278.96001818960184</c:v>
                </c:pt>
                <c:pt idx="582">
                  <c:v>-279.01443491227201</c:v>
                </c:pt>
                <c:pt idx="583">
                  <c:v>-279.06875230707431</c:v>
                </c:pt>
                <c:pt idx="584">
                  <c:v>-279.12297102410616</c:v>
                </c:pt>
                <c:pt idx="585">
                  <c:v>-279.17709170641893</c:v>
                </c:pt>
                <c:pt idx="586">
                  <c:v>-279.23111499011077</c:v>
                </c:pt>
                <c:pt idx="587">
                  <c:v>-279.28504150441876</c:v>
                </c:pt>
                <c:pt idx="588">
                  <c:v>-279.33887187180892</c:v>
                </c:pt>
                <c:pt idx="589">
                  <c:v>-279.39260670806567</c:v>
                </c:pt>
                <c:pt idx="590">
                  <c:v>-279.44624662237902</c:v>
                </c:pt>
                <c:pt idx="591">
                  <c:v>-279.49979221743109</c:v>
                </c:pt>
                <c:pt idx="592">
                  <c:v>-279.55324408948081</c:v>
                </c:pt>
                <c:pt idx="593">
                  <c:v>-279.60660282844759</c:v>
                </c:pt>
                <c:pt idx="594">
                  <c:v>-279.65986901799363</c:v>
                </c:pt>
                <c:pt idx="595">
                  <c:v>-279.71304323560503</c:v>
                </c:pt>
                <c:pt idx="596">
                  <c:v>-279.76612605267127</c:v>
                </c:pt>
                <c:pt idx="597">
                  <c:v>-279.81911803456433</c:v>
                </c:pt>
                <c:pt idx="598">
                  <c:v>-279.87201974071559</c:v>
                </c:pt>
                <c:pt idx="599">
                  <c:v>-279.9248317246923</c:v>
                </c:pt>
                <c:pt idx="600">
                  <c:v>-279.97755453427237</c:v>
                </c:pt>
                <c:pt idx="601">
                  <c:v>-280.03018871151858</c:v>
                </c:pt>
                <c:pt idx="602">
                  <c:v>-280.08273479285128</c:v>
                </c:pt>
                <c:pt idx="603">
                  <c:v>-280.13519330911993</c:v>
                </c:pt>
                <c:pt idx="604">
                  <c:v>-280.187564785674</c:v>
                </c:pt>
                <c:pt idx="605">
                  <c:v>-280.23984974243228</c:v>
                </c:pt>
                <c:pt idx="606">
                  <c:v>-282.75387798354586</c:v>
                </c:pt>
                <c:pt idx="607">
                  <c:v>-285.1017356612013</c:v>
                </c:pt>
                <c:pt idx="608">
                  <c:v>-287.31567925900345</c:v>
                </c:pt>
                <c:pt idx="609">
                  <c:v>-289.41682869527358</c:v>
                </c:pt>
                <c:pt idx="610">
                  <c:v>-291.4196019306039</c:v>
                </c:pt>
                <c:pt idx="611">
                  <c:v>-293.33423748285026</c:v>
                </c:pt>
                <c:pt idx="612">
                  <c:v>-295.16829480865647</c:v>
                </c:pt>
                <c:pt idx="613">
                  <c:v>-296.92757860031082</c:v>
                </c:pt>
                <c:pt idx="614">
                  <c:v>-298.61672389344125</c:v>
                </c:pt>
                <c:pt idx="615">
                  <c:v>-300.23957413482719</c:v>
                </c:pt>
                <c:pt idx="616">
                  <c:v>-301.79942909603704</c:v>
                </c:pt>
                <c:pt idx="617">
                  <c:v>-303.29920901282185</c:v>
                </c:pt>
                <c:pt idx="618">
                  <c:v>-303.92687256191579</c:v>
                </c:pt>
                <c:pt idx="619">
                  <c:v>-304.54402817489915</c:v>
                </c:pt>
                <c:pt idx="620">
                  <c:v>-305.150912900489</c:v>
                </c:pt>
                <c:pt idx="621">
                  <c:v>-305.74775360569998</c:v>
                </c:pt>
                <c:pt idx="622">
                  <c:v>-306.33476794874531</c:v>
                </c:pt>
                <c:pt idx="623">
                  <c:v>-306.9121652284993</c:v>
                </c:pt>
                <c:pt idx="624">
                  <c:v>-307.4801471270589</c:v>
                </c:pt>
                <c:pt idx="625">
                  <c:v>-308.03890835962159</c:v>
                </c:pt>
                <c:pt idx="626">
                  <c:v>-308.58863724392916</c:v>
                </c:pt>
                <c:pt idx="627">
                  <c:v>-309.12951619984636</c:v>
                </c:pt>
                <c:pt idx="628">
                  <c:v>-309.66172218821259</c:v>
                </c:pt>
                <c:pt idx="629">
                  <c:v>-310.18542709687392</c:v>
                </c:pt>
                <c:pt idx="630">
                  <c:v>-310.70079808075263</c:v>
                </c:pt>
                <c:pt idx="631">
                  <c:v>-311.20799786190236</c:v>
                </c:pt>
                <c:pt idx="632">
                  <c:v>-311.70718499471678</c:v>
                </c:pt>
                <c:pt idx="633">
                  <c:v>-312.19851410078559</c:v>
                </c:pt>
                <c:pt idx="634">
                  <c:v>-312.68213607730684</c:v>
                </c:pt>
                <c:pt idx="635">
                  <c:v>-313.15819828246049</c:v>
                </c:pt>
                <c:pt idx="636">
                  <c:v>-313.62684470070792</c:v>
                </c:pt>
                <c:pt idx="637">
                  <c:v>-314.08821609060243</c:v>
                </c:pt>
                <c:pt idx="638">
                  <c:v>-314.54245011736305</c:v>
                </c:pt>
                <c:pt idx="639">
                  <c:v>-314.98968147217613</c:v>
                </c:pt>
                <c:pt idx="640">
                  <c:v>-315.4300419799377</c:v>
                </c:pt>
                <c:pt idx="641">
                  <c:v>-315.86366069692895</c:v>
                </c:pt>
                <c:pt idx="642">
                  <c:v>-316.29066399972783</c:v>
                </c:pt>
                <c:pt idx="643">
                  <c:v>-316.71117566648991</c:v>
                </c:pt>
                <c:pt idx="644">
                  <c:v>-317.1253169515885</c:v>
                </c:pt>
                <c:pt idx="645">
                  <c:v>-317.53320665447262</c:v>
                </c:pt>
                <c:pt idx="646">
                  <c:v>-317.93496118349367</c:v>
                </c:pt>
                <c:pt idx="647">
                  <c:v>-318.33069461535081</c:v>
                </c:pt>
                <c:pt idx="648">
                  <c:v>-318.72051875072145</c:v>
                </c:pt>
                <c:pt idx="649">
                  <c:v>-319.10454316656836</c:v>
                </c:pt>
                <c:pt idx="650">
                  <c:v>-319.48287526554833</c:v>
                </c:pt>
                <c:pt idx="651">
                  <c:v>-319.85562032289272</c:v>
                </c:pt>
                <c:pt idx="652">
                  <c:v>-320.22288153107752</c:v>
                </c:pt>
                <c:pt idx="653">
                  <c:v>-320.58476004255988</c:v>
                </c:pt>
                <c:pt idx="654">
                  <c:v>-320.94135501081712</c:v>
                </c:pt>
                <c:pt idx="655">
                  <c:v>-321.29276362989424</c:v>
                </c:pt>
                <c:pt idx="656">
                  <c:v>-321.63908117263395</c:v>
                </c:pt>
                <c:pt idx="657">
                  <c:v>-321.98040102774155</c:v>
                </c:pt>
                <c:pt idx="658">
                  <c:v>-322.31681473581091</c:v>
                </c:pt>
                <c:pt idx="659">
                  <c:v>-322.64841202442335</c:v>
                </c:pt>
                <c:pt idx="660">
                  <c:v>-322.97528084241145</c:v>
                </c:pt>
                <c:pt idx="661">
                  <c:v>-323.29750739336725</c:v>
                </c:pt>
                <c:pt idx="662">
                  <c:v>-323.61517616846095</c:v>
                </c:pt>
                <c:pt idx="663">
                  <c:v>-323.92836997862673</c:v>
                </c:pt>
                <c:pt idx="664">
                  <c:v>-324.23716998616283</c:v>
                </c:pt>
                <c:pt idx="665">
                  <c:v>-324.54165573578348</c:v>
                </c:pt>
                <c:pt idx="666">
                  <c:v>-324.84190518515743</c:v>
                </c:pt>
                <c:pt idx="667">
                  <c:v>-325.13799473495772</c:v>
                </c:pt>
              </c:numCache>
            </c:numRef>
          </c:yVal>
          <c:smooth val="0"/>
          <c:extLst>
            <c:ext xmlns:c16="http://schemas.microsoft.com/office/drawing/2014/chart" uri="{C3380CC4-5D6E-409C-BE32-E72D297353CC}">
              <c16:uniqueId val="{00000001-306B-4242-B253-B9A3B2188A5D}"/>
            </c:ext>
          </c:extLst>
        </c:ser>
        <c:dLbls>
          <c:showLegendKey val="0"/>
          <c:showVal val="0"/>
          <c:showCatName val="0"/>
          <c:showSerName val="0"/>
          <c:showPercent val="0"/>
          <c:showBubbleSize val="0"/>
        </c:dLbls>
        <c:axId val="177465600"/>
        <c:axId val="177467392"/>
      </c:scatterChart>
      <c:valAx>
        <c:axId val="177449216"/>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375680580762788"/>
              <c:y val="0.88281468722659673"/>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3680"/>
        <c:crossesAt val="-80"/>
        <c:crossBetween val="midCat"/>
      </c:valAx>
      <c:valAx>
        <c:axId val="177463680"/>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852994555354056E-2"/>
              <c:y val="0.4427094269466312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49216"/>
        <c:crosses val="autoZero"/>
        <c:crossBetween val="midCat"/>
      </c:valAx>
      <c:valAx>
        <c:axId val="177465600"/>
        <c:scaling>
          <c:logBase val="10"/>
          <c:orientation val="minMax"/>
        </c:scaling>
        <c:delete val="1"/>
        <c:axPos val="b"/>
        <c:numFmt formatCode="General" sourceLinked="1"/>
        <c:majorTickMark val="out"/>
        <c:minorTickMark val="none"/>
        <c:tickLblPos val="none"/>
        <c:crossAx val="177467392"/>
        <c:crosses val="autoZero"/>
        <c:crossBetween val="midCat"/>
      </c:valAx>
      <c:valAx>
        <c:axId val="177467392"/>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62794918330363"/>
              <c:y val="0.3671883202099790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7465600"/>
        <c:crosses val="max"/>
        <c:crossBetween val="midCat"/>
      </c:valAx>
      <c:spPr>
        <a:noFill/>
        <a:ln w="12700">
          <a:solidFill>
            <a:srgbClr val="808080"/>
          </a:solidFill>
          <a:prstDash val="solid"/>
        </a:ln>
      </c:spPr>
    </c:plotArea>
    <c:legend>
      <c:legendPos val="t"/>
      <c:layout>
        <c:manualLayout>
          <c:xMode val="edge"/>
          <c:yMode val="edge"/>
          <c:x val="0.76406533575318358"/>
          <c:y val="1.3020833333333511E-2"/>
          <c:w val="0.21597096188747997"/>
          <c:h val="0.1458336067366578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Comp to Vout</a:t>
            </a:r>
          </a:p>
        </c:rich>
      </c:tx>
      <c:layout>
        <c:manualLayout>
          <c:xMode val="edge"/>
          <c:yMode val="edge"/>
          <c:x val="0.42753699265852635"/>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Actual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Calculations'!$BM$9:$BM$676</c:f>
              <c:numCache>
                <c:formatCode>General</c:formatCode>
                <c:ptCount val="668"/>
                <c:pt idx="0">
                  <c:v>23.470880071477019</c:v>
                </c:pt>
                <c:pt idx="1">
                  <c:v>23.470881024963113</c:v>
                </c:pt>
                <c:pt idx="2">
                  <c:v>23.470882614106799</c:v>
                </c:pt>
                <c:pt idx="3">
                  <c:v>23.470884838908397</c:v>
                </c:pt>
                <c:pt idx="4">
                  <c:v>23.470887699368316</c:v>
                </c:pt>
                <c:pt idx="5">
                  <c:v>23.470891195487113</c:v>
                </c:pt>
                <c:pt idx="6">
                  <c:v>23.47089532726546</c:v>
                </c:pt>
                <c:pt idx="7">
                  <c:v>23.470900094704142</c:v>
                </c:pt>
                <c:pt idx="8">
                  <c:v>23.470905497804079</c:v>
                </c:pt>
                <c:pt idx="9">
                  <c:v>23.470911536566298</c:v>
                </c:pt>
                <c:pt idx="10">
                  <c:v>23.471006885929047</c:v>
                </c:pt>
                <c:pt idx="11">
                  <c:v>23.471165803563245</c:v>
                </c:pt>
                <c:pt idx="12">
                  <c:v>23.471388292513428</c:v>
                </c:pt>
                <c:pt idx="13">
                  <c:v>23.471674357042161</c:v>
                </c:pt>
                <c:pt idx="14">
                  <c:v>23.472024002630263</c:v>
                </c:pt>
                <c:pt idx="15">
                  <c:v>23.472437235977125</c:v>
                </c:pt>
                <c:pt idx="16">
                  <c:v>23.472914065000992</c:v>
                </c:pt>
                <c:pt idx="17">
                  <c:v>23.47345449883943</c:v>
                </c:pt>
                <c:pt idx="18">
                  <c:v>23.474058547849793</c:v>
                </c:pt>
                <c:pt idx="19">
                  <c:v>23.483601024438769</c:v>
                </c:pt>
                <c:pt idx="20">
                  <c:v>23.499525497126719</c:v>
                </c:pt>
                <c:pt idx="21">
                  <c:v>23.521862594827539</c:v>
                </c:pt>
                <c:pt idx="22">
                  <c:v>23.550655421456081</c:v>
                </c:pt>
                <c:pt idx="23">
                  <c:v>23.585959781043915</c:v>
                </c:pt>
                <c:pt idx="24">
                  <c:v>23.627844469533983</c:v>
                </c:pt>
                <c:pt idx="25">
                  <c:v>23.676391634947311</c:v>
                </c:pt>
                <c:pt idx="26">
                  <c:v>23.731697207892712</c:v>
                </c:pt>
                <c:pt idx="27">
                  <c:v>23.79387140458979</c:v>
                </c:pt>
                <c:pt idx="28">
                  <c:v>24.212708631964869</c:v>
                </c:pt>
                <c:pt idx="29">
                  <c:v>24.829240740012164</c:v>
                </c:pt>
                <c:pt idx="30">
                  <c:v>25.678169163978989</c:v>
                </c:pt>
                <c:pt idx="31">
                  <c:v>26.809888053521355</c:v>
                </c:pt>
                <c:pt idx="32">
                  <c:v>28.287757748069318</c:v>
                </c:pt>
                <c:pt idx="33">
                  <c:v>30.144580783580892</c:v>
                </c:pt>
                <c:pt idx="34">
                  <c:v>32.129226715294209</c:v>
                </c:pt>
                <c:pt idx="35">
                  <c:v>32.967948929125868</c:v>
                </c:pt>
                <c:pt idx="36">
                  <c:v>31.304415098339057</c:v>
                </c:pt>
                <c:pt idx="37">
                  <c:v>28.460841262143241</c:v>
                </c:pt>
                <c:pt idx="38">
                  <c:v>25.726778301208185</c:v>
                </c:pt>
                <c:pt idx="39">
                  <c:v>23.358181933863193</c:v>
                </c:pt>
                <c:pt idx="40">
                  <c:v>21.318846979854058</c:v>
                </c:pt>
                <c:pt idx="41">
                  <c:v>19.5398637612182</c:v>
                </c:pt>
                <c:pt idx="42">
                  <c:v>17.964315207828641</c:v>
                </c:pt>
                <c:pt idx="43">
                  <c:v>16.54994940319974</c:v>
                </c:pt>
                <c:pt idx="44">
                  <c:v>15.265750246106267</c:v>
                </c:pt>
                <c:pt idx="45">
                  <c:v>14.088657999307866</c:v>
                </c:pt>
                <c:pt idx="46">
                  <c:v>13.001201110329221</c:v>
                </c:pt>
                <c:pt idx="47">
                  <c:v>11.98988018548296</c:v>
                </c:pt>
                <c:pt idx="48">
                  <c:v>11.044070596097464</c:v>
                </c:pt>
                <c:pt idx="49">
                  <c:v>10.155268567633417</c:v>
                </c:pt>
                <c:pt idx="50">
                  <c:v>9.3165643117039423</c:v>
                </c:pt>
                <c:pt idx="51">
                  <c:v>8.5222669647284857</c:v>
                </c:pt>
                <c:pt idx="52">
                  <c:v>7.7676326961019848</c:v>
                </c:pt>
                <c:pt idx="53">
                  <c:v>7.0486641829748535</c:v>
                </c:pt>
                <c:pt idx="54">
                  <c:v>6.361960329062736</c:v>
                </c:pt>
                <c:pt idx="55">
                  <c:v>5.7046019586332877</c:v>
                </c:pt>
                <c:pt idx="56">
                  <c:v>5.0740636815422056</c:v>
                </c:pt>
                <c:pt idx="57">
                  <c:v>4.46814508134847</c:v>
                </c:pt>
                <c:pt idx="58">
                  <c:v>3.8849163681694026</c:v>
                </c:pt>
                <c:pt idx="59">
                  <c:v>3.3226749985578992</c:v>
                </c:pt>
                <c:pt idx="60">
                  <c:v>2.7799107094365705</c:v>
                </c:pt>
                <c:pt idx="61">
                  <c:v>2.2552770786461949</c:v>
                </c:pt>
                <c:pt idx="62">
                  <c:v>1.7475681999007859</c:v>
                </c:pt>
                <c:pt idx="63">
                  <c:v>1.2556994036553144</c:v>
                </c:pt>
                <c:pt idx="64">
                  <c:v>0.7786912069779004</c:v>
                </c:pt>
                <c:pt idx="65">
                  <c:v>0.3156558617500852</c:v>
                </c:pt>
                <c:pt idx="66">
                  <c:v>-0.13421399016565358</c:v>
                </c:pt>
                <c:pt idx="67">
                  <c:v>-0.57165494089720414</c:v>
                </c:pt>
                <c:pt idx="68">
                  <c:v>-0.99734102551368176</c:v>
                </c:pt>
                <c:pt idx="69">
                  <c:v>-1.4118907600506234</c:v>
                </c:pt>
                <c:pt idx="70">
                  <c:v>-1.8158732048105761</c:v>
                </c:pt>
                <c:pt idx="71">
                  <c:v>-2.2098132117019205</c:v>
                </c:pt>
                <c:pt idx="72">
                  <c:v>-2.594195984897059</c:v>
                </c:pt>
                <c:pt idx="73">
                  <c:v>-2.9694710607138708</c:v>
                </c:pt>
                <c:pt idx="74">
                  <c:v>-3.3360557939649698</c:v>
                </c:pt>
                <c:pt idx="75">
                  <c:v>-3.6943384230326819</c:v>
                </c:pt>
                <c:pt idx="76">
                  <c:v>-4.0446807738197696</c:v>
                </c:pt>
                <c:pt idx="77">
                  <c:v>-4.3874206528882809</c:v>
                </c:pt>
                <c:pt idx="78">
                  <c:v>-4.7228739720635495</c:v>
                </c:pt>
                <c:pt idx="79">
                  <c:v>-5.0513366401832274</c:v>
                </c:pt>
                <c:pt idx="80">
                  <c:v>-5.3730862522289735</c:v>
                </c:pt>
                <c:pt idx="81">
                  <c:v>-5.6883836015677307</c:v>
                </c:pt>
                <c:pt idx="82">
                  <c:v>-5.9974740372747695</c:v>
                </c:pt>
                <c:pt idx="83">
                  <c:v>-6.3005886853715678</c:v>
                </c:pt>
                <c:pt idx="84">
                  <c:v>-6.5979455501770978</c:v>
                </c:pt>
                <c:pt idx="85">
                  <c:v>-6.8897505097509715</c:v>
                </c:pt>
                <c:pt idx="86">
                  <c:v>-7.1761982175294534</c:v>
                </c:pt>
                <c:pt idx="87">
                  <c:v>-7.4574729206619761</c:v>
                </c:pt>
                <c:pt idx="88">
                  <c:v>-7.7337492041986717</c:v>
                </c:pt>
                <c:pt idx="89">
                  <c:v>-8.0051926691201363</c:v>
                </c:pt>
                <c:pt idx="90">
                  <c:v>-8.27196055120673</c:v>
                </c:pt>
                <c:pt idx="91">
                  <c:v>-8.5342022868906078</c:v>
                </c:pt>
                <c:pt idx="92">
                  <c:v>-8.7920600314969519</c:v>
                </c:pt>
                <c:pt idx="93">
                  <c:v>-9.0456691346441236</c:v>
                </c:pt>
                <c:pt idx="94">
                  <c:v>-9.2951585770203433</c:v>
                </c:pt>
                <c:pt idx="95">
                  <c:v>-9.5406513722745316</c:v>
                </c:pt>
                <c:pt idx="96">
                  <c:v>-9.7822649373409547</c:v>
                </c:pt>
                <c:pt idx="97">
                  <c:v>-10.020111434151868</c:v>
                </c:pt>
                <c:pt idx="98">
                  <c:v>-10.254298085372643</c:v>
                </c:pt>
                <c:pt idx="99">
                  <c:v>-10.484927466513259</c:v>
                </c:pt>
                <c:pt idx="100">
                  <c:v>-10.712097776523112</c:v>
                </c:pt>
                <c:pt idx="101">
                  <c:v>-10.935903088758748</c:v>
                </c:pt>
                <c:pt idx="102">
                  <c:v>-11.156433584021839</c:v>
                </c:pt>
                <c:pt idx="103">
                  <c:v>-11.373775767194989</c:v>
                </c:pt>
                <c:pt idx="104">
                  <c:v>-11.588012668852048</c:v>
                </c:pt>
                <c:pt idx="105">
                  <c:v>-11.799224033085894</c:v>
                </c:pt>
                <c:pt idx="106">
                  <c:v>-12.007486492677472</c:v>
                </c:pt>
                <c:pt idx="107">
                  <c:v>-12.21287373262383</c:v>
                </c:pt>
                <c:pt idx="108">
                  <c:v>-12.415456642947902</c:v>
                </c:pt>
                <c:pt idx="109">
                  <c:v>-12.615303461628214</c:v>
                </c:pt>
                <c:pt idx="110">
                  <c:v>-12.812479908410586</c:v>
                </c:pt>
                <c:pt idx="111">
                  <c:v>-13.007049310195878</c:v>
                </c:pt>
                <c:pt idx="112">
                  <c:v>-13.199072718636495</c:v>
                </c:pt>
                <c:pt idx="113">
                  <c:v>-13.388609020519311</c:v>
                </c:pt>
                <c:pt idx="114">
                  <c:v>-13.575715041463077</c:v>
                </c:pt>
                <c:pt idx="115">
                  <c:v>-13.760445643413437</c:v>
                </c:pt>
                <c:pt idx="116">
                  <c:v>-13.942853816378298</c:v>
                </c:pt>
                <c:pt idx="117">
                  <c:v>-14.1229907648096</c:v>
                </c:pt>
                <c:pt idx="118">
                  <c:v>-14.300905989004335</c:v>
                </c:pt>
                <c:pt idx="119">
                  <c:v>-14.476647361867583</c:v>
                </c:pt>
                <c:pt idx="120">
                  <c:v>-14.65026120135294</c:v>
                </c:pt>
                <c:pt idx="121">
                  <c:v>-14.821792338870859</c:v>
                </c:pt>
                <c:pt idx="122">
                  <c:v>-14.991284183932752</c:v>
                </c:pt>
                <c:pt idx="123">
                  <c:v>-15.158778785278122</c:v>
                </c:pt>
                <c:pt idx="124">
                  <c:v>-15.324316888713099</c:v>
                </c:pt>
                <c:pt idx="125">
                  <c:v>-15.487937991871537</c:v>
                </c:pt>
                <c:pt idx="126">
                  <c:v>-15.649680396094203</c:v>
                </c:pt>
                <c:pt idx="127">
                  <c:v>-15.809581255607043</c:v>
                </c:pt>
                <c:pt idx="128">
                  <c:v>-15.967676624166421</c:v>
                </c:pt>
                <c:pt idx="129">
                  <c:v>-16.124001499327122</c:v>
                </c:pt>
                <c:pt idx="130">
                  <c:v>-16.278589864477716</c:v>
                </c:pt>
                <c:pt idx="131">
                  <c:v>-16.431474728777744</c:v>
                </c:pt>
                <c:pt idx="132">
                  <c:v>-16.582688165121798</c:v>
                </c:pt>
                <c:pt idx="133">
                  <c:v>-16.732261346246894</c:v>
                </c:pt>
                <c:pt idx="134">
                  <c:v>-16.880224579091557</c:v>
                </c:pt>
                <c:pt idx="135">
                  <c:v>-17.026607337507727</c:v>
                </c:pt>
                <c:pt idx="136">
                  <c:v>-17.171438293419811</c:v>
                </c:pt>
                <c:pt idx="137">
                  <c:v>-17.314745346518908</c:v>
                </c:pt>
                <c:pt idx="138">
                  <c:v>-17.456555652574519</c:v>
                </c:pt>
                <c:pt idx="139">
                  <c:v>-17.596895650440558</c:v>
                </c:pt>
                <c:pt idx="140">
                  <c:v>-17.735791087827664</c:v>
                </c:pt>
                <c:pt idx="141">
                  <c:v>-17.873267045909213</c:v>
                </c:pt>
                <c:pt idx="142">
                  <c:v>-18.009347962823941</c:v>
                </c:pt>
                <c:pt idx="143">
                  <c:v>-18.144057656134521</c:v>
                </c:pt>
                <c:pt idx="144">
                  <c:v>-18.27741934429736</c:v>
                </c:pt>
                <c:pt idx="145">
                  <c:v>-18.409455667195751</c:v>
                </c:pt>
                <c:pt idx="146">
                  <c:v>-18.540188705785233</c:v>
                </c:pt>
                <c:pt idx="147">
                  <c:v>-18.669640000897033</c:v>
                </c:pt>
                <c:pt idx="148">
                  <c:v>-18.797830571242748</c:v>
                </c:pt>
                <c:pt idx="149">
                  <c:v>-18.924780930660912</c:v>
                </c:pt>
                <c:pt idx="150">
                  <c:v>-19.05051110464354</c:v>
                </c:pt>
                <c:pt idx="151">
                  <c:v>-19.175040646178751</c:v>
                </c:pt>
                <c:pt idx="152">
                  <c:v>-19.298388650943185</c:v>
                </c:pt>
                <c:pt idx="153">
                  <c:v>-19.420573771876338</c:v>
                </c:pt>
                <c:pt idx="154">
                  <c:v>-19.541614233166797</c:v>
                </c:pt>
                <c:pt idx="155">
                  <c:v>-19.661527843678822</c:v>
                </c:pt>
                <c:pt idx="156">
                  <c:v>-19.780332009846166</c:v>
                </c:pt>
                <c:pt idx="157">
                  <c:v>-19.898043748058377</c:v>
                </c:pt>
                <c:pt idx="158">
                  <c:v>-20.014679696563572</c:v>
                </c:pt>
                <c:pt idx="159">
                  <c:v>-20.130256126910297</c:v>
                </c:pt>
                <c:pt idx="160">
                  <c:v>-20.244788954949925</c:v>
                </c:pt>
                <c:pt idx="161">
                  <c:v>-20.358293751419716</c:v>
                </c:pt>
                <c:pt idx="162">
                  <c:v>-20.470785752125874</c:v>
                </c:pt>
                <c:pt idx="163">
                  <c:v>-20.58227986774461</c:v>
                </c:pt>
                <c:pt idx="164">
                  <c:v>-20.692790693258502</c:v>
                </c:pt>
                <c:pt idx="165">
                  <c:v>-20.802332517044398</c:v>
                </c:pt>
                <c:pt idx="166">
                  <c:v>-20.910919329628356</c:v>
                </c:pt>
                <c:pt idx="167">
                  <c:v>-21.018564832122241</c:v>
                </c:pt>
                <c:pt idx="168">
                  <c:v>-21.125282444355946</c:v>
                </c:pt>
                <c:pt idx="169">
                  <c:v>-21.231085312718363</c:v>
                </c:pt>
                <c:pt idx="170">
                  <c:v>-21.335986317719794</c:v>
                </c:pt>
                <c:pt idx="171">
                  <c:v>-21.43999808128747</c:v>
                </c:pt>
                <c:pt idx="172">
                  <c:v>-21.543132973805818</c:v>
                </c:pt>
                <c:pt idx="173">
                  <c:v>-21.645403120911986</c:v>
                </c:pt>
                <c:pt idx="174">
                  <c:v>-21.746820410056987</c:v>
                </c:pt>
                <c:pt idx="175">
                  <c:v>-21.847396496842158</c:v>
                </c:pt>
                <c:pt idx="176">
                  <c:v>-21.947142811140317</c:v>
                </c:pt>
                <c:pt idx="177">
                  <c:v>-22.04607056301025</c:v>
                </c:pt>
                <c:pt idx="178">
                  <c:v>-22.144190748413163</c:v>
                </c:pt>
                <c:pt idx="179">
                  <c:v>-22.241514154738901</c:v>
                </c:pt>
                <c:pt idx="180">
                  <c:v>-22.33805136614976</c:v>
                </c:pt>
                <c:pt idx="181">
                  <c:v>-22.43381276874905</c:v>
                </c:pt>
                <c:pt idx="182">
                  <c:v>-22.52880855558136</c:v>
                </c:pt>
                <c:pt idx="183">
                  <c:v>-22.623048731471243</c:v>
                </c:pt>
                <c:pt idx="184">
                  <c:v>-22.716543117706504</c:v>
                </c:pt>
                <c:pt idx="185">
                  <c:v>-22.809301356572263</c:v>
                </c:pt>
                <c:pt idx="186">
                  <c:v>-22.901332915741456</c:v>
                </c:pt>
                <c:pt idx="187">
                  <c:v>-22.992647092527317</c:v>
                </c:pt>
                <c:pt idx="188">
                  <c:v>-23.083253018003106</c:v>
                </c:pt>
                <c:pt idx="189">
                  <c:v>-23.173159660994088</c:v>
                </c:pt>
                <c:pt idx="190">
                  <c:v>-23.262375831946578</c:v>
                </c:pt>
                <c:pt idx="191">
                  <c:v>-23.350910186678661</c:v>
                </c:pt>
                <c:pt idx="192">
                  <c:v>-23.438771230016968</c:v>
                </c:pt>
                <c:pt idx="193">
                  <c:v>-23.525967319323648</c:v>
                </c:pt>
                <c:pt idx="194">
                  <c:v>-23.612506667917742</c:v>
                </c:pt>
                <c:pt idx="195">
                  <c:v>-23.698397348394611</c:v>
                </c:pt>
                <c:pt idx="196">
                  <c:v>-23.783647295847178</c:v>
                </c:pt>
                <c:pt idx="197">
                  <c:v>-23.8682643109926</c:v>
                </c:pt>
                <c:pt idx="198">
                  <c:v>-23.952256063207642</c:v>
                </c:pt>
                <c:pt idx="199">
                  <c:v>-24.035630093476033</c:v>
                </c:pt>
                <c:pt idx="200">
                  <c:v>-24.118393817250947</c:v>
                </c:pt>
                <c:pt idx="201">
                  <c:v>-24.200554527235564</c:v>
                </c:pt>
                <c:pt idx="202">
                  <c:v>-24.282119396084553</c:v>
                </c:pt>
                <c:pt idx="203">
                  <c:v>-24.363095479029262</c:v>
                </c:pt>
                <c:pt idx="204">
                  <c:v>-24.443489716429209</c:v>
                </c:pt>
                <c:pt idx="205">
                  <c:v>-24.523308936252434</c:v>
                </c:pt>
                <c:pt idx="206">
                  <c:v>-24.602559856487112</c:v>
                </c:pt>
                <c:pt idx="207">
                  <c:v>-24.681249087486748</c:v>
                </c:pt>
                <c:pt idx="208">
                  <c:v>-24.759383134251237</c:v>
                </c:pt>
                <c:pt idx="209">
                  <c:v>-24.83696839864589</c:v>
                </c:pt>
                <c:pt idx="210">
                  <c:v>-24.9140111815605</c:v>
                </c:pt>
                <c:pt idx="211">
                  <c:v>-24.990517685010442</c:v>
                </c:pt>
                <c:pt idx="212">
                  <c:v>-25.066494014181743</c:v>
                </c:pt>
                <c:pt idx="213">
                  <c:v>-25.141946179421847</c:v>
                </c:pt>
                <c:pt idx="214">
                  <c:v>-25.216880098178027</c:v>
                </c:pt>
                <c:pt idx="215">
                  <c:v>-25.291301596884889</c:v>
                </c:pt>
                <c:pt idx="216">
                  <c:v>-25.365216412802887</c:v>
                </c:pt>
                <c:pt idx="217">
                  <c:v>-25.43863019580915</c:v>
                </c:pt>
                <c:pt idx="218">
                  <c:v>-25.511548510142319</c:v>
                </c:pt>
                <c:pt idx="219">
                  <c:v>-25.583976836102771</c:v>
                </c:pt>
                <c:pt idx="220">
                  <c:v>-25.655920571709629</c:v>
                </c:pt>
                <c:pt idx="221">
                  <c:v>-25.727385034315947</c:v>
                </c:pt>
                <c:pt idx="222">
                  <c:v>-25.798375462183319</c:v>
                </c:pt>
                <c:pt idx="223">
                  <c:v>-25.868897016017218</c:v>
                </c:pt>
                <c:pt idx="224">
                  <c:v>-25.938954780464222</c:v>
                </c:pt>
                <c:pt idx="225">
                  <c:v>-26.008553765572323</c:v>
                </c:pt>
                <c:pt idx="226">
                  <c:v>-26.680362376636793</c:v>
                </c:pt>
                <c:pt idx="227">
                  <c:v>-27.31130091903055</c:v>
                </c:pt>
                <c:pt idx="228">
                  <c:v>-27.905342876614483</c:v>
                </c:pt>
                <c:pt idx="229">
                  <c:v>-28.465959486842213</c:v>
                </c:pt>
                <c:pt idx="230">
                  <c:v>-28.996198135578922</c:v>
                </c:pt>
                <c:pt idx="231">
                  <c:v>-29.498745932967189</c:v>
                </c:pt>
                <c:pt idx="232">
                  <c:v>-29.975981792361939</c:v>
                </c:pt>
                <c:pt idx="233">
                  <c:v>-30.430019476899233</c:v>
                </c:pt>
                <c:pt idx="234">
                  <c:v>-30.86274346779846</c:v>
                </c:pt>
                <c:pt idx="235">
                  <c:v>-31.275839067600447</c:v>
                </c:pt>
                <c:pt idx="236">
                  <c:v>-31.670817828760921</c:v>
                </c:pt>
                <c:pt idx="237">
                  <c:v>-32.049039158639133</c:v>
                </c:pt>
                <c:pt idx="238">
                  <c:v>-32.411728772201485</c:v>
                </c:pt>
                <c:pt idx="239">
                  <c:v>-32.759994527244373</c:v>
                </c:pt>
                <c:pt idx="240">
                  <c:v>-33.094840072087443</c:v>
                </c:pt>
                <c:pt idx="241">
                  <c:v>-33.417176654303098</c:v>
                </c:pt>
                <c:pt idx="242">
                  <c:v>-33.727833375251748</c:v>
                </c:pt>
                <c:pt idx="243">
                  <c:v>-34.027566124715626</c:v>
                </c:pt>
                <c:pt idx="244">
                  <c:v>-34.317065389640099</c:v>
                </c:pt>
                <c:pt idx="245">
                  <c:v>-34.596963098580673</c:v>
                </c:pt>
                <c:pt idx="246">
                  <c:v>-34.867838637182565</c:v>
                </c:pt>
                <c:pt idx="247">
                  <c:v>-35.130224148577724</c:v>
                </c:pt>
                <c:pt idx="248">
                  <c:v>-35.38460921497159</c:v>
                </c:pt>
                <c:pt idx="249">
                  <c:v>-35.631445002140161</c:v>
                </c:pt>
                <c:pt idx="250">
                  <c:v>-35.871147936470749</c:v>
                </c:pt>
                <c:pt idx="251">
                  <c:v>-36.104102974088896</c:v>
                </c:pt>
                <c:pt idx="252">
                  <c:v>-36.33066651315238</c:v>
                </c:pt>
                <c:pt idx="253">
                  <c:v>-36.551168993267297</c:v>
                </c:pt>
                <c:pt idx="254">
                  <c:v>-36.765917219956954</c:v>
                </c:pt>
                <c:pt idx="255">
                  <c:v>-36.975196447003327</c:v>
                </c:pt>
                <c:pt idx="256">
                  <c:v>-37.179272245129972</c:v>
                </c:pt>
                <c:pt idx="257">
                  <c:v>-37.378392181780029</c:v>
                </c:pt>
                <c:pt idx="258">
                  <c:v>-37.572787333561109</c:v>
                </c:pt>
                <c:pt idx="259">
                  <c:v>-37.76267365019698</c:v>
                </c:pt>
                <c:pt idx="260">
                  <c:v>-37.948253186473131</c:v>
                </c:pt>
                <c:pt idx="261">
                  <c:v>-38.129715216633876</c:v>
                </c:pt>
                <c:pt idx="262">
                  <c:v>-38.307237243932036</c:v>
                </c:pt>
                <c:pt idx="263">
                  <c:v>-38.480985916510349</c:v>
                </c:pt>
                <c:pt idx="264">
                  <c:v>-38.651117859470958</c:v>
                </c:pt>
                <c:pt idx="265">
                  <c:v>-38.817780431838472</c:v>
                </c:pt>
                <c:pt idx="266">
                  <c:v>-38.981112416117966</c:v>
                </c:pt>
                <c:pt idx="267">
                  <c:v>-39.141244647272039</c:v>
                </c:pt>
                <c:pt idx="268">
                  <c:v>-39.298300587173507</c:v>
                </c:pt>
                <c:pt idx="269">
                  <c:v>-39.452396849916795</c:v>
                </c:pt>
                <c:pt idx="270">
                  <c:v>-39.603643682780046</c:v>
                </c:pt>
                <c:pt idx="271">
                  <c:v>-39.752145407109687</c:v>
                </c:pt>
                <c:pt idx="272">
                  <c:v>-39.898000822941036</c:v>
                </c:pt>
                <c:pt idx="273">
                  <c:v>-40.041303580764058</c:v>
                </c:pt>
                <c:pt idx="274">
                  <c:v>-40.182142523486</c:v>
                </c:pt>
                <c:pt idx="275">
                  <c:v>-40.320602001326449</c:v>
                </c:pt>
                <c:pt idx="276">
                  <c:v>-40.456762162099835</c:v>
                </c:pt>
                <c:pt idx="277">
                  <c:v>-40.590699219091839</c:v>
                </c:pt>
                <c:pt idx="278">
                  <c:v>-40.722485698514809</c:v>
                </c:pt>
                <c:pt idx="279">
                  <c:v>-40.852190668330799</c:v>
                </c:pt>
                <c:pt idx="280">
                  <c:v>-40.979879950055249</c:v>
                </c:pt>
                <c:pt idx="281">
                  <c:v>-41.105616314998031</c:v>
                </c:pt>
                <c:pt idx="282">
                  <c:v>-41.22945966625884</c:v>
                </c:pt>
                <c:pt idx="283">
                  <c:v>-41.351467207668911</c:v>
                </c:pt>
                <c:pt idx="284">
                  <c:v>-41.471693600759068</c:v>
                </c:pt>
                <c:pt idx="285">
                  <c:v>-41.590191110733784</c:v>
                </c:pt>
                <c:pt idx="286">
                  <c:v>-41.707009742341015</c:v>
                </c:pt>
                <c:pt idx="287">
                  <c:v>-41.822197366446197</c:v>
                </c:pt>
                <c:pt idx="288">
                  <c:v>-41.935799838046691</c:v>
                </c:pt>
                <c:pt idx="289">
                  <c:v>-42.047861106396567</c:v>
                </c:pt>
                <c:pt idx="290">
                  <c:v>-42.158423317853149</c:v>
                </c:pt>
                <c:pt idx="291">
                  <c:v>-42.267526912003092</c:v>
                </c:pt>
                <c:pt idx="292">
                  <c:v>-42.375210711577466</c:v>
                </c:pt>
                <c:pt idx="293">
                  <c:v>-42.481512006622012</c:v>
                </c:pt>
                <c:pt idx="294">
                  <c:v>-42.586466633349012</c:v>
                </c:pt>
                <c:pt idx="295">
                  <c:v>-42.690109048061444</c:v>
                </c:pt>
                <c:pt idx="296">
                  <c:v>-42.792472396507932</c:v>
                </c:pt>
                <c:pt idx="297">
                  <c:v>-42.893588578997097</c:v>
                </c:pt>
                <c:pt idx="298">
                  <c:v>-42.993488311573536</c:v>
                </c:pt>
                <c:pt idx="299">
                  <c:v>-43.092201183533078</c:v>
                </c:pt>
                <c:pt idx="300">
                  <c:v>-43.189755711532726</c:v>
                </c:pt>
                <c:pt idx="301">
                  <c:v>-43.286179390530876</c:v>
                </c:pt>
                <c:pt idx="302">
                  <c:v>-43.38149874177433</c:v>
                </c:pt>
                <c:pt idx="303">
                  <c:v>-43.475739358032442</c:v>
                </c:pt>
                <c:pt idx="304">
                  <c:v>-43.568925946262866</c:v>
                </c:pt>
                <c:pt idx="305">
                  <c:v>-43.661082367879544</c:v>
                </c:pt>
                <c:pt idx="306">
                  <c:v>-43.752231676780752</c:v>
                </c:pt>
                <c:pt idx="307">
                  <c:v>-43.842396155283012</c:v>
                </c:pt>
                <c:pt idx="308">
                  <c:v>-43.931597348096005</c:v>
                </c:pt>
                <c:pt idx="309">
                  <c:v>-44.019856094463734</c:v>
                </c:pt>
                <c:pt idx="310">
                  <c:v>-44.107192558587997</c:v>
                </c:pt>
                <c:pt idx="311">
                  <c:v>-44.193626258441881</c:v>
                </c:pt>
                <c:pt idx="312">
                  <c:v>-44.279176093073367</c:v>
                </c:pt>
                <c:pt idx="313">
                  <c:v>-44.363860368491849</c:v>
                </c:pt>
                <c:pt idx="314">
                  <c:v>-44.447696822224174</c:v>
                </c:pt>
                <c:pt idx="315">
                  <c:v>-44.530702646620441</c:v>
                </c:pt>
                <c:pt idx="316">
                  <c:v>-44.612894510984574</c:v>
                </c:pt>
                <c:pt idx="317">
                  <c:v>-44.694288582599235</c:v>
                </c:pt>
                <c:pt idx="318">
                  <c:v>-44.774900546710299</c:v>
                </c:pt>
                <c:pt idx="319">
                  <c:v>-44.854745625531372</c:v>
                </c:pt>
                <c:pt idx="320">
                  <c:v>-44.93383859632506</c:v>
                </c:pt>
                <c:pt idx="321">
                  <c:v>-45.012193808613851</c:v>
                </c:pt>
                <c:pt idx="322">
                  <c:v>-45.089825200569898</c:v>
                </c:pt>
                <c:pt idx="323">
                  <c:v>-45.166746314630188</c:v>
                </c:pt>
                <c:pt idx="324">
                  <c:v>-45.242970312379889</c:v>
                </c:pt>
                <c:pt idx="325">
                  <c:v>-45.318509988744822</c:v>
                </c:pt>
                <c:pt idx="326">
                  <c:v>-45.393377785530518</c:v>
                </c:pt>
                <c:pt idx="327">
                  <c:v>-45.467585804343742</c:v>
                </c:pt>
                <c:pt idx="328">
                  <c:v>-45.541145818929472</c:v>
                </c:pt>
                <c:pt idx="329">
                  <c:v>-45.614069286954866</c:v>
                </c:pt>
                <c:pt idx="330">
                  <c:v>-45.686367361269298</c:v>
                </c:pt>
                <c:pt idx="331">
                  <c:v>-45.758050900668209</c:v>
                </c:pt>
                <c:pt idx="332">
                  <c:v>-45.8291304801865</c:v>
                </c:pt>
                <c:pt idx="333">
                  <c:v>-45.899616400945924</c:v>
                </c:pt>
                <c:pt idx="334">
                  <c:v>-45.969518699579254</c:v>
                </c:pt>
                <c:pt idx="335">
                  <c:v>-46.038847157252874</c:v>
                </c:pt>
                <c:pt idx="336">
                  <c:v>-46.107611308308023</c:v>
                </c:pt>
                <c:pt idx="337">
                  <c:v>-46.175820448539696</c:v>
                </c:pt>
                <c:pt idx="338">
                  <c:v>-46.243483643131441</c:v>
                </c:pt>
                <c:pt idx="339">
                  <c:v>-46.310609734262783</c:v>
                </c:pt>
                <c:pt idx="340">
                  <c:v>-46.377207348405413</c:v>
                </c:pt>
                <c:pt idx="341">
                  <c:v>-46.443284903323267</c:v>
                </c:pt>
                <c:pt idx="342">
                  <c:v>-46.508850614790653</c:v>
                </c:pt>
                <c:pt idx="343">
                  <c:v>-46.573912503042045</c:v>
                </c:pt>
                <c:pt idx="344">
                  <c:v>-46.638478398966107</c:v>
                </c:pt>
                <c:pt idx="345">
                  <c:v>-46.702555950056173</c:v>
                </c:pt>
                <c:pt idx="346">
                  <c:v>-46.76615262612841</c:v>
                </c:pt>
                <c:pt idx="347">
                  <c:v>-46.829275724818515</c:v>
                </c:pt>
                <c:pt idx="348">
                  <c:v>-46.891932376867146</c:v>
                </c:pt>
                <c:pt idx="349">
                  <c:v>-46.954129551203643</c:v>
                </c:pt>
                <c:pt idx="350">
                  <c:v>-47.015874059837415</c:v>
                </c:pt>
                <c:pt idx="351">
                  <c:v>-47.077172562565323</c:v>
                </c:pt>
                <c:pt idx="352">
                  <c:v>-47.138031571503589</c:v>
                </c:pt>
                <c:pt idx="353">
                  <c:v>-47.198457455451852</c:v>
                </c:pt>
                <c:pt idx="354">
                  <c:v>-47.258456444096801</c:v>
                </c:pt>
                <c:pt idx="355">
                  <c:v>-47.318034632062471</c:v>
                </c:pt>
                <c:pt idx="356">
                  <c:v>-47.377197982813691</c:v>
                </c:pt>
                <c:pt idx="357">
                  <c:v>-47.435952332419262</c:v>
                </c:pt>
                <c:pt idx="358">
                  <c:v>-47.494303393180672</c:v>
                </c:pt>
                <c:pt idx="359">
                  <c:v>-47.552256757132099</c:v>
                </c:pt>
                <c:pt idx="360">
                  <c:v>-47.609817899417308</c:v>
                </c:pt>
                <c:pt idx="361">
                  <c:v>-47.666992181548352</c:v>
                </c:pt>
                <c:pt idx="362">
                  <c:v>-47.723784854551198</c:v>
                </c:pt>
                <c:pt idx="363">
                  <c:v>-47.780201062002845</c:v>
                </c:pt>
                <c:pt idx="364">
                  <c:v>-47.836245842964509</c:v>
                </c:pt>
                <c:pt idx="365">
                  <c:v>-47.891924134814943</c:v>
                </c:pt>
                <c:pt idx="366">
                  <c:v>-47.947240775988135</c:v>
                </c:pt>
                <c:pt idx="367">
                  <c:v>-48.002200508619104</c:v>
                </c:pt>
                <c:pt idx="368">
                  <c:v>-48.056807981101556</c:v>
                </c:pt>
                <c:pt idx="369">
                  <c:v>-48.111067750560778</c:v>
                </c:pt>
                <c:pt idx="370">
                  <c:v>-48.164984285245318</c:v>
                </c:pt>
                <c:pt idx="371">
                  <c:v>-48.21856196684044</c:v>
                </c:pt>
                <c:pt idx="372">
                  <c:v>-48.271805092706536</c:v>
                </c:pt>
                <c:pt idx="373">
                  <c:v>-48.324717878045305</c:v>
                </c:pt>
                <c:pt idx="374">
                  <c:v>-48.377304457996644</c:v>
                </c:pt>
                <c:pt idx="375">
                  <c:v>-48.429568889668616</c:v>
                </c:pt>
                <c:pt idx="376">
                  <c:v>-48.481515154103377</c:v>
                </c:pt>
                <c:pt idx="377">
                  <c:v>-48.533147158181194</c:v>
                </c:pt>
                <c:pt idx="378">
                  <c:v>-48.584468736465098</c:v>
                </c:pt>
                <c:pt idx="379">
                  <c:v>-48.635483652988192</c:v>
                </c:pt>
                <c:pt idx="380">
                  <c:v>-48.686195602985919</c:v>
                </c:pt>
                <c:pt idx="381">
                  <c:v>-48.736608214575206</c:v>
                </c:pt>
                <c:pt idx="382">
                  <c:v>-48.786725050382394</c:v>
                </c:pt>
                <c:pt idx="383">
                  <c:v>-48.836549609122024</c:v>
                </c:pt>
                <c:pt idx="384">
                  <c:v>-48.886085327127972</c:v>
                </c:pt>
                <c:pt idx="385">
                  <c:v>-48.935335579838906</c:v>
                </c:pt>
                <c:pt idx="386">
                  <c:v>-48.984303683239496</c:v>
                </c:pt>
                <c:pt idx="387">
                  <c:v>-49.032992895259085</c:v>
                </c:pt>
                <c:pt idx="388">
                  <c:v>-49.081406417129294</c:v>
                </c:pt>
                <c:pt idx="389">
                  <c:v>-49.129547394701902</c:v>
                </c:pt>
                <c:pt idx="390">
                  <c:v>-49.177418919728566</c:v>
                </c:pt>
                <c:pt idx="391">
                  <c:v>-49.225024031103587</c:v>
                </c:pt>
                <c:pt idx="392">
                  <c:v>-49.272365716070979</c:v>
                </c:pt>
                <c:pt idx="393">
                  <c:v>-49.319446911397151</c:v>
                </c:pt>
                <c:pt idx="394">
                  <c:v>-49.366270504510297</c:v>
                </c:pt>
                <c:pt idx="395">
                  <c:v>-49.412839334607725</c:v>
                </c:pt>
                <c:pt idx="396">
                  <c:v>-49.459156193732071</c:v>
                </c:pt>
                <c:pt idx="397">
                  <c:v>-49.505223827817552</c:v>
                </c:pt>
                <c:pt idx="398">
                  <c:v>-49.551044937707204</c:v>
                </c:pt>
                <c:pt idx="399">
                  <c:v>-49.596622180142106</c:v>
                </c:pt>
                <c:pt idx="400">
                  <c:v>-49.641958168723413</c:v>
                </c:pt>
                <c:pt idx="401">
                  <c:v>-49.687055474848279</c:v>
                </c:pt>
                <c:pt idx="402">
                  <c:v>-49.73191662862034</c:v>
                </c:pt>
                <c:pt idx="403">
                  <c:v>-49.776544119735611</c:v>
                </c:pt>
                <c:pt idx="404">
                  <c:v>-49.820940398344781</c:v>
                </c:pt>
                <c:pt idx="405">
                  <c:v>-49.865107875892321</c:v>
                </c:pt>
                <c:pt idx="406">
                  <c:v>-49.909048925933497</c:v>
                </c:pt>
                <c:pt idx="407">
                  <c:v>-49.95276588492974</c:v>
                </c:pt>
                <c:pt idx="408">
                  <c:v>-49.996261053023183</c:v>
                </c:pt>
                <c:pt idx="409">
                  <c:v>-50.039536694790982</c:v>
                </c:pt>
                <c:pt idx="410">
                  <c:v>-50.082595039980035</c:v>
                </c:pt>
                <c:pt idx="411">
                  <c:v>-50.125438284222753</c:v>
                </c:pt>
                <c:pt idx="412">
                  <c:v>-50.168068589734446</c:v>
                </c:pt>
                <c:pt idx="413">
                  <c:v>-50.21048808599285</c:v>
                </c:pt>
                <c:pt idx="414">
                  <c:v>-50.252698870400408</c:v>
                </c:pt>
                <c:pt idx="415">
                  <c:v>-50.294703008929858</c:v>
                </c:pt>
                <c:pt idx="416">
                  <c:v>-50.336502536753429</c:v>
                </c:pt>
                <c:pt idx="417">
                  <c:v>-50.37809945885644</c:v>
                </c:pt>
                <c:pt idx="418">
                  <c:v>-50.419495750635541</c:v>
                </c:pt>
                <c:pt idx="419">
                  <c:v>-50.460693358482132</c:v>
                </c:pt>
                <c:pt idx="420">
                  <c:v>-50.501694200351452</c:v>
                </c:pt>
                <c:pt idx="421">
                  <c:v>-50.542500166317609</c:v>
                </c:pt>
                <c:pt idx="422">
                  <c:v>-50.583113119115161</c:v>
                </c:pt>
                <c:pt idx="423">
                  <c:v>-50.623534894667522</c:v>
                </c:pt>
                <c:pt idx="424">
                  <c:v>-50.66376730260253</c:v>
                </c:pt>
                <c:pt idx="425">
                  <c:v>-50.703812126755722</c:v>
                </c:pt>
                <c:pt idx="426">
                  <c:v>-50.743671125661471</c:v>
                </c:pt>
                <c:pt idx="427">
                  <c:v>-50.78334603303248</c:v>
                </c:pt>
                <c:pt idx="428">
                  <c:v>-50.822838558227936</c:v>
                </c:pt>
                <c:pt idx="429">
                  <c:v>-50.86215038671051</c:v>
                </c:pt>
                <c:pt idx="430">
                  <c:v>-50.901283180492811</c:v>
                </c:pt>
                <c:pt idx="431">
                  <c:v>-50.940238578573215</c:v>
                </c:pt>
                <c:pt idx="432">
                  <c:v>-50.979018197361697</c:v>
                </c:pt>
                <c:pt idx="433">
                  <c:v>-51.017623631095788</c:v>
                </c:pt>
                <c:pt idx="434">
                  <c:v>-51.056056452246906</c:v>
                </c:pt>
                <c:pt idx="435">
                  <c:v>-51.094318211917397</c:v>
                </c:pt>
                <c:pt idx="436">
                  <c:v>-51.132410440228554</c:v>
                </c:pt>
                <c:pt idx="437">
                  <c:v>-51.170334646699757</c:v>
                </c:pt>
                <c:pt idx="438">
                  <c:v>-51.208092320619095</c:v>
                </c:pt>
                <c:pt idx="439">
                  <c:v>-51.245684931405663</c:v>
                </c:pt>
                <c:pt idx="440">
                  <c:v>-51.283113928963658</c:v>
                </c:pt>
                <c:pt idx="441">
                  <c:v>-51.320380744028697</c:v>
                </c:pt>
                <c:pt idx="442">
                  <c:v>-51.357486788506314</c:v>
                </c:pt>
                <c:pt idx="443">
                  <c:v>-51.394433455803153</c:v>
                </c:pt>
                <c:pt idx="444">
                  <c:v>-51.431222121150711</c:v>
                </c:pt>
                <c:pt idx="445">
                  <c:v>-51.467854141922096</c:v>
                </c:pt>
                <c:pt idx="446">
                  <c:v>-51.504330857941824</c:v>
                </c:pt>
                <c:pt idx="447">
                  <c:v>-51.540653591788903</c:v>
                </c:pt>
                <c:pt idx="448">
                  <c:v>-51.576823649093441</c:v>
                </c:pt>
                <c:pt idx="449">
                  <c:v>-51.612842318826743</c:v>
                </c:pt>
                <c:pt idx="450">
                  <c:v>-51.648710873585337</c:v>
                </c:pt>
                <c:pt idx="451">
                  <c:v>-51.684430569868802</c:v>
                </c:pt>
                <c:pt idx="452">
                  <c:v>-51.72000264835183</c:v>
                </c:pt>
                <c:pt idx="453">
                  <c:v>-51.755428334150452</c:v>
                </c:pt>
                <c:pt idx="454">
                  <c:v>-51.790708837082704</c:v>
                </c:pt>
                <c:pt idx="455">
                  <c:v>-51.825845351923768</c:v>
                </c:pt>
                <c:pt idx="456">
                  <c:v>-51.860839058655912</c:v>
                </c:pt>
                <c:pt idx="457">
                  <c:v>-51.895691122713082</c:v>
                </c:pt>
                <c:pt idx="458">
                  <c:v>-51.93040269522055</c:v>
                </c:pt>
                <c:pt idx="459">
                  <c:v>-51.964974913229618</c:v>
                </c:pt>
                <c:pt idx="460">
                  <c:v>-51.999408899947369</c:v>
                </c:pt>
                <c:pt idx="461">
                  <c:v>-52.033705764961972</c:v>
                </c:pt>
                <c:pt idx="462">
                  <c:v>-52.067866604463134</c:v>
                </c:pt>
                <c:pt idx="463">
                  <c:v>-52.101892501458309</c:v>
                </c:pt>
                <c:pt idx="464">
                  <c:v>-52.13578452598437</c:v>
                </c:pt>
                <c:pt idx="465">
                  <c:v>-52.169543735315152</c:v>
                </c:pt>
                <c:pt idx="466">
                  <c:v>-52.203171174164787</c:v>
                </c:pt>
                <c:pt idx="467">
                  <c:v>-52.236667874887004</c:v>
                </c:pt>
                <c:pt idx="468">
                  <c:v>-52.270034857670431</c:v>
                </c:pt>
                <c:pt idx="469">
                  <c:v>-52.303273130730105</c:v>
                </c:pt>
                <c:pt idx="470">
                  <c:v>-52.33638369049514</c:v>
                </c:pt>
                <c:pt idx="471">
                  <c:v>-52.369367521792789</c:v>
                </c:pt>
                <c:pt idx="472">
                  <c:v>-52.402225598028842</c:v>
                </c:pt>
                <c:pt idx="473">
                  <c:v>-52.434958881364551</c:v>
                </c:pt>
                <c:pt idx="474">
                  <c:v>-52.467568322890145</c:v>
                </c:pt>
                <c:pt idx="475">
                  <c:v>-52.500054862794904</c:v>
                </c:pt>
                <c:pt idx="476">
                  <c:v>-52.532419430534112</c:v>
                </c:pt>
                <c:pt idx="477">
                  <c:v>-52.564662944992683</c:v>
                </c:pt>
                <c:pt idx="478">
                  <c:v>-52.596786314645712</c:v>
                </c:pt>
                <c:pt idx="479">
                  <c:v>-52.628790437716006</c:v>
                </c:pt>
                <c:pt idx="480">
                  <c:v>-52.660676202328567</c:v>
                </c:pt>
                <c:pt idx="481">
                  <c:v>-52.692444486662247</c:v>
                </c:pt>
                <c:pt idx="482">
                  <c:v>-52.724096159098444</c:v>
                </c:pt>
                <c:pt idx="483">
                  <c:v>-52.755632078367157</c:v>
                </c:pt>
                <c:pt idx="484">
                  <c:v>-52.787053093690169</c:v>
                </c:pt>
                <c:pt idx="485">
                  <c:v>-52.81836004492169</c:v>
                </c:pt>
                <c:pt idx="486">
                  <c:v>-52.849553762686327</c:v>
                </c:pt>
                <c:pt idx="487">
                  <c:v>-52.880635068514536</c:v>
                </c:pt>
                <c:pt idx="488">
                  <c:v>-52.911604774975636</c:v>
                </c:pt>
                <c:pt idx="489">
                  <c:v>-52.942463685808264</c:v>
                </c:pt>
                <c:pt idx="490">
                  <c:v>-52.973212596048583</c:v>
                </c:pt>
                <c:pt idx="491">
                  <c:v>-53.003852292156104</c:v>
                </c:pt>
                <c:pt idx="492">
                  <c:v>-53.034383552137214</c:v>
                </c:pt>
                <c:pt idx="493">
                  <c:v>-53.064807145666535</c:v>
                </c:pt>
                <c:pt idx="494">
                  <c:v>-53.095123834206042</c:v>
                </c:pt>
                <c:pt idx="495">
                  <c:v>-53.125334371122115</c:v>
                </c:pt>
                <c:pt idx="496">
                  <c:v>-53.155439501800402</c:v>
                </c:pt>
                <c:pt idx="497">
                  <c:v>-53.18543996375881</c:v>
                </c:pt>
                <c:pt idx="498">
                  <c:v>-53.215336486758289</c:v>
                </c:pt>
                <c:pt idx="499">
                  <c:v>-53.245129792911861</c:v>
                </c:pt>
                <c:pt idx="500">
                  <c:v>-53.274820596791592</c:v>
                </c:pt>
                <c:pt idx="501">
                  <c:v>-53.304409605533706</c:v>
                </c:pt>
                <c:pt idx="502">
                  <c:v>-53.33389751894201</c:v>
                </c:pt>
                <c:pt idx="503">
                  <c:v>-53.363285029589314</c:v>
                </c:pt>
                <c:pt idx="504">
                  <c:v>-53.392572822917231</c:v>
                </c:pt>
                <c:pt idx="505">
                  <c:v>-53.421761577334209</c:v>
                </c:pt>
                <c:pt idx="506">
                  <c:v>-53.450851964311923</c:v>
                </c:pt>
                <c:pt idx="507">
                  <c:v>-53.479844648479897</c:v>
                </c:pt>
                <c:pt idx="508">
                  <c:v>-53.508740287718652</c:v>
                </c:pt>
                <c:pt idx="509">
                  <c:v>-53.537539533251206</c:v>
                </c:pt>
                <c:pt idx="510">
                  <c:v>-53.566243029732988</c:v>
                </c:pt>
                <c:pt idx="511">
                  <c:v>-53.594851415340294</c:v>
                </c:pt>
                <c:pt idx="512">
                  <c:v>-53.623365321857229</c:v>
                </c:pt>
                <c:pt idx="513">
                  <c:v>-53.651785374761161</c:v>
                </c:pt>
                <c:pt idx="514">
                  <c:v>-53.680112193306812</c:v>
                </c:pt>
                <c:pt idx="515">
                  <c:v>-53.708346390608853</c:v>
                </c:pt>
                <c:pt idx="516">
                  <c:v>-53.736488573723243</c:v>
                </c:pt>
                <c:pt idx="517">
                  <c:v>-53.764539343727108</c:v>
                </c:pt>
                <c:pt idx="518">
                  <c:v>-53.79249929579737</c:v>
                </c:pt>
                <c:pt idx="519">
                  <c:v>-53.82036901928808</c:v>
                </c:pt>
                <c:pt idx="520">
                  <c:v>-53.84814909780647</c:v>
                </c:pt>
                <c:pt idx="521">
                  <c:v>-53.875840109287708</c:v>
                </c:pt>
                <c:pt idx="522">
                  <c:v>-53.903442626068568</c:v>
                </c:pt>
                <c:pt idx="523">
                  <c:v>-53.930957214959776</c:v>
                </c:pt>
                <c:pt idx="524">
                  <c:v>-53.958384437317235</c:v>
                </c:pt>
                <c:pt idx="525">
                  <c:v>-53.985724849112131</c:v>
                </c:pt>
                <c:pt idx="526">
                  <c:v>-54.01297900099987</c:v>
                </c:pt>
                <c:pt idx="527">
                  <c:v>-54.040147438387905</c:v>
                </c:pt>
                <c:pt idx="528">
                  <c:v>-54.067230701502538</c:v>
                </c:pt>
                <c:pt idx="529">
                  <c:v>-54.094229325454577</c:v>
                </c:pt>
                <c:pt idx="530">
                  <c:v>-54.121143840304036</c:v>
                </c:pt>
                <c:pt idx="531">
                  <c:v>-54.147974771123756</c:v>
                </c:pt>
                <c:pt idx="532">
                  <c:v>-54.174722638062008</c:v>
                </c:pt>
                <c:pt idx="533">
                  <c:v>-54.201387956404218</c:v>
                </c:pt>
                <c:pt idx="534">
                  <c:v>-54.227971236633579</c:v>
                </c:pt>
                <c:pt idx="535">
                  <c:v>-54.254472984490796</c:v>
                </c:pt>
                <c:pt idx="536">
                  <c:v>-54.280893701032966</c:v>
                </c:pt>
                <c:pt idx="537">
                  <c:v>-54.307233882691371</c:v>
                </c:pt>
                <c:pt idx="538">
                  <c:v>-54.333494021328555</c:v>
                </c:pt>
                <c:pt idx="539">
                  <c:v>-54.359674604294419</c:v>
                </c:pt>
                <c:pt idx="540">
                  <c:v>-54.385776114481487</c:v>
                </c:pt>
                <c:pt idx="541">
                  <c:v>-54.411799030379285</c:v>
                </c:pt>
                <c:pt idx="542">
                  <c:v>-54.437743826128006</c:v>
                </c:pt>
                <c:pt idx="543">
                  <c:v>-54.463610971571171</c:v>
                </c:pt>
                <c:pt idx="544">
                  <c:v>-54.489400932307703</c:v>
                </c:pt>
                <c:pt idx="545">
                  <c:v>-54.515114169743015</c:v>
                </c:pt>
                <c:pt idx="546">
                  <c:v>-54.540751141139474</c:v>
                </c:pt>
                <c:pt idx="547">
                  <c:v>-54.566312299666038</c:v>
                </c:pt>
                <c:pt idx="548">
                  <c:v>-54.591798094447157</c:v>
                </c:pt>
                <c:pt idx="549">
                  <c:v>-54.617208970610953</c:v>
                </c:pt>
                <c:pt idx="550">
                  <c:v>-54.642545369336673</c:v>
                </c:pt>
                <c:pt idx="551">
                  <c:v>-54.667807727901483</c:v>
                </c:pt>
                <c:pt idx="552">
                  <c:v>-54.692996479726439</c:v>
                </c:pt>
                <c:pt idx="553">
                  <c:v>-54.718112054421951</c:v>
                </c:pt>
                <c:pt idx="554">
                  <c:v>-54.743154877832474</c:v>
                </c:pt>
                <c:pt idx="555">
                  <c:v>-54.768125372080547</c:v>
                </c:pt>
                <c:pt idx="556">
                  <c:v>-54.793023955610217</c:v>
                </c:pt>
                <c:pt idx="557">
                  <c:v>-54.817851043229822</c:v>
                </c:pt>
                <c:pt idx="558">
                  <c:v>-54.842607046154143</c:v>
                </c:pt>
                <c:pt idx="559">
                  <c:v>-54.867292372045938</c:v>
                </c:pt>
                <c:pt idx="560">
                  <c:v>-54.891907425056914</c:v>
                </c:pt>
                <c:pt idx="561">
                  <c:v>-54.916452605868066</c:v>
                </c:pt>
                <c:pt idx="562">
                  <c:v>-54.940928311729436</c:v>
                </c:pt>
                <c:pt idx="563">
                  <c:v>-54.96533493649936</c:v>
                </c:pt>
                <c:pt idx="564">
                  <c:v>-54.989672870683052</c:v>
                </c:pt>
                <c:pt idx="565">
                  <c:v>-55.013942501470758</c:v>
                </c:pt>
                <c:pt idx="566">
                  <c:v>-55.038144212775265</c:v>
                </c:pt>
                <c:pt idx="567">
                  <c:v>-55.062278385268954</c:v>
                </c:pt>
                <c:pt idx="568">
                  <c:v>-55.086345396420249</c:v>
                </c:pt>
                <c:pt idx="569">
                  <c:v>-55.110345620529671</c:v>
                </c:pt>
                <c:pt idx="570">
                  <c:v>-55.134279428765247</c:v>
                </c:pt>
                <c:pt idx="571">
                  <c:v>-55.15814718919755</c:v>
                </c:pt>
                <c:pt idx="572">
                  <c:v>-55.18194926683411</c:v>
                </c:pt>
                <c:pt idx="573">
                  <c:v>-55.205686023653556</c:v>
                </c:pt>
                <c:pt idx="574">
                  <c:v>-55.229357818639009</c:v>
                </c:pt>
                <c:pt idx="575">
                  <c:v>-55.25296500781127</c:v>
                </c:pt>
                <c:pt idx="576">
                  <c:v>-55.276507944261361</c:v>
                </c:pt>
                <c:pt idx="577">
                  <c:v>-55.299986978182773</c:v>
                </c:pt>
                <c:pt idx="578">
                  <c:v>-55.323402456903096</c:v>
                </c:pt>
                <c:pt idx="579">
                  <c:v>-55.346754724915414</c:v>
                </c:pt>
                <c:pt idx="580">
                  <c:v>-55.370044123909096</c:v>
                </c:pt>
                <c:pt idx="581">
                  <c:v>-55.393270992800282</c:v>
                </c:pt>
                <c:pt idx="582">
                  <c:v>-55.416435667761888</c:v>
                </c:pt>
                <c:pt idx="583">
                  <c:v>-55.439538482253276</c:v>
                </c:pt>
                <c:pt idx="584">
                  <c:v>-55.462579767049419</c:v>
                </c:pt>
                <c:pt idx="585">
                  <c:v>-55.485559850269766</c:v>
                </c:pt>
                <c:pt idx="586">
                  <c:v>-55.508479057406703</c:v>
                </c:pt>
                <c:pt idx="587">
                  <c:v>-55.531337711353586</c:v>
                </c:pt>
                <c:pt idx="588">
                  <c:v>-55.554136132432447</c:v>
                </c:pt>
                <c:pt idx="589">
                  <c:v>-55.576874638421288</c:v>
                </c:pt>
                <c:pt idx="590">
                  <c:v>-55.599553544581099</c:v>
                </c:pt>
                <c:pt idx="591">
                  <c:v>-55.622173163682369</c:v>
                </c:pt>
                <c:pt idx="592">
                  <c:v>-55.644733806031425</c:v>
                </c:pt>
                <c:pt idx="593">
                  <c:v>-55.667235779496274</c:v>
                </c:pt>
                <c:pt idx="594">
                  <c:v>-55.689679389532174</c:v>
                </c:pt>
                <c:pt idx="595">
                  <c:v>-55.712064939206883</c:v>
                </c:pt>
                <c:pt idx="596">
                  <c:v>-55.734392729225554</c:v>
                </c:pt>
                <c:pt idx="597">
                  <c:v>-55.756663057955251</c:v>
                </c:pt>
                <c:pt idx="598">
                  <c:v>-55.778876221449309</c:v>
                </c:pt>
                <c:pt idx="599">
                  <c:v>-55.801032513471149</c:v>
                </c:pt>
                <c:pt idx="600">
                  <c:v>-55.823132225518009</c:v>
                </c:pt>
                <c:pt idx="601">
                  <c:v>-55.845175646844226</c:v>
                </c:pt>
                <c:pt idx="602">
                  <c:v>-55.867163064484224</c:v>
                </c:pt>
                <c:pt idx="603">
                  <c:v>-55.88909476327531</c:v>
                </c:pt>
                <c:pt idx="604">
                  <c:v>-55.91097102588008</c:v>
                </c:pt>
                <c:pt idx="605">
                  <c:v>-55.932792132808544</c:v>
                </c:pt>
                <c:pt idx="606">
                  <c:v>-56.959155603090721</c:v>
                </c:pt>
                <c:pt idx="607">
                  <c:v>-57.876676740019526</c:v>
                </c:pt>
                <c:pt idx="608">
                  <c:v>-58.706285784245871</c:v>
                </c:pt>
                <c:pt idx="609">
                  <c:v>-59.463392554877842</c:v>
                </c:pt>
                <c:pt idx="610">
                  <c:v>-60.159674336588232</c:v>
                </c:pt>
                <c:pt idx="611">
                  <c:v>-60.804193115587282</c:v>
                </c:pt>
                <c:pt idx="612">
                  <c:v>-61.404123354552027</c:v>
                </c:pt>
                <c:pt idx="613">
                  <c:v>-61.965242787126982</c:v>
                </c:pt>
                <c:pt idx="614">
                  <c:v>-62.49227326304316</c:v>
                </c:pt>
                <c:pt idx="615">
                  <c:v>-62.989123503712314</c:v>
                </c:pt>
                <c:pt idx="616">
                  <c:v>-63.459065826847208</c:v>
                </c:pt>
                <c:pt idx="617">
                  <c:v>-63.904867297223795</c:v>
                </c:pt>
                <c:pt idx="618">
                  <c:v>-64.076969070225772</c:v>
                </c:pt>
                <c:pt idx="619">
                  <c:v>-64.2457251421514</c:v>
                </c:pt>
                <c:pt idx="620">
                  <c:v>-64.411263185767694</c:v>
                </c:pt>
                <c:pt idx="621">
                  <c:v>-64.573703698822769</c:v>
                </c:pt>
                <c:pt idx="622">
                  <c:v>-64.733160532061348</c:v>
                </c:pt>
                <c:pt idx="623">
                  <c:v>-64.889741369523449</c:v>
                </c:pt>
                <c:pt idx="624">
                  <c:v>-65.043548166210996</c:v>
                </c:pt>
                <c:pt idx="625">
                  <c:v>-65.194677547586252</c:v>
                </c:pt>
                <c:pt idx="626">
                  <c:v>-65.343221174829552</c:v>
                </c:pt>
                <c:pt idx="627">
                  <c:v>-65.489266079320075</c:v>
                </c:pt>
                <c:pt idx="628">
                  <c:v>-65.632894969401335</c:v>
                </c:pt>
                <c:pt idx="629">
                  <c:v>-65.774186512143316</c:v>
                </c:pt>
                <c:pt idx="630">
                  <c:v>-65.913215592508536</c:v>
                </c:pt>
                <c:pt idx="631">
                  <c:v>-66.050053552062835</c:v>
                </c:pt>
                <c:pt idx="632">
                  <c:v>-66.184768409139068</c:v>
                </c:pt>
                <c:pt idx="633">
                  <c:v>-66.317425062157</c:v>
                </c:pt>
                <c:pt idx="634">
                  <c:v>-66.448085477622911</c:v>
                </c:pt>
                <c:pt idx="635">
                  <c:v>-66.576808864174225</c:v>
                </c:pt>
                <c:pt idx="636">
                  <c:v>-66.70365183389427</c:v>
                </c:pt>
                <c:pt idx="637">
                  <c:v>-66.828668551998788</c:v>
                </c:pt>
                <c:pt idx="638">
                  <c:v>-66.951910875886014</c:v>
                </c:pt>
                <c:pt idx="639">
                  <c:v>-67.073428484444776</c:v>
                </c:pt>
                <c:pt idx="640">
                  <c:v>-67.193268998428806</c:v>
                </c:pt>
                <c:pt idx="641">
                  <c:v>-67.311478092627624</c:v>
                </c:pt>
                <c:pt idx="642">
                  <c:v>-67.428099600496566</c:v>
                </c:pt>
                <c:pt idx="643">
                  <c:v>-67.54317561184584</c:v>
                </c:pt>
                <c:pt idx="644">
                  <c:v>-67.656746564134494</c:v>
                </c:pt>
                <c:pt idx="645">
                  <c:v>-67.768851327864922</c:v>
                </c:pt>
                <c:pt idx="646">
                  <c:v>-67.879527286530092</c:v>
                </c:pt>
                <c:pt idx="647">
                  <c:v>-67.988810411524824</c:v>
                </c:pt>
                <c:pt idx="648">
                  <c:v>-68.096735332397571</c:v>
                </c:pt>
                <c:pt idx="649">
                  <c:v>-68.203335402785953</c:v>
                </c:pt>
                <c:pt idx="650">
                  <c:v>-68.308642762350786</c:v>
                </c:pt>
                <c:pt idx="651">
                  <c:v>-68.412688394996238</c:v>
                </c:pt>
                <c:pt idx="652">
                  <c:v>-68.515502183640649</c:v>
                </c:pt>
                <c:pt idx="653">
                  <c:v>-68.617112961780037</c:v>
                </c:pt>
                <c:pt idx="654">
                  <c:v>-68.717548562067336</c:v>
                </c:pt>
                <c:pt idx="655">
                  <c:v>-68.816835862112271</c:v>
                </c:pt>
                <c:pt idx="656">
                  <c:v>-68.915000827690534</c:v>
                </c:pt>
                <c:pt idx="657">
                  <c:v>-69.01206855353611</c:v>
                </c:pt>
                <c:pt idx="658">
                  <c:v>-69.108063301877351</c:v>
                </c:pt>
                <c:pt idx="659">
                  <c:v>-69.203008538864822</c:v>
                </c:pt>
                <c:pt idx="660">
                  <c:v>-69.296926969027965</c:v>
                </c:pt>
                <c:pt idx="661">
                  <c:v>-69.389840567887035</c:v>
                </c:pt>
                <c:pt idx="662">
                  <c:v>-69.481770612837877</c:v>
                </c:pt>
                <c:pt idx="663">
                  <c:v>-69.572737712417847</c:v>
                </c:pt>
                <c:pt idx="664">
                  <c:v>-69.662761834053953</c:v>
                </c:pt>
                <c:pt idx="665">
                  <c:v>-69.75186233038653</c:v>
                </c:pt>
                <c:pt idx="666">
                  <c:v>-69.840057964255408</c:v>
                </c:pt>
                <c:pt idx="667">
                  <c:v>-69.927366932429294</c:v>
                </c:pt>
              </c:numCache>
            </c:numRef>
          </c:yVal>
          <c:smooth val="1"/>
          <c:extLst>
            <c:ext xmlns:c16="http://schemas.microsoft.com/office/drawing/2014/chart" uri="{C3380CC4-5D6E-409C-BE32-E72D297353CC}">
              <c16:uniqueId val="{00000000-2DBB-4F72-B5DF-A436F54D08AE}"/>
            </c:ext>
          </c:extLst>
        </c:ser>
        <c:dLbls>
          <c:showLegendKey val="0"/>
          <c:showVal val="0"/>
          <c:showCatName val="0"/>
          <c:showSerName val="0"/>
          <c:showPercent val="0"/>
          <c:showBubbleSize val="0"/>
        </c:dLbls>
        <c:axId val="176896640"/>
        <c:axId val="176898816"/>
      </c:scatterChart>
      <c:scatterChart>
        <c:scatterStyle val="lineMarker"/>
        <c:varyColors val="0"/>
        <c:ser>
          <c:idx val="3"/>
          <c:order val="1"/>
          <c:tx>
            <c:v>Actual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Calculations'!$BN$9:$BN$676</c:f>
              <c:numCache>
                <c:formatCode>General</c:formatCode>
                <c:ptCount val="668"/>
                <c:pt idx="0">
                  <c:v>-3.3521005470112356E-3</c:v>
                </c:pt>
                <c:pt idx="1">
                  <c:v>-6.7042019506531863E-3</c:v>
                </c:pt>
                <c:pt idx="2">
                  <c:v>-1.0056305067557187E-2</c:v>
                </c:pt>
                <c:pt idx="3">
                  <c:v>-1.3408410754355792E-2</c:v>
                </c:pt>
                <c:pt idx="4">
                  <c:v>-1.6760519867683399E-2</c:v>
                </c:pt>
                <c:pt idx="5">
                  <c:v>-2.0112633264176855E-2</c:v>
                </c:pt>
                <c:pt idx="6">
                  <c:v>-2.346475180047608E-2</c:v>
                </c:pt>
                <c:pt idx="7">
                  <c:v>-2.6816876333224673E-2</c:v>
                </c:pt>
                <c:pt idx="8">
                  <c:v>-3.0169007719070537E-2</c:v>
                </c:pt>
                <c:pt idx="9">
                  <c:v>-3.352114681466644E-2</c:v>
                </c:pt>
                <c:pt idx="10">
                  <c:v>-6.7043150275230057E-2</c:v>
                </c:pt>
                <c:pt idx="11">
                  <c:v>-0.10056686708892351</c:v>
                </c:pt>
                <c:pt idx="12">
                  <c:v>-0.13409315408565919</c:v>
                </c:pt>
                <c:pt idx="13">
                  <c:v>-0.16762286827939113</c:v>
                </c:pt>
                <c:pt idx="14">
                  <c:v>-0.20115686692950341</c:v>
                </c:pt>
                <c:pt idx="15">
                  <c:v>-0.23469600760223372</c:v>
                </c:pt>
                <c:pt idx="16">
                  <c:v>-0.26824114823214124</c:v>
                </c:pt>
                <c:pt idx="17">
                  <c:v>-0.30179314718362699</c:v>
                </c:pt>
                <c:pt idx="18">
                  <c:v>-0.33535286331251712</c:v>
                </c:pt>
                <c:pt idx="19">
                  <c:v>-0.67156389270828087</c:v>
                </c:pt>
                <c:pt idx="20">
                  <c:v>-1.0094974170016269</c:v>
                </c:pt>
                <c:pt idx="21">
                  <c:v>-1.3500301794664598</c:v>
                </c:pt>
                <c:pt idx="22">
                  <c:v>-1.6940577696524943</c:v>
                </c:pt>
                <c:pt idx="23">
                  <c:v>-2.0425013306359387</c:v>
                </c:pt>
                <c:pt idx="24">
                  <c:v>-2.3963146436146938</c:v>
                </c:pt>
                <c:pt idx="25">
                  <c:v>-2.7564917008519596</c:v>
                </c:pt>
                <c:pt idx="26">
                  <c:v>-3.1240748899091519</c:v>
                </c:pt>
                <c:pt idx="27">
                  <c:v>-3.500163927304861</c:v>
                </c:pt>
                <c:pt idx="28">
                  <c:v>-5.5520389953324765</c:v>
                </c:pt>
                <c:pt idx="29">
                  <c:v>-8.0356103156124128</c:v>
                </c:pt>
                <c:pt idx="30">
                  <c:v>-11.243467081096577</c:v>
                </c:pt>
                <c:pt idx="31">
                  <c:v>-15.686886941800379</c:v>
                </c:pt>
                <c:pt idx="32">
                  <c:v>-22.348175213899623</c:v>
                </c:pt>
                <c:pt idx="33">
                  <c:v>-33.2559854862264</c:v>
                </c:pt>
                <c:pt idx="34">
                  <c:v>-52.346225483248929</c:v>
                </c:pt>
                <c:pt idx="35">
                  <c:v>-82.441839911466687</c:v>
                </c:pt>
                <c:pt idx="36">
                  <c:v>-112.64633004671445</c:v>
                </c:pt>
                <c:pt idx="37">
                  <c:v>-131.83313567757327</c:v>
                </c:pt>
                <c:pt idx="38">
                  <c:v>-142.70994682519913</c:v>
                </c:pt>
                <c:pt idx="39">
                  <c:v>-149.23927827137487</c:v>
                </c:pt>
                <c:pt idx="40">
                  <c:v>-153.46784297527361</c:v>
                </c:pt>
                <c:pt idx="41">
                  <c:v>-156.38060789990763</c:v>
                </c:pt>
                <c:pt idx="42">
                  <c:v>-158.48234437805061</c:v>
                </c:pt>
                <c:pt idx="43">
                  <c:v>-160.05220709433226</c:v>
                </c:pt>
                <c:pt idx="44">
                  <c:v>-161.25537349169642</c:v>
                </c:pt>
                <c:pt idx="45">
                  <c:v>-162.19527038809605</c:v>
                </c:pt>
                <c:pt idx="46">
                  <c:v>-162.93977370852025</c:v>
                </c:pt>
                <c:pt idx="47">
                  <c:v>-163.53520935708599</c:v>
                </c:pt>
                <c:pt idx="48">
                  <c:v>-164.01425694273163</c:v>
                </c:pt>
                <c:pt idx="49">
                  <c:v>-164.40062698299712</c:v>
                </c:pt>
                <c:pt idx="50">
                  <c:v>-164.71194345740415</c:v>
                </c:pt>
                <c:pt idx="51">
                  <c:v>-164.96158391779718</c:v>
                </c:pt>
                <c:pt idx="52">
                  <c:v>-165.15989073290237</c:v>
                </c:pt>
                <c:pt idx="53">
                  <c:v>-165.31499015514828</c:v>
                </c:pt>
                <c:pt idx="54">
                  <c:v>-165.43335954101545</c:v>
                </c:pt>
                <c:pt idx="55">
                  <c:v>-165.52022857771786</c:v>
                </c:pt>
                <c:pt idx="56">
                  <c:v>-165.57986852937248</c:v>
                </c:pt>
                <c:pt idx="57">
                  <c:v>-165.61580434677114</c:v>
                </c:pt>
                <c:pt idx="58">
                  <c:v>-165.63097263205583</c:v>
                </c:pt>
                <c:pt idx="59">
                  <c:v>-165.62784094183789</c:v>
                </c:pt>
                <c:pt idx="60">
                  <c:v>-165.60849905163212</c:v>
                </c:pt>
                <c:pt idx="61">
                  <c:v>-165.57472959427736</c:v>
                </c:pt>
                <c:pt idx="62">
                  <c:v>-165.52806332587286</c:v>
                </c:pt>
                <c:pt idx="63">
                  <c:v>-165.46982279607082</c:v>
                </c:pt>
                <c:pt idx="64">
                  <c:v>-165.40115717394315</c:v>
                </c:pt>
                <c:pt idx="65">
                  <c:v>-165.32307025810366</c:v>
                </c:pt>
                <c:pt idx="66">
                  <c:v>-165.23644318399232</c:v>
                </c:pt>
                <c:pt idx="67">
                  <c:v>-165.14205296851586</c:v>
                </c:pt>
                <c:pt idx="68">
                  <c:v>-165.04058775981295</c:v>
                </c:pt>
                <c:pt idx="69">
                  <c:v>-164.93265945866304</c:v>
                </c:pt>
                <c:pt idx="70">
                  <c:v>-164.81881422789314</c:v>
                </c:pt>
                <c:pt idx="71">
                  <c:v>-164.69954129304412</c:v>
                </c:pt>
                <c:pt idx="72">
                  <c:v>-164.57528035162832</c:v>
                </c:pt>
                <c:pt idx="73">
                  <c:v>-164.44642784248239</c:v>
                </c:pt>
                <c:pt idx="74">
                  <c:v>-164.31334227589295</c:v>
                </c:pt>
                <c:pt idx="75">
                  <c:v>-164.17634878564112</c:v>
                </c:pt>
                <c:pt idx="76">
                  <c:v>-164.03574303314986</c:v>
                </c:pt>
                <c:pt idx="77">
                  <c:v>-163.89179456950683</c:v>
                </c:pt>
                <c:pt idx="78">
                  <c:v>-163.74474974176903</c:v>
                </c:pt>
                <c:pt idx="79">
                  <c:v>-163.59483421450074</c:v>
                </c:pt>
                <c:pt idx="80">
                  <c:v>-163.44225516508831</c:v>
                </c:pt>
                <c:pt idx="81">
                  <c:v>-163.28720320136932</c:v>
                </c:pt>
                <c:pt idx="82">
                  <c:v>-163.12985404199011</c:v>
                </c:pt>
                <c:pt idx="83">
                  <c:v>-162.97036999329171</c:v>
                </c:pt>
                <c:pt idx="84">
                  <c:v>-162.80890125110287</c:v>
                </c:pt>
                <c:pt idx="85">
                  <c:v>-162.64558705136236</c:v>
                </c:pt>
                <c:pt idx="86">
                  <c:v>-162.48055668981021</c:v>
                </c:pt>
                <c:pt idx="87">
                  <c:v>-162.31393042793297</c:v>
                </c:pt>
                <c:pt idx="88">
                  <c:v>-162.14582029980519</c:v>
                </c:pt>
                <c:pt idx="89">
                  <c:v>-161.97633083234169</c:v>
                </c:pt>
                <c:pt idx="90">
                  <c:v>-161.80555968969401</c:v>
                </c:pt>
                <c:pt idx="91">
                  <c:v>-161.63359825102</c:v>
                </c:pt>
                <c:pt idx="92">
                  <c:v>-161.46053212958972</c:v>
                </c:pt>
                <c:pt idx="93">
                  <c:v>-161.28644164011354</c:v>
                </c:pt>
                <c:pt idx="94">
                  <c:v>-161.11140222026759</c:v>
                </c:pt>
                <c:pt idx="95">
                  <c:v>-160.93548481160974</c:v>
                </c:pt>
                <c:pt idx="96">
                  <c:v>-160.75875620441553</c:v>
                </c:pt>
                <c:pt idx="97">
                  <c:v>-160.58127935039136</c:v>
                </c:pt>
                <c:pt idx="98">
                  <c:v>-160.40311364673144</c:v>
                </c:pt>
                <c:pt idx="99">
                  <c:v>-160.22431519456168</c:v>
                </c:pt>
                <c:pt idx="100">
                  <c:v>-160.04493703444874</c:v>
                </c:pt>
                <c:pt idx="101">
                  <c:v>-159.86502936133422</c:v>
                </c:pt>
                <c:pt idx="102">
                  <c:v>-159.6846397209805</c:v>
                </c:pt>
                <c:pt idx="103">
                  <c:v>-159.50381318977418</c:v>
                </c:pt>
                <c:pt idx="104">
                  <c:v>-159.322592539525</c:v>
                </c:pt>
                <c:pt idx="105">
                  <c:v>-159.14101838871542</c:v>
                </c:pt>
                <c:pt idx="106">
                  <c:v>-158.95912934149572</c:v>
                </c:pt>
                <c:pt idx="107">
                  <c:v>-158.77696211558069</c:v>
                </c:pt>
                <c:pt idx="108">
                  <c:v>-158.59455166007839</c:v>
                </c:pt>
                <c:pt idx="109">
                  <c:v>-158.41193126417537</c:v>
                </c:pt>
                <c:pt idx="110">
                  <c:v>-158.22913265750464</c:v>
                </c:pt>
                <c:pt idx="111">
                  <c:v>-158.04618610293903</c:v>
                </c:pt>
                <c:pt idx="112">
                  <c:v>-157.86312048247791</c:v>
                </c:pt>
                <c:pt idx="113">
                  <c:v>-157.67996337682683</c:v>
                </c:pt>
                <c:pt idx="114">
                  <c:v>-157.4967411392129</c:v>
                </c:pt>
                <c:pt idx="115">
                  <c:v>-157.31347896392333</c:v>
                </c:pt>
                <c:pt idx="116">
                  <c:v>-157.13020095001056</c:v>
                </c:pt>
                <c:pt idx="117">
                  <c:v>-156.94693016056243</c:v>
                </c:pt>
                <c:pt idx="118">
                  <c:v>-156.76368867790043</c:v>
                </c:pt>
                <c:pt idx="119">
                  <c:v>-156.58049765503543</c:v>
                </c:pt>
                <c:pt idx="120">
                  <c:v>-156.39737736367823</c:v>
                </c:pt>
                <c:pt idx="121">
                  <c:v>-156.21434723907799</c:v>
                </c:pt>
                <c:pt idx="122">
                  <c:v>-156.03142592193538</c:v>
                </c:pt>
                <c:pt idx="123">
                  <c:v>-155.84863129761558</c:v>
                </c:pt>
                <c:pt idx="124">
                  <c:v>-155.66598053286776</c:v>
                </c:pt>
                <c:pt idx="125">
                  <c:v>-155.48349011023828</c:v>
                </c:pt>
                <c:pt idx="126">
                  <c:v>-155.30117586035024</c:v>
                </c:pt>
                <c:pt idx="127">
                  <c:v>-155.11905299220615</c:v>
                </c:pt>
                <c:pt idx="128">
                  <c:v>-154.93713612165817</c:v>
                </c:pt>
                <c:pt idx="129">
                  <c:v>-154.7554392981784</c:v>
                </c:pt>
                <c:pt idx="130">
                  <c:v>-154.57397603005037</c:v>
                </c:pt>
                <c:pt idx="131">
                  <c:v>-154.39275930809339</c:v>
                </c:pt>
                <c:pt idx="132">
                  <c:v>-154.21180162802236</c:v>
                </c:pt>
                <c:pt idx="133">
                  <c:v>-154.03111501153785</c:v>
                </c:pt>
                <c:pt idx="134">
                  <c:v>-153.85071102623249</c:v>
                </c:pt>
                <c:pt idx="135">
                  <c:v>-153.67060080439555</c:v>
                </c:pt>
                <c:pt idx="136">
                  <c:v>-153.49079506078792</c:v>
                </c:pt>
                <c:pt idx="137">
                  <c:v>-153.3113041094575</c:v>
                </c:pt>
                <c:pt idx="138">
                  <c:v>-153.13213787965688</c:v>
                </c:pt>
                <c:pt idx="139">
                  <c:v>-152.95330593092308</c:v>
                </c:pt>
                <c:pt idx="140">
                  <c:v>-152.77481746737212</c:v>
                </c:pt>
                <c:pt idx="141">
                  <c:v>-152.59668135125978</c:v>
                </c:pt>
                <c:pt idx="142">
                  <c:v>-152.41890611585433</c:v>
                </c:pt>
                <c:pt idx="143">
                  <c:v>-152.24149997766429</c:v>
                </c:pt>
                <c:pt idx="144">
                  <c:v>-152.06447084806186</c:v>
                </c:pt>
                <c:pt idx="145">
                  <c:v>-151.88782634433869</c:v>
                </c:pt>
                <c:pt idx="146">
                  <c:v>-151.71157380022842</c:v>
                </c:pt>
                <c:pt idx="147">
                  <c:v>-151.53572027592895</c:v>
                </c:pt>
                <c:pt idx="148">
                  <c:v>-151.36027256765331</c:v>
                </c:pt>
                <c:pt idx="149">
                  <c:v>-151.18523721673765</c:v>
                </c:pt>
                <c:pt idx="150">
                  <c:v>-151.01062051833256</c:v>
                </c:pt>
                <c:pt idx="151">
                  <c:v>-150.83642852970075</c:v>
                </c:pt>
                <c:pt idx="152">
                  <c:v>-150.66266707814546</c:v>
                </c:pt>
                <c:pt idx="153">
                  <c:v>-150.48934176858887</c:v>
                </c:pt>
                <c:pt idx="154">
                  <c:v>-150.31645799082142</c:v>
                </c:pt>
                <c:pt idx="155">
                  <c:v>-150.14402092644019</c:v>
                </c:pt>
                <c:pt idx="156">
                  <c:v>-149.97203555549316</c:v>
                </c:pt>
                <c:pt idx="157">
                  <c:v>-149.80050666284583</c:v>
                </c:pt>
                <c:pt idx="158">
                  <c:v>-149.62943884428543</c:v>
                </c:pt>
                <c:pt idx="159">
                  <c:v>-149.45883651237614</c:v>
                </c:pt>
                <c:pt idx="160">
                  <c:v>-149.28870390207913</c:v>
                </c:pt>
                <c:pt idx="161">
                  <c:v>-149.11904507615012</c:v>
                </c:pt>
                <c:pt idx="162">
                  <c:v>-148.94986393032502</c:v>
                </c:pt>
                <c:pt idx="163">
                  <c:v>-148.78116419830567</c:v>
                </c:pt>
                <c:pt idx="164">
                  <c:v>-148.61294945655524</c:v>
                </c:pt>
                <c:pt idx="165">
                  <c:v>-148.44522312891314</c:v>
                </c:pt>
                <c:pt idx="166">
                  <c:v>-148.27798849103874</c:v>
                </c:pt>
                <c:pt idx="167">
                  <c:v>-148.11124867469181</c:v>
                </c:pt>
                <c:pt idx="168">
                  <c:v>-147.94500667185827</c:v>
                </c:pt>
                <c:pt idx="169">
                  <c:v>-147.77926533872852</c:v>
                </c:pt>
                <c:pt idx="170">
                  <c:v>-147.61402739953547</c:v>
                </c:pt>
                <c:pt idx="171">
                  <c:v>-147.44929545025869</c:v>
                </c:pt>
                <c:pt idx="172">
                  <c:v>-147.28507196220161</c:v>
                </c:pt>
                <c:pt idx="173">
                  <c:v>-147.12135928544728</c:v>
                </c:pt>
                <c:pt idx="174">
                  <c:v>-146.95815965219782</c:v>
                </c:pt>
                <c:pt idx="175">
                  <c:v>-146.79547518000405</c:v>
                </c:pt>
                <c:pt idx="176">
                  <c:v>-146.63330787488914</c:v>
                </c:pt>
                <c:pt idx="177">
                  <c:v>-146.47165963437152</c:v>
                </c:pt>
                <c:pt idx="178">
                  <c:v>-146.31053225039142</c:v>
                </c:pt>
                <c:pt idx="179">
                  <c:v>-146.14992741214533</c:v>
                </c:pt>
                <c:pt idx="180">
                  <c:v>-145.98984670883209</c:v>
                </c:pt>
                <c:pt idx="181">
                  <c:v>-145.83029163231458</c:v>
                </c:pt>
                <c:pt idx="182">
                  <c:v>-145.67126357970059</c:v>
                </c:pt>
                <c:pt idx="183">
                  <c:v>-145.51276385584626</c:v>
                </c:pt>
                <c:pt idx="184">
                  <c:v>-145.35479367578472</c:v>
                </c:pt>
                <c:pt idx="185">
                  <c:v>-145.19735416708423</c:v>
                </c:pt>
                <c:pt idx="186">
                  <c:v>-145.04044637213701</c:v>
                </c:pt>
                <c:pt idx="187">
                  <c:v>-144.88407125038313</c:v>
                </c:pt>
                <c:pt idx="188">
                  <c:v>-144.72822968047066</c:v>
                </c:pt>
                <c:pt idx="189">
                  <c:v>-144.57292246235551</c:v>
                </c:pt>
                <c:pt idx="190">
                  <c:v>-144.41815031934266</c:v>
                </c:pt>
                <c:pt idx="191">
                  <c:v>-144.26391390007149</c:v>
                </c:pt>
                <c:pt idx="192">
                  <c:v>-144.11021378044691</c:v>
                </c:pt>
                <c:pt idx="193">
                  <c:v>-143.95705046551828</c:v>
                </c:pt>
                <c:pt idx="194">
                  <c:v>-143.80442439130846</c:v>
                </c:pt>
                <c:pt idx="195">
                  <c:v>-143.65233592659436</c:v>
                </c:pt>
                <c:pt idx="196">
                  <c:v>-143.5007853746408</c:v>
                </c:pt>
                <c:pt idx="197">
                  <c:v>-143.34977297488948</c:v>
                </c:pt>
                <c:pt idx="198">
                  <c:v>-143.1992989046044</c:v>
                </c:pt>
                <c:pt idx="199">
                  <c:v>-143.04936328047546</c:v>
                </c:pt>
                <c:pt idx="200">
                  <c:v>-142.89996616018146</c:v>
                </c:pt>
                <c:pt idx="201">
                  <c:v>-142.75110754391383</c:v>
                </c:pt>
                <c:pt idx="202">
                  <c:v>-142.60278737586265</c:v>
                </c:pt>
                <c:pt idx="203">
                  <c:v>-142.45500554566587</c:v>
                </c:pt>
                <c:pt idx="204">
                  <c:v>-142.30776188982313</c:v>
                </c:pt>
                <c:pt idx="205">
                  <c:v>-142.16105619307521</c:v>
                </c:pt>
                <c:pt idx="206">
                  <c:v>-142.01488818975014</c:v>
                </c:pt>
                <c:pt idx="207">
                  <c:v>-141.86925756507722</c:v>
                </c:pt>
                <c:pt idx="208">
                  <c:v>-141.7241639564696</c:v>
                </c:pt>
                <c:pt idx="209">
                  <c:v>-141.57960695477672</c:v>
                </c:pt>
                <c:pt idx="210">
                  <c:v>-141.43558610550718</c:v>
                </c:pt>
                <c:pt idx="211">
                  <c:v>-141.29210091002318</c:v>
                </c:pt>
                <c:pt idx="212">
                  <c:v>-141.14915082670711</c:v>
                </c:pt>
                <c:pt idx="213">
                  <c:v>-141.00673527210151</c:v>
                </c:pt>
                <c:pt idx="214">
                  <c:v>-140.86485362202242</c:v>
                </c:pt>
                <c:pt idx="215">
                  <c:v>-140.72350521264784</c:v>
                </c:pt>
                <c:pt idx="216">
                  <c:v>-140.58268934158099</c:v>
                </c:pt>
                <c:pt idx="217">
                  <c:v>-140.44240526888987</c:v>
                </c:pt>
                <c:pt idx="218">
                  <c:v>-140.30265221812328</c:v>
                </c:pt>
                <c:pt idx="219">
                  <c:v>-140.1634293773042</c:v>
                </c:pt>
                <c:pt idx="220">
                  <c:v>-140.02473589990072</c:v>
                </c:pt>
                <c:pt idx="221">
                  <c:v>-139.88657090577578</c:v>
                </c:pt>
                <c:pt idx="222">
                  <c:v>-139.74893348211583</c:v>
                </c:pt>
                <c:pt idx="223">
                  <c:v>-139.61182268433853</c:v>
                </c:pt>
                <c:pt idx="224">
                  <c:v>-139.47523753698124</c:v>
                </c:pt>
                <c:pt idx="225">
                  <c:v>-139.33917703456947</c:v>
                </c:pt>
                <c:pt idx="226">
                  <c:v>-138.00718646661488</c:v>
                </c:pt>
                <c:pt idx="227">
                  <c:v>-136.72636200898864</c:v>
                </c:pt>
                <c:pt idx="228">
                  <c:v>-135.49532034229657</c:v>
                </c:pt>
                <c:pt idx="229">
                  <c:v>-134.31252628394017</c:v>
                </c:pt>
                <c:pt idx="230">
                  <c:v>-133.17634108211183</c:v>
                </c:pt>
                <c:pt idx="231">
                  <c:v>-132.0850612314247</c:v>
                </c:pt>
                <c:pt idx="232">
                  <c:v>-131.03694952466262</c:v>
                </c:pt>
                <c:pt idx="233">
                  <c:v>-130.03025971837081</c:v>
                </c:pt>
                <c:pt idx="234">
                  <c:v>-129.06325593788205</c:v>
                </c:pt>
                <c:pt idx="235">
                  <c:v>-128.13422775145443</c:v>
                </c:pt>
                <c:pt idx="236">
                  <c:v>-127.24150168638603</c:v>
                </c:pt>
                <c:pt idx="237">
                  <c:v>-126.38344983171109</c:v>
                </c:pt>
                <c:pt idx="238">
                  <c:v>-125.55849606562774</c:v>
                </c:pt>
                <c:pt idx="239">
                  <c:v>-124.76512035664722</c:v>
                </c:pt>
                <c:pt idx="240">
                  <c:v>-124.00186151242127</c:v>
                </c:pt>
                <c:pt idx="241">
                  <c:v>-123.26731868692995</c:v>
                </c:pt>
                <c:pt idx="242">
                  <c:v>-122.56015190336106</c:v>
                </c:pt>
                <c:pt idx="243">
                  <c:v>-121.8790818050831</c:v>
                </c:pt>
                <c:pt idx="244">
                  <c:v>-121.2228888093571</c:v>
                </c:pt>
                <c:pt idx="245">
                  <c:v>-120.59041180678538</c:v>
                </c:pt>
                <c:pt idx="246">
                  <c:v>-119.98054652304332</c:v>
                </c:pt>
                <c:pt idx="247">
                  <c:v>-119.39224363739676</c:v>
                </c:pt>
                <c:pt idx="248">
                  <c:v>-118.82450673419794</c:v>
                </c:pt>
                <c:pt idx="249">
                  <c:v>-118.27639014838702</c:v>
                </c:pt>
                <c:pt idx="250">
                  <c:v>-117.74699675351148</c:v>
                </c:pt>
                <c:pt idx="251">
                  <c:v>-117.23547573047695</c:v>
                </c:pt>
                <c:pt idx="252">
                  <c:v>-116.74102034680389</c:v>
                </c:pt>
                <c:pt idx="253">
                  <c:v>-116.26286576926779</c:v>
                </c:pt>
                <c:pt idx="254">
                  <c:v>-115.80028692719321</c:v>
                </c:pt>
                <c:pt idx="255">
                  <c:v>-115.35259643912813</c:v>
                </c:pt>
                <c:pt idx="256">
                  <c:v>-114.91914261196365</c:v>
                </c:pt>
                <c:pt idx="257">
                  <c:v>-114.49930751862904</c:v>
                </c:pt>
                <c:pt idx="258">
                  <c:v>-114.09250515815471</c:v>
                </c:pt>
                <c:pt idx="259">
                  <c:v>-113.698179700049</c:v>
                </c:pt>
                <c:pt idx="260">
                  <c:v>-113.31580381348732</c:v>
                </c:pt>
                <c:pt idx="261">
                  <c:v>-112.94487708069448</c:v>
                </c:pt>
                <c:pt idx="262">
                  <c:v>-112.58492449304596</c:v>
                </c:pt>
                <c:pt idx="263">
                  <c:v>-112.23549502777584</c:v>
                </c:pt>
                <c:pt idx="264">
                  <c:v>-111.89616030271317</c:v>
                </c:pt>
                <c:pt idx="265">
                  <c:v>-111.56651330614334</c:v>
                </c:pt>
                <c:pt idx="266">
                  <c:v>-111.24616719867431</c:v>
                </c:pt>
                <c:pt idx="267">
                  <c:v>-110.93475418386132</c:v>
                </c:pt>
                <c:pt idx="268">
                  <c:v>-110.63192444428483</c:v>
                </c:pt>
                <c:pt idx="269">
                  <c:v>-110.33734513977222</c:v>
                </c:pt>
                <c:pt idx="270">
                  <c:v>-110.05069946449088</c:v>
                </c:pt>
                <c:pt idx="271">
                  <c:v>-109.77168575970821</c:v>
                </c:pt>
                <c:pt idx="272">
                  <c:v>-109.50001667910607</c:v>
                </c:pt>
                <c:pt idx="273">
                  <c:v>-109.23541840364445</c:v>
                </c:pt>
                <c:pt idx="274">
                  <c:v>-108.97762990308954</c:v>
                </c:pt>
                <c:pt idx="275">
                  <c:v>-108.72640224144739</c:v>
                </c:pt>
                <c:pt idx="276">
                  <c:v>-108.48149792367565</c:v>
                </c:pt>
                <c:pt idx="277">
                  <c:v>-108.24269028117753</c:v>
                </c:pt>
                <c:pt idx="278">
                  <c:v>-108.0097628937143</c:v>
                </c:pt>
                <c:pt idx="279">
                  <c:v>-107.78250904550164</c:v>
                </c:pt>
                <c:pt idx="280">
                  <c:v>-107.56073121338214</c:v>
                </c:pt>
                <c:pt idx="281">
                  <c:v>-107.3442405850879</c:v>
                </c:pt>
                <c:pt idx="282">
                  <c:v>-107.13285660572571</c:v>
                </c:pt>
                <c:pt idx="283">
                  <c:v>-106.9264065507291</c:v>
                </c:pt>
                <c:pt idx="284">
                  <c:v>-106.72472512363001</c:v>
                </c:pt>
                <c:pt idx="285">
                  <c:v>-106.52765407710427</c:v>
                </c:pt>
                <c:pt idx="286">
                  <c:v>-106.33504185584219</c:v>
                </c:pt>
                <c:pt idx="287">
                  <c:v>-106.14674325988723</c:v>
                </c:pt>
                <c:pt idx="288">
                  <c:v>-105.96261912717125</c:v>
                </c:pt>
                <c:pt idx="289">
                  <c:v>-105.78253603405751</c:v>
                </c:pt>
                <c:pt idx="290">
                  <c:v>-105.60636601277702</c:v>
                </c:pt>
                <c:pt idx="291">
                  <c:v>-105.43398628471746</c:v>
                </c:pt>
                <c:pt idx="292">
                  <c:v>-105.26527900858972</c:v>
                </c:pt>
                <c:pt idx="293">
                  <c:v>-105.10013104256086</c:v>
                </c:pt>
                <c:pt idx="294">
                  <c:v>-104.93843371950078</c:v>
                </c:pt>
                <c:pt idx="295">
                  <c:v>-104.78008263454529</c:v>
                </c:pt>
                <c:pt idx="296">
                  <c:v>-104.62497744423005</c:v>
                </c:pt>
                <c:pt idx="297">
                  <c:v>-104.47302167649721</c:v>
                </c:pt>
                <c:pt idx="298">
                  <c:v>-104.32412255092265</c:v>
                </c:pt>
                <c:pt idx="299">
                  <c:v>-104.17819080855296</c:v>
                </c:pt>
                <c:pt idx="300">
                  <c:v>-104.03514055078071</c:v>
                </c:pt>
                <c:pt idx="301">
                  <c:v>-103.89488908672359</c:v>
                </c:pt>
                <c:pt idx="302">
                  <c:v>-103.75735678860651</c:v>
                </c:pt>
                <c:pt idx="303">
                  <c:v>-103.62246695467816</c:v>
                </c:pt>
                <c:pt idx="304">
                  <c:v>-103.49014567922322</c:v>
                </c:pt>
                <c:pt idx="305">
                  <c:v>-103.36032172925889</c:v>
                </c:pt>
                <c:pt idx="306">
                  <c:v>-103.23292642753061</c:v>
                </c:pt>
                <c:pt idx="307">
                  <c:v>-103.10789354144634</c:v>
                </c:pt>
                <c:pt idx="308">
                  <c:v>-102.98515917761029</c:v>
                </c:pt>
                <c:pt idx="309">
                  <c:v>-102.86466168163921</c:v>
                </c:pt>
                <c:pt idx="310">
                  <c:v>-102.74634154296407</c:v>
                </c:pt>
                <c:pt idx="311">
                  <c:v>-102.63014130433648</c:v>
                </c:pt>
                <c:pt idx="312">
                  <c:v>-102.51600547577948</c:v>
                </c:pt>
                <c:pt idx="313">
                  <c:v>-102.40388045273509</c:v>
                </c:pt>
                <c:pt idx="314">
                  <c:v>-102.29371443817884</c:v>
                </c:pt>
                <c:pt idx="315">
                  <c:v>-102.18545736848317</c:v>
                </c:pt>
                <c:pt idx="316">
                  <c:v>-102.07906084282634</c:v>
                </c:pt>
                <c:pt idx="317">
                  <c:v>-101.97447805595496</c:v>
                </c:pt>
                <c:pt idx="318">
                  <c:v>-101.87166373411983</c:v>
                </c:pt>
                <c:pt idx="319">
                  <c:v>-101.7705740740155</c:v>
                </c:pt>
                <c:pt idx="320">
                  <c:v>-101.67116668456372</c:v>
                </c:pt>
                <c:pt idx="321">
                  <c:v>-101.57340053139144</c:v>
                </c:pt>
                <c:pt idx="322">
                  <c:v>-101.47723588386073</c:v>
                </c:pt>
                <c:pt idx="323">
                  <c:v>-101.38263426451844</c:v>
                </c:pt>
                <c:pt idx="324">
                  <c:v>-101.28955840083987</c:v>
                </c:pt>
                <c:pt idx="325">
                  <c:v>-101.19797217914761</c:v>
                </c:pt>
                <c:pt idx="326">
                  <c:v>-101.10784060059522</c:v>
                </c:pt>
                <c:pt idx="327">
                  <c:v>-101.01912973910929</c:v>
                </c:pt>
                <c:pt idx="328">
                  <c:v>-100.93180670119176</c:v>
                </c:pt>
                <c:pt idx="329">
                  <c:v>-100.84583958748833</c:v>
                </c:pt>
                <c:pt idx="330">
                  <c:v>-100.76119745603472</c:v>
                </c:pt>
                <c:pt idx="331">
                  <c:v>-100.67785028709746</c:v>
                </c:pt>
                <c:pt idx="332">
                  <c:v>-100.59576894953015</c:v>
                </c:pt>
                <c:pt idx="333">
                  <c:v>-100.514925168571</c:v>
                </c:pt>
                <c:pt idx="334">
                  <c:v>-100.43529149501104</c:v>
                </c:pt>
                <c:pt idx="335">
                  <c:v>-100.35684127566658</c:v>
                </c:pt>
                <c:pt idx="336">
                  <c:v>-100.27954862509273</c:v>
                </c:pt>
                <c:pt idx="337">
                  <c:v>-100.20338839847885</c:v>
                </c:pt>
                <c:pt idx="338">
                  <c:v>-100.12833616566897</c:v>
                </c:pt>
                <c:pt idx="339">
                  <c:v>-100.05436818625452</c:v>
                </c:pt>
                <c:pt idx="340">
                  <c:v>-99.981461385688036</c:v>
                </c:pt>
                <c:pt idx="341">
                  <c:v>-99.90959333237079</c:v>
                </c:pt>
                <c:pt idx="342">
                  <c:v>-99.838742215668233</c:v>
                </c:pt>
                <c:pt idx="343">
                  <c:v>-99.768886824810707</c:v>
                </c:pt>
                <c:pt idx="344">
                  <c:v>-99.70000652863871</c:v>
                </c:pt>
                <c:pt idx="345">
                  <c:v>-99.632081256153597</c:v>
                </c:pt>
                <c:pt idx="346">
                  <c:v>-99.565091477837484</c:v>
                </c:pt>
                <c:pt idx="347">
                  <c:v>-99.499018187707307</c:v>
                </c:pt>
                <c:pt idx="348">
                  <c:v>-99.433842886070138</c:v>
                </c:pt>
                <c:pt idx="349">
                  <c:v>-99.3695475629481</c:v>
                </c:pt>
                <c:pt idx="350">
                  <c:v>-99.306114682143388</c:v>
                </c:pt>
                <c:pt idx="351">
                  <c:v>-99.24352716591504</c:v>
                </c:pt>
                <c:pt idx="352">
                  <c:v>-99.181768380240328</c:v>
                </c:pt>
                <c:pt idx="353">
                  <c:v>-99.120822120635225</c:v>
                </c:pt>
                <c:pt idx="354">
                  <c:v>-99.060672598509967</c:v>
                </c:pt>
                <c:pt idx="355">
                  <c:v>-99.001304428036121</c:v>
                </c:pt>
                <c:pt idx="356">
                  <c:v>-98.9427026135034</c:v>
                </c:pt>
                <c:pt idx="357">
                  <c:v>-98.884852537145193</c:v>
                </c:pt>
                <c:pt idx="358">
                  <c:v>-98.827739947412823</c:v>
                </c:pt>
                <c:pt idx="359">
                  <c:v>-98.771350947679764</c:v>
                </c:pt>
                <c:pt idx="360">
                  <c:v>-98.715671985357361</c:v>
                </c:pt>
                <c:pt idx="361">
                  <c:v>-98.660689841405215</c:v>
                </c:pt>
                <c:pt idx="362">
                  <c:v>-98.606391620219469</c:v>
                </c:pt>
                <c:pt idx="363">
                  <c:v>-98.552764739883486</c:v>
                </c:pt>
                <c:pt idx="364">
                  <c:v>-98.499796922766294</c:v>
                </c:pt>
                <c:pt idx="365">
                  <c:v>-98.447476186453756</c:v>
                </c:pt>
                <c:pt idx="366">
                  <c:v>-98.395790834999943</c:v>
                </c:pt>
                <c:pt idx="367">
                  <c:v>-98.344729450484877</c:v>
                </c:pt>
                <c:pt idx="368">
                  <c:v>-98.294280884866737</c:v>
                </c:pt>
                <c:pt idx="369">
                  <c:v>-98.244434252116619</c:v>
                </c:pt>
                <c:pt idx="370">
                  <c:v>-98.195178920624556</c:v>
                </c:pt>
                <c:pt idx="371">
                  <c:v>-98.146504505866062</c:v>
                </c:pt>
                <c:pt idx="372">
                  <c:v>-98.098400863318929</c:v>
                </c:pt>
                <c:pt idx="373">
                  <c:v>-98.050858081620447</c:v>
                </c:pt>
                <c:pt idx="374">
                  <c:v>-98.003866475955505</c:v>
                </c:pt>
                <c:pt idx="375">
                  <c:v>-97.957416581666976</c:v>
                </c:pt>
                <c:pt idx="376">
                  <c:v>-97.911499148079315</c:v>
                </c:pt>
                <c:pt idx="377">
                  <c:v>-97.866105132527665</c:v>
                </c:pt>
                <c:pt idx="378">
                  <c:v>-97.821225694584101</c:v>
                </c:pt>
                <c:pt idx="379">
                  <c:v>-97.776852190473818</c:v>
                </c:pt>
                <c:pt idx="380">
                  <c:v>-97.732976167674252</c:v>
                </c:pt>
                <c:pt idx="381">
                  <c:v>-97.689589359689677</c:v>
                </c:pt>
                <c:pt idx="382">
                  <c:v>-97.646683680995224</c:v>
                </c:pt>
                <c:pt idx="383">
                  <c:v>-97.604251222143589</c:v>
                </c:pt>
                <c:pt idx="384">
                  <c:v>-97.562284245028962</c:v>
                </c:pt>
                <c:pt idx="385">
                  <c:v>-97.520775178301562</c:v>
                </c:pt>
                <c:pt idx="386">
                  <c:v>-97.479716612928001</c:v>
                </c:pt>
                <c:pt idx="387">
                  <c:v>-97.439101297891725</c:v>
                </c:pt>
                <c:pt idx="388">
                  <c:v>-97.398922136028474</c:v>
                </c:pt>
                <c:pt idx="389">
                  <c:v>-97.359172179992086</c:v>
                </c:pt>
                <c:pt idx="390">
                  <c:v>-97.319844628345578</c:v>
                </c:pt>
                <c:pt idx="391">
                  <c:v>-97.280932821773462</c:v>
                </c:pt>
                <c:pt idx="392">
                  <c:v>-97.242430239410496</c:v>
                </c:pt>
                <c:pt idx="393">
                  <c:v>-97.204330495283187</c:v>
                </c:pt>
                <c:pt idx="394">
                  <c:v>-97.166627334859612</c:v>
                </c:pt>
                <c:pt idx="395">
                  <c:v>-97.129314631704176</c:v>
                </c:pt>
                <c:pt idx="396">
                  <c:v>-97.092386384233365</c:v>
                </c:pt>
                <c:pt idx="397">
                  <c:v>-97.05583671256889</c:v>
                </c:pt>
                <c:pt idx="398">
                  <c:v>-97.01965985548533</c:v>
                </c:pt>
                <c:pt idx="399">
                  <c:v>-96.983850167448182</c:v>
                </c:pt>
                <c:pt idx="400">
                  <c:v>-96.948402115740251</c:v>
                </c:pt>
                <c:pt idx="401">
                  <c:v>-96.913310277672309</c:v>
                </c:pt>
                <c:pt idx="402">
                  <c:v>-96.878569337875973</c:v>
                </c:pt>
                <c:pt idx="403">
                  <c:v>-96.844174085675647</c:v>
                </c:pt>
                <c:pt idx="404">
                  <c:v>-96.810119412536707</c:v>
                </c:pt>
                <c:pt idx="405">
                  <c:v>-96.776400309587785</c:v>
                </c:pt>
                <c:pt idx="406">
                  <c:v>-96.743011865214456</c:v>
                </c:pt>
                <c:pt idx="407">
                  <c:v>-96.70994926272175</c:v>
                </c:pt>
                <c:pt idx="408">
                  <c:v>-96.67720777806359</c:v>
                </c:pt>
                <c:pt idx="409">
                  <c:v>-96.644782777636792</c:v>
                </c:pt>
                <c:pt idx="410">
                  <c:v>-96.612669716137248</c:v>
                </c:pt>
                <c:pt idx="411">
                  <c:v>-96.58086413447684</c:v>
                </c:pt>
                <c:pt idx="412">
                  <c:v>-96.549361657758439</c:v>
                </c:pt>
                <c:pt idx="413">
                  <c:v>-96.518157993307739</c:v>
                </c:pt>
                <c:pt idx="414">
                  <c:v>-96.487248928759442</c:v>
                </c:pt>
                <c:pt idx="415">
                  <c:v>-96.456630330196745</c:v>
                </c:pt>
                <c:pt idx="416">
                  <c:v>-96.426298140341785</c:v>
                </c:pt>
                <c:pt idx="417">
                  <c:v>-96.396248376795938</c:v>
                </c:pt>
                <c:pt idx="418">
                  <c:v>-96.366477130327922</c:v>
                </c:pt>
                <c:pt idx="419">
                  <c:v>-96.336980563208698</c:v>
                </c:pt>
                <c:pt idx="420">
                  <c:v>-96.307754907591203</c:v>
                </c:pt>
                <c:pt idx="421">
                  <c:v>-96.278796463933986</c:v>
                </c:pt>
                <c:pt idx="422">
                  <c:v>-96.25010159946676</c:v>
                </c:pt>
                <c:pt idx="423">
                  <c:v>-96.221666746697494</c:v>
                </c:pt>
                <c:pt idx="424">
                  <c:v>-96.193488401958561</c:v>
                </c:pt>
                <c:pt idx="425">
                  <c:v>-96.165563123992087</c:v>
                </c:pt>
                <c:pt idx="426">
                  <c:v>-96.137887532571952</c:v>
                </c:pt>
                <c:pt idx="427">
                  <c:v>-96.110458307162574</c:v>
                </c:pt>
                <c:pt idx="428">
                  <c:v>-96.083272185612259</c:v>
                </c:pt>
                <c:pt idx="429">
                  <c:v>-96.056325962880891</c:v>
                </c:pt>
                <c:pt idx="430">
                  <c:v>-96.029616489800574</c:v>
                </c:pt>
                <c:pt idx="431">
                  <c:v>-96.003140671868167</c:v>
                </c:pt>
                <c:pt idx="432">
                  <c:v>-95.976895468068932</c:v>
                </c:pt>
                <c:pt idx="433">
                  <c:v>-95.950877889730435</c:v>
                </c:pt>
                <c:pt idx="434">
                  <c:v>-95.925084999405328</c:v>
                </c:pt>
                <c:pt idx="435">
                  <c:v>-95.899513909782925</c:v>
                </c:pt>
                <c:pt idx="436">
                  <c:v>-95.874161782628065</c:v>
                </c:pt>
                <c:pt idx="437">
                  <c:v>-95.8490258277468</c:v>
                </c:pt>
                <c:pt idx="438">
                  <c:v>-95.824103301977857</c:v>
                </c:pt>
                <c:pt idx="439">
                  <c:v>-95.799391508209609</c:v>
                </c:pt>
                <c:pt idx="440">
                  <c:v>-95.774887794421232</c:v>
                </c:pt>
                <c:pt idx="441">
                  <c:v>-95.750589552747826</c:v>
                </c:pt>
                <c:pt idx="442">
                  <c:v>-95.72649421856849</c:v>
                </c:pt>
                <c:pt idx="443">
                  <c:v>-95.702599269616812</c:v>
                </c:pt>
                <c:pt idx="444">
                  <c:v>-95.678902225113234</c:v>
                </c:pt>
                <c:pt idx="445">
                  <c:v>-95.655400644918615</c:v>
                </c:pt>
                <c:pt idx="446">
                  <c:v>-95.632092128708152</c:v>
                </c:pt>
                <c:pt idx="447">
                  <c:v>-95.608974315165597</c:v>
                </c:pt>
                <c:pt idx="448">
                  <c:v>-95.586044881196543</c:v>
                </c:pt>
                <c:pt idx="449">
                  <c:v>-95.563301541161024</c:v>
                </c:pt>
                <c:pt idx="450">
                  <c:v>-95.540742046124024</c:v>
                </c:pt>
                <c:pt idx="451">
                  <c:v>-95.518364183124177</c:v>
                </c:pt>
                <c:pt idx="452">
                  <c:v>-95.496165774459811</c:v>
                </c:pt>
                <c:pt idx="453">
                  <c:v>-95.4741446769915</c:v>
                </c:pt>
                <c:pt idx="454">
                  <c:v>-95.45229878146165</c:v>
                </c:pt>
                <c:pt idx="455">
                  <c:v>-95.430626011829503</c:v>
                </c:pt>
                <c:pt idx="456">
                  <c:v>-95.409124324621985</c:v>
                </c:pt>
                <c:pt idx="457">
                  <c:v>-95.387791708299545</c:v>
                </c:pt>
                <c:pt idx="458">
                  <c:v>-95.36662618263685</c:v>
                </c:pt>
                <c:pt idx="459">
                  <c:v>-95.345625798117638</c:v>
                </c:pt>
                <c:pt idx="460">
                  <c:v>-95.324788635343495</c:v>
                </c:pt>
                <c:pt idx="461">
                  <c:v>-95.304112804456395</c:v>
                </c:pt>
                <c:pt idx="462">
                  <c:v>-95.283596444574229</c:v>
                </c:pt>
                <c:pt idx="463">
                  <c:v>-95.263237723239328</c:v>
                </c:pt>
                <c:pt idx="464">
                  <c:v>-95.243034835879257</c:v>
                </c:pt>
                <c:pt idx="465">
                  <c:v>-95.222986005280177</c:v>
                </c:pt>
                <c:pt idx="466">
                  <c:v>-95.203089481071871</c:v>
                </c:pt>
                <c:pt idx="467">
                  <c:v>-95.18334353922404</c:v>
                </c:pt>
                <c:pt idx="468">
                  <c:v>-95.163746481554483</c:v>
                </c:pt>
                <c:pt idx="469">
                  <c:v>-95.144296635247613</c:v>
                </c:pt>
                <c:pt idx="470">
                  <c:v>-95.124992352384055</c:v>
                </c:pt>
                <c:pt idx="471">
                  <c:v>-95.105832009480508</c:v>
                </c:pt>
                <c:pt idx="472">
                  <c:v>-95.086814007039763</c:v>
                </c:pt>
                <c:pt idx="473">
                  <c:v>-95.067936769110489</c:v>
                </c:pt>
                <c:pt idx="474">
                  <c:v>-95.049198742856831</c:v>
                </c:pt>
                <c:pt idx="475">
                  <c:v>-95.030598398137457</c:v>
                </c:pt>
                <c:pt idx="476">
                  <c:v>-95.012134227093298</c:v>
                </c:pt>
                <c:pt idx="477">
                  <c:v>-94.993804743744747</c:v>
                </c:pt>
                <c:pt idx="478">
                  <c:v>-94.975608483597199</c:v>
                </c:pt>
                <c:pt idx="479">
                  <c:v>-94.957544003255251</c:v>
                </c:pt>
                <c:pt idx="480">
                  <c:v>-94.939609880045083</c:v>
                </c:pt>
                <c:pt idx="481">
                  <c:v>-94.92180471164481</c:v>
                </c:pt>
                <c:pt idx="482">
                  <c:v>-94.904127115723057</c:v>
                </c:pt>
                <c:pt idx="483">
                  <c:v>-94.886575729584578</c:v>
                </c:pt>
                <c:pt idx="484">
                  <c:v>-94.869149209824045</c:v>
                </c:pt>
                <c:pt idx="485">
                  <c:v>-94.851846231986585</c:v>
                </c:pt>
                <c:pt idx="486">
                  <c:v>-94.834665490235736</c:v>
                </c:pt>
                <c:pt idx="487">
                  <c:v>-94.817605697028242</c:v>
                </c:pt>
                <c:pt idx="488">
                  <c:v>-94.800665582795602</c:v>
                </c:pt>
                <c:pt idx="489">
                  <c:v>-94.783843895632373</c:v>
                </c:pt>
                <c:pt idx="490">
                  <c:v>-94.767139400990672</c:v>
                </c:pt>
                <c:pt idx="491">
                  <c:v>-94.750550881381244</c:v>
                </c:pt>
                <c:pt idx="492">
                  <c:v>-94.734077136080472</c:v>
                </c:pt>
                <c:pt idx="493">
                  <c:v>-94.717716980843548</c:v>
                </c:pt>
                <c:pt idx="494">
                  <c:v>-94.701469247623251</c:v>
                </c:pt>
                <c:pt idx="495">
                  <c:v>-94.685332784294914</c:v>
                </c:pt>
                <c:pt idx="496">
                  <c:v>-94.669306454386401</c:v>
                </c:pt>
                <c:pt idx="497">
                  <c:v>-94.653389136813871</c:v>
                </c:pt>
                <c:pt idx="498">
                  <c:v>-94.637579725622942</c:v>
                </c:pt>
                <c:pt idx="499">
                  <c:v>-94.621877129734713</c:v>
                </c:pt>
                <c:pt idx="500">
                  <c:v>-94.606280272697305</c:v>
                </c:pt>
                <c:pt idx="501">
                  <c:v>-94.590788092441912</c:v>
                </c:pt>
                <c:pt idx="502">
                  <c:v>-94.575399541044064</c:v>
                </c:pt>
                <c:pt idx="503">
                  <c:v>-94.560113584489315</c:v>
                </c:pt>
                <c:pt idx="504">
                  <c:v>-94.544929202443981</c:v>
                </c:pt>
                <c:pt idx="505">
                  <c:v>-94.529845388029855</c:v>
                </c:pt>
                <c:pt idx="506">
                  <c:v>-94.51486114760381</c:v>
                </c:pt>
                <c:pt idx="507">
                  <c:v>-94.49997550054141</c:v>
                </c:pt>
                <c:pt idx="508">
                  <c:v>-94.48518747902493</c:v>
                </c:pt>
                <c:pt idx="509">
                  <c:v>-94.470496127835389</c:v>
                </c:pt>
                <c:pt idx="510">
                  <c:v>-94.45590050414863</c:v>
                </c:pt>
                <c:pt idx="511">
                  <c:v>-94.441399677335411</c:v>
                </c:pt>
                <c:pt idx="512">
                  <c:v>-94.4269927287652</c:v>
                </c:pt>
                <c:pt idx="513">
                  <c:v>-94.412678751613939</c:v>
                </c:pt>
                <c:pt idx="514">
                  <c:v>-94.398456850675274</c:v>
                </c:pt>
                <c:pt idx="515">
                  <c:v>-94.384326142175553</c:v>
                </c:pt>
                <c:pt idx="516">
                  <c:v>-94.370285753592228</c:v>
                </c:pt>
                <c:pt idx="517">
                  <c:v>-94.356334823475763</c:v>
                </c:pt>
                <c:pt idx="518">
                  <c:v>-94.342472501274912</c:v>
                </c:pt>
                <c:pt idx="519">
                  <c:v>-94.328697947165224</c:v>
                </c:pt>
                <c:pt idx="520">
                  <c:v>-94.315010331880856</c:v>
                </c:pt>
                <c:pt idx="521">
                  <c:v>-94.301408836549442</c:v>
                </c:pt>
                <c:pt idx="522">
                  <c:v>-94.287892652530132</c:v>
                </c:pt>
                <c:pt idx="523">
                  <c:v>-94.274460981254563</c:v>
                </c:pt>
                <c:pt idx="524">
                  <c:v>-94.261113034070902</c:v>
                </c:pt>
                <c:pt idx="525">
                  <c:v>-94.247848032090616</c:v>
                </c:pt>
                <c:pt idx="526">
                  <c:v>-94.234665206038201</c:v>
                </c:pt>
                <c:pt idx="527">
                  <c:v>-94.221563796103496</c:v>
                </c:pt>
                <c:pt idx="528">
                  <c:v>-94.208543051797079</c:v>
                </c:pt>
                <c:pt idx="529">
                  <c:v>-94.19560223180774</c:v>
                </c:pt>
                <c:pt idx="530">
                  <c:v>-94.18274060386311</c:v>
                </c:pt>
                <c:pt idx="531">
                  <c:v>-94.169957444592441</c:v>
                </c:pt>
                <c:pt idx="532">
                  <c:v>-94.15725203939212</c:v>
                </c:pt>
                <c:pt idx="533">
                  <c:v>-94.144623682293314</c:v>
                </c:pt>
                <c:pt idx="534">
                  <c:v>-94.132071675832364</c:v>
                </c:pt>
                <c:pt idx="535">
                  <c:v>-94.119595330923246</c:v>
                </c:pt>
                <c:pt idx="536">
                  <c:v>-94.107193966732368</c:v>
                </c:pt>
                <c:pt idx="537">
                  <c:v>-94.094866910555609</c:v>
                </c:pt>
                <c:pt idx="538">
                  <c:v>-94.082613497697722</c:v>
                </c:pt>
                <c:pt idx="539">
                  <c:v>-94.070433071353435</c:v>
                </c:pt>
                <c:pt idx="540">
                  <c:v>-94.058324982491229</c:v>
                </c:pt>
                <c:pt idx="541">
                  <c:v>-94.046288589738666</c:v>
                </c:pt>
                <c:pt idx="542">
                  <c:v>-94.034323259269968</c:v>
                </c:pt>
                <c:pt idx="543">
                  <c:v>-94.022428364695713</c:v>
                </c:pt>
                <c:pt idx="544">
                  <c:v>-94.010603286953994</c:v>
                </c:pt>
                <c:pt idx="545">
                  <c:v>-93.998847414203979</c:v>
                </c:pt>
                <c:pt idx="546">
                  <c:v>-93.98716014172112</c:v>
                </c:pt>
                <c:pt idx="547">
                  <c:v>-93.975540871794024</c:v>
                </c:pt>
                <c:pt idx="548">
                  <c:v>-93.963989013623319</c:v>
                </c:pt>
                <c:pt idx="549">
                  <c:v>-93.952503983222314</c:v>
                </c:pt>
                <c:pt idx="550">
                  <c:v>-93.941085203319005</c:v>
                </c:pt>
                <c:pt idx="551">
                  <c:v>-93.929732103260207</c:v>
                </c:pt>
                <c:pt idx="552">
                  <c:v>-93.918444118917066</c:v>
                </c:pt>
                <c:pt idx="553">
                  <c:v>-93.907220692592148</c:v>
                </c:pt>
                <c:pt idx="554">
                  <c:v>-93.896061272928364</c:v>
                </c:pt>
                <c:pt idx="555">
                  <c:v>-93.88496531481907</c:v>
                </c:pt>
                <c:pt idx="556">
                  <c:v>-93.873932279320087</c:v>
                </c:pt>
                <c:pt idx="557">
                  <c:v>-93.862961633562904</c:v>
                </c:pt>
                <c:pt idx="558">
                  <c:v>-93.85205285066931</c:v>
                </c:pt>
                <c:pt idx="559">
                  <c:v>-93.841205409667907</c:v>
                </c:pt>
                <c:pt idx="560">
                  <c:v>-93.830418795411362</c:v>
                </c:pt>
                <c:pt idx="561">
                  <c:v>-93.819692498495584</c:v>
                </c:pt>
                <c:pt idx="562">
                  <c:v>-93.809026015179953</c:v>
                </c:pt>
                <c:pt idx="563">
                  <c:v>-93.798418847309009</c:v>
                </c:pt>
                <c:pt idx="564">
                  <c:v>-93.787870502235293</c:v>
                </c:pt>
                <c:pt idx="565">
                  <c:v>-93.777380492743603</c:v>
                </c:pt>
                <c:pt idx="566">
                  <c:v>-93.766948336976469</c:v>
                </c:pt>
                <c:pt idx="567">
                  <c:v>-93.756573558360756</c:v>
                </c:pt>
                <c:pt idx="568">
                  <c:v>-93.746255685535559</c:v>
                </c:pt>
                <c:pt idx="569">
                  <c:v>-93.735994252281259</c:v>
                </c:pt>
                <c:pt idx="570">
                  <c:v>-93.725788797449681</c:v>
                </c:pt>
                <c:pt idx="571">
                  <c:v>-93.715638864895496</c:v>
                </c:pt>
                <c:pt idx="572">
                  <c:v>-93.705544003408576</c:v>
                </c:pt>
                <c:pt idx="573">
                  <c:v>-93.695503766647619</c:v>
                </c:pt>
                <c:pt idx="574">
                  <c:v>-93.685517713074674</c:v>
                </c:pt>
                <c:pt idx="575">
                  <c:v>-93.675585405890772</c:v>
                </c:pt>
                <c:pt idx="576">
                  <c:v>-93.665706412972796</c:v>
                </c:pt>
                <c:pt idx="577">
                  <c:v>-93.655880306810886</c:v>
                </c:pt>
                <c:pt idx="578">
                  <c:v>-93.646106664447359</c:v>
                </c:pt>
                <c:pt idx="579">
                  <c:v>-93.636385067416242</c:v>
                </c:pt>
                <c:pt idx="580">
                  <c:v>-93.626715101683899</c:v>
                </c:pt>
                <c:pt idx="581">
                  <c:v>-93.617096357590711</c:v>
                </c:pt>
                <c:pt idx="582">
                  <c:v>-93.607528429793376</c:v>
                </c:pt>
                <c:pt idx="583">
                  <c:v>-93.598010917208327</c:v>
                </c:pt>
                <c:pt idx="584">
                  <c:v>-93.58854342295615</c:v>
                </c:pt>
                <c:pt idx="585">
                  <c:v>-93.579125554306472</c:v>
                </c:pt>
                <c:pt idx="586">
                  <c:v>-93.56975692262418</c:v>
                </c:pt>
                <c:pt idx="587">
                  <c:v>-93.560437143316136</c:v>
                </c:pt>
                <c:pt idx="588">
                  <c:v>-93.55116583577886</c:v>
                </c:pt>
                <c:pt idx="589">
                  <c:v>-93.541942623346955</c:v>
                </c:pt>
                <c:pt idx="590">
                  <c:v>-93.532767133242515</c:v>
                </c:pt>
                <c:pt idx="591">
                  <c:v>-93.523638996524994</c:v>
                </c:pt>
                <c:pt idx="592">
                  <c:v>-93.514557848042131</c:v>
                </c:pt>
                <c:pt idx="593">
                  <c:v>-93.50552332638145</c:v>
                </c:pt>
                <c:pt idx="594">
                  <c:v>-93.49653507382267</c:v>
                </c:pt>
                <c:pt idx="595">
                  <c:v>-93.48759273629058</c:v>
                </c:pt>
                <c:pt idx="596">
                  <c:v>-93.478695963308923</c:v>
                </c:pt>
                <c:pt idx="597">
                  <c:v>-93.469844407954852</c:v>
                </c:pt>
                <c:pt idx="598">
                  <c:v>-93.461037726813899</c:v>
                </c:pt>
                <c:pt idx="599">
                  <c:v>-93.452275579936014</c:v>
                </c:pt>
                <c:pt idx="600">
                  <c:v>-93.443557630791872</c:v>
                </c:pt>
                <c:pt idx="601">
                  <c:v>-93.434883546230083</c:v>
                </c:pt>
                <c:pt idx="602">
                  <c:v>-93.426252996435011</c:v>
                </c:pt>
                <c:pt idx="603">
                  <c:v>-93.417665654885084</c:v>
                </c:pt>
                <c:pt idx="604">
                  <c:v>-93.409121198311908</c:v>
                </c:pt>
                <c:pt idx="605">
                  <c:v>-93.400619306659777</c:v>
                </c:pt>
                <c:pt idx="606">
                  <c:v>-93.023550384901881</c:v>
                </c:pt>
                <c:pt idx="607">
                  <c:v>-92.721696370659643</c:v>
                </c:pt>
                <c:pt idx="608">
                  <c:v>-92.474606618166931</c:v>
                </c:pt>
                <c:pt idx="609">
                  <c:v>-92.268624587149162</c:v>
                </c:pt>
                <c:pt idx="610">
                  <c:v>-92.094284008650433</c:v>
                </c:pt>
                <c:pt idx="611">
                  <c:v>-91.94481684600467</c:v>
                </c:pt>
                <c:pt idx="612">
                  <c:v>-91.815256191113789</c:v>
                </c:pt>
                <c:pt idx="613">
                  <c:v>-91.701874661560467</c:v>
                </c:pt>
                <c:pt idx="614">
                  <c:v>-91.601820542016796</c:v>
                </c:pt>
                <c:pt idx="615">
                  <c:v>-91.512874959874992</c:v>
                </c:pt>
                <c:pt idx="616">
                  <c:v>-91.433285601094639</c:v>
                </c:pt>
                <c:pt idx="617">
                  <c:v>-91.361650229340341</c:v>
                </c:pt>
                <c:pt idx="618">
                  <c:v>-91.334961392545836</c:v>
                </c:pt>
                <c:pt idx="619">
                  <c:v>-91.309298478742974</c:v>
                </c:pt>
                <c:pt idx="620">
                  <c:v>-91.284603458657017</c:v>
                </c:pt>
                <c:pt idx="621">
                  <c:v>-91.260822597713684</c:v>
                </c:pt>
                <c:pt idx="622">
                  <c:v>-91.237906066011078</c:v>
                </c:pt>
                <c:pt idx="623">
                  <c:v>-91.215807590031829</c:v>
                </c:pt>
                <c:pt idx="624">
                  <c:v>-91.194484140975902</c:v>
                </c:pt>
                <c:pt idx="625">
                  <c:v>-91.173895655300086</c:v>
                </c:pt>
                <c:pt idx="626">
                  <c:v>-91.154004783647778</c:v>
                </c:pt>
                <c:pt idx="627">
                  <c:v>-91.134776664859956</c:v>
                </c:pt>
                <c:pt idx="628">
                  <c:v>-91.116178722193609</c:v>
                </c:pt>
                <c:pt idx="629">
                  <c:v>-91.098180479241847</c:v>
                </c:pt>
                <c:pt idx="630">
                  <c:v>-91.080753393369633</c:v>
                </c:pt>
                <c:pt idx="631">
                  <c:v>-91.063870704751238</c:v>
                </c:pt>
                <c:pt idx="632">
                  <c:v>-91.047507299330732</c:v>
                </c:pt>
                <c:pt idx="633">
                  <c:v>-91.031639584230177</c:v>
                </c:pt>
                <c:pt idx="634">
                  <c:v>-91.016245374306351</c:v>
                </c:pt>
                <c:pt idx="635">
                  <c:v>-91.001303788709635</c:v>
                </c:pt>
                <c:pt idx="636">
                  <c:v>-90.986795156430588</c:v>
                </c:pt>
                <c:pt idx="637">
                  <c:v>-90.972700929936863</c:v>
                </c:pt>
                <c:pt idx="638">
                  <c:v>-90.95900360610311</c:v>
                </c:pt>
                <c:pt idx="639">
                  <c:v>-90.945686653725417</c:v>
                </c:pt>
                <c:pt idx="640">
                  <c:v>-90.932734446989627</c:v>
                </c:pt>
                <c:pt idx="641">
                  <c:v>-90.9201322043304</c:v>
                </c:pt>
                <c:pt idx="642">
                  <c:v>-90.907865932178495</c:v>
                </c:pt>
                <c:pt idx="643">
                  <c:v>-90.895922373146377</c:v>
                </c:pt>
                <c:pt idx="644">
                  <c:v>-90.884288958248817</c:v>
                </c:pt>
                <c:pt idx="645">
                  <c:v>-90.872953762796513</c:v>
                </c:pt>
                <c:pt idx="646">
                  <c:v>-90.861905465637903</c:v>
                </c:pt>
                <c:pt idx="647">
                  <c:v>-90.851133311455953</c:v>
                </c:pt>
                <c:pt idx="648">
                  <c:v>-90.840627075856418</c:v>
                </c:pt>
                <c:pt idx="649">
                  <c:v>-90.830377033008958</c:v>
                </c:pt>
                <c:pt idx="650">
                  <c:v>-90.820373925626626</c:v>
                </c:pt>
                <c:pt idx="651">
                  <c:v>-90.810608937088261</c:v>
                </c:pt>
                <c:pt idx="652">
                  <c:v>-90.801073665527994</c:v>
                </c:pt>
                <c:pt idx="653">
                  <c:v>-90.791760099731334</c:v>
                </c:pt>
                <c:pt idx="654">
                  <c:v>-90.782660596693162</c:v>
                </c:pt>
                <c:pt idx="655">
                  <c:v>-90.773767860704723</c:v>
                </c:pt>
                <c:pt idx="656">
                  <c:v>-90.765074923850193</c:v>
                </c:pt>
                <c:pt idx="657">
                  <c:v>-90.756575127802776</c:v>
                </c:pt>
                <c:pt idx="658">
                  <c:v>-90.748262106820533</c:v>
                </c:pt>
                <c:pt idx="659">
                  <c:v>-90.740129771850803</c:v>
                </c:pt>
                <c:pt idx="660">
                  <c:v>-90.732172295659439</c:v>
                </c:pt>
                <c:pt idx="661">
                  <c:v>-90.724384098909326</c:v>
                </c:pt>
                <c:pt idx="662">
                  <c:v>-90.716759837117422</c:v>
                </c:pt>
                <c:pt idx="663">
                  <c:v>-90.709294388426812</c:v>
                </c:pt>
                <c:pt idx="664">
                  <c:v>-90.70198284213474</c:v>
                </c:pt>
                <c:pt idx="665">
                  <c:v>-90.694820487923053</c:v>
                </c:pt>
                <c:pt idx="666">
                  <c:v>-90.687802805740674</c:v>
                </c:pt>
                <c:pt idx="667">
                  <c:v>-90.68092545629321</c:v>
                </c:pt>
              </c:numCache>
            </c:numRef>
          </c:yVal>
          <c:smooth val="0"/>
          <c:extLst>
            <c:ext xmlns:c16="http://schemas.microsoft.com/office/drawing/2014/chart" uri="{C3380CC4-5D6E-409C-BE32-E72D297353CC}">
              <c16:uniqueId val="{00000001-2DBB-4F72-B5DF-A436F54D08AE}"/>
            </c:ext>
          </c:extLst>
        </c:ser>
        <c:dLbls>
          <c:showLegendKey val="0"/>
          <c:showVal val="0"/>
          <c:showCatName val="0"/>
          <c:showSerName val="0"/>
          <c:showPercent val="0"/>
          <c:showBubbleSize val="0"/>
        </c:dLbls>
        <c:axId val="176900736"/>
        <c:axId val="176902528"/>
      </c:scatterChart>
      <c:valAx>
        <c:axId val="176896640"/>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8816"/>
        <c:crossesAt val="-120"/>
        <c:crossBetween val="midCat"/>
      </c:valAx>
      <c:valAx>
        <c:axId val="1768988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896640"/>
        <c:crosses val="autoZero"/>
        <c:crossBetween val="midCat"/>
      </c:valAx>
      <c:valAx>
        <c:axId val="176900736"/>
        <c:scaling>
          <c:logBase val="10"/>
          <c:orientation val="minMax"/>
        </c:scaling>
        <c:delete val="1"/>
        <c:axPos val="b"/>
        <c:numFmt formatCode="General" sourceLinked="1"/>
        <c:majorTickMark val="out"/>
        <c:minorTickMark val="none"/>
        <c:tickLblPos val="none"/>
        <c:crossAx val="176902528"/>
        <c:crosses val="autoZero"/>
        <c:crossBetween val="midCat"/>
      </c:valAx>
      <c:valAx>
        <c:axId val="176902528"/>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00736"/>
        <c:crosses val="max"/>
        <c:crossBetween val="midCat"/>
      </c:valAx>
      <c:spPr>
        <a:noFill/>
        <a:ln w="12700">
          <a:solidFill>
            <a:srgbClr val="808080"/>
          </a:solidFill>
          <a:prstDash val="solid"/>
        </a:ln>
      </c:spPr>
    </c:plotArea>
    <c:legend>
      <c:legendPos val="r"/>
      <c:layout>
        <c:manualLayout>
          <c:xMode val="edge"/>
          <c:yMode val="edge"/>
          <c:x val="0.76630434782608692"/>
          <c:y val="1.2987012987012988E-2"/>
          <c:w val="0.21557971014492749"/>
          <c:h val="0.14545454545454545"/>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50" b="1" i="0" u="none" strike="noStrike" baseline="0">
                <a:solidFill>
                  <a:srgbClr val="000000"/>
                </a:solidFill>
                <a:latin typeface="Arial"/>
                <a:ea typeface="Arial"/>
                <a:cs typeface="Arial"/>
              </a:defRPr>
            </a:pPr>
            <a:r>
              <a:rPr lang="en-US"/>
              <a:t>FeedBack To Comp
5V Vin</a:t>
            </a:r>
          </a:p>
        </c:rich>
      </c:tx>
      <c:layout>
        <c:manualLayout>
          <c:xMode val="edge"/>
          <c:yMode val="edge"/>
          <c:x val="0.40036307961505191"/>
          <c:y val="3.3766233766233771E-2"/>
        </c:manualLayout>
      </c:layout>
      <c:overlay val="0"/>
      <c:spPr>
        <a:noFill/>
        <a:ln w="25400">
          <a:noFill/>
        </a:ln>
      </c:spPr>
    </c:title>
    <c:autoTitleDeleted val="0"/>
    <c:plotArea>
      <c:layout>
        <c:manualLayout>
          <c:layoutTarget val="inner"/>
          <c:xMode val="edge"/>
          <c:yMode val="edge"/>
          <c:x val="0.11594223410296738"/>
          <c:y val="0.20779247132770992"/>
          <c:w val="0.79166806723432415"/>
          <c:h val="0.60519557274195002"/>
        </c:manualLayout>
      </c:layout>
      <c:scatterChart>
        <c:scatterStyle val="smoothMarker"/>
        <c:varyColors val="0"/>
        <c:ser>
          <c:idx val="2"/>
          <c:order val="0"/>
          <c:tx>
            <c:v>Theoretical gain</c:v>
          </c:tx>
          <c:spPr>
            <a:ln w="38100">
              <a:solidFill>
                <a:srgbClr val="FF0000"/>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Calculations'!$BB$9:$BB$676</c:f>
              <c:numCache>
                <c:formatCode>General</c:formatCode>
                <c:ptCount val="668"/>
                <c:pt idx="0">
                  <c:v>60.673213560066365</c:v>
                </c:pt>
                <c:pt idx="1">
                  <c:v>56.563164785863663</c:v>
                </c:pt>
                <c:pt idx="2">
                  <c:v>53.51017627501119</c:v>
                </c:pt>
                <c:pt idx="3">
                  <c:v>51.188233078530033</c:v>
                </c:pt>
                <c:pt idx="4">
                  <c:v>49.334386281981523</c:v>
                </c:pt>
                <c:pt idx="5">
                  <c:v>47.797282035415208</c:v>
                </c:pt>
                <c:pt idx="6">
                  <c:v>46.486642523101374</c:v>
                </c:pt>
                <c:pt idx="7">
                  <c:v>45.345271266185819</c:v>
                </c:pt>
                <c:pt idx="8">
                  <c:v>44.334930964975356</c:v>
                </c:pt>
                <c:pt idx="9">
                  <c:v>43.428898823818443</c:v>
                </c:pt>
                <c:pt idx="10">
                  <c:v>37.437696860094789</c:v>
                </c:pt>
                <c:pt idx="11">
                  <c:v>33.921553930284681</c:v>
                </c:pt>
                <c:pt idx="12">
                  <c:v>31.425025324040821</c:v>
                </c:pt>
                <c:pt idx="13">
                  <c:v>29.488145535202097</c:v>
                </c:pt>
                <c:pt idx="14">
                  <c:v>27.905535613715955</c:v>
                </c:pt>
                <c:pt idx="15">
                  <c:v>26.56752194063877</c:v>
                </c:pt>
                <c:pt idx="16">
                  <c:v>25.40860105147943</c:v>
                </c:pt>
                <c:pt idx="17">
                  <c:v>24.386507002971342</c:v>
                </c:pt>
                <c:pt idx="18">
                  <c:v>23.472374270929208</c:v>
                </c:pt>
                <c:pt idx="19">
                  <c:v>17.466661698959488</c:v>
                </c:pt>
                <c:pt idx="20">
                  <c:v>13.969157065788769</c:v>
                </c:pt>
                <c:pt idx="21">
                  <c:v>11.504257180488683</c:v>
                </c:pt>
                <c:pt idx="22">
                  <c:v>9.609396145791969</c:v>
                </c:pt>
                <c:pt idx="23">
                  <c:v>8.0784353589728788</c:v>
                </c:pt>
                <c:pt idx="24">
                  <c:v>6.8013161036550578</c:v>
                </c:pt>
                <c:pt idx="25">
                  <c:v>5.7122453280661576</c:v>
                </c:pt>
                <c:pt idx="26">
                  <c:v>4.7686885565405674</c:v>
                </c:pt>
                <c:pt idx="27">
                  <c:v>3.9415090995906321</c:v>
                </c:pt>
                <c:pt idx="28">
                  <c:v>0.97671519454301792</c:v>
                </c:pt>
                <c:pt idx="29">
                  <c:v>-0.79894291677405738</c:v>
                </c:pt>
                <c:pt idx="30">
                  <c:v>-1.8894426857460667</c:v>
                </c:pt>
                <c:pt idx="31">
                  <c:v>-2.5396797701616665</c:v>
                </c:pt>
                <c:pt idx="32">
                  <c:v>-2.892556825062619</c:v>
                </c:pt>
                <c:pt idx="33">
                  <c:v>-3.03976478785669</c:v>
                </c:pt>
                <c:pt idx="34">
                  <c:v>-3.0431566004602462</c:v>
                </c:pt>
                <c:pt idx="35">
                  <c:v>-2.9456202729401628</c:v>
                </c:pt>
                <c:pt idx="36">
                  <c:v>-2.7773823294384941</c:v>
                </c:pt>
                <c:pt idx="37">
                  <c:v>-2.5599741194783658</c:v>
                </c:pt>
                <c:pt idx="38">
                  <c:v>-2.3088507656489665</c:v>
                </c:pt>
                <c:pt idx="39">
                  <c:v>-2.0351700252874441</c:v>
                </c:pt>
                <c:pt idx="40">
                  <c:v>-1.7470220076050655</c:v>
                </c:pt>
                <c:pt idx="41">
                  <c:v>-1.4502897288291647</c:v>
                </c:pt>
                <c:pt idx="42">
                  <c:v>-1.1492571269480121</c:v>
                </c:pt>
                <c:pt idx="43">
                  <c:v>-0.84704221750019104</c:v>
                </c:pt>
                <c:pt idx="44">
                  <c:v>-0.54590802837937891</c:v>
                </c:pt>
                <c:pt idx="45">
                  <c:v>-0.24748740325774729</c:v>
                </c:pt>
                <c:pt idx="46">
                  <c:v>4.7053355917956306E-2</c:v>
                </c:pt>
                <c:pt idx="47">
                  <c:v>0.33689459314090953</c:v>
                </c:pt>
                <c:pt idx="48">
                  <c:v>0.62147491496488105</c:v>
                </c:pt>
                <c:pt idx="49">
                  <c:v>0.9004256629502716</c:v>
                </c:pt>
                <c:pt idx="50">
                  <c:v>1.1735220738895265</c:v>
                </c:pt>
                <c:pt idx="51">
                  <c:v>1.4406467025854164</c:v>
                </c:pt>
                <c:pt idx="52">
                  <c:v>1.70176191081739</c:v>
                </c:pt>
                <c:pt idx="53">
                  <c:v>1.956889098455358</c:v>
                </c:pt>
                <c:pt idx="54">
                  <c:v>2.2060929760576848</c:v>
                </c:pt>
                <c:pt idx="55">
                  <c:v>2.449469626712629</c:v>
                </c:pt>
                <c:pt idx="56">
                  <c:v>2.6871374295452064</c:v>
                </c:pt>
                <c:pt idx="57">
                  <c:v>2.9192301538622201</c:v>
                </c:pt>
                <c:pt idx="58">
                  <c:v>3.1458917063225837</c:v>
                </c:pt>
                <c:pt idx="59">
                  <c:v>3.3672721414087938</c:v>
                </c:pt>
                <c:pt idx="60">
                  <c:v>3.5835246403330356</c:v>
                </c:pt>
                <c:pt idx="61">
                  <c:v>3.7948032342585991</c:v>
                </c:pt>
                <c:pt idx="62">
                  <c:v>4.001261100762501</c:v>
                </c:pt>
                <c:pt idx="63">
                  <c:v>4.2030493024385578</c:v>
                </c:pt>
                <c:pt idx="64">
                  <c:v>4.4003158668087377</c:v>
                </c:pt>
                <c:pt idx="65">
                  <c:v>4.5932051297349181</c:v>
                </c:pt>
                <c:pt idx="66">
                  <c:v>4.7818572821132772</c:v>
                </c:pt>
                <c:pt idx="67">
                  <c:v>4.9664080731263791</c:v>
                </c:pt>
                <c:pt idx="68">
                  <c:v>5.1469886337177773</c:v>
                </c:pt>
                <c:pt idx="69">
                  <c:v>5.3237253919828937</c:v>
                </c:pt>
                <c:pt idx="70">
                  <c:v>5.4967400583947086</c:v>
                </c:pt>
                <c:pt idx="71">
                  <c:v>5.6661496636241093</c:v>
                </c:pt>
                <c:pt idx="72">
                  <c:v>5.8320666354896753</c:v>
                </c:pt>
                <c:pt idx="73">
                  <c:v>5.9945989045234995</c:v>
                </c:pt>
                <c:pt idx="74">
                  <c:v>6.1538500299520464</c:v>
                </c:pt>
                <c:pt idx="75">
                  <c:v>6.3099193397063669</c:v>
                </c:pt>
                <c:pt idx="76">
                  <c:v>6.4629020795036922</c:v>
                </c:pt>
                <c:pt idx="77">
                  <c:v>6.6128895671656762</c:v>
                </c:pt>
                <c:pt idx="78">
                  <c:v>6.7599693492245025</c:v>
                </c:pt>
                <c:pt idx="79">
                  <c:v>6.9042253575653785</c:v>
                </c:pt>
                <c:pt idx="80">
                  <c:v>7.0457380644047971</c:v>
                </c:pt>
                <c:pt idx="81">
                  <c:v>7.1845846343368249</c:v>
                </c:pt>
                <c:pt idx="82">
                  <c:v>7.320839072521256</c:v>
                </c:pt>
                <c:pt idx="83">
                  <c:v>7.4545723683552563</c:v>
                </c:pt>
                <c:pt idx="84">
                  <c:v>7.5858526341802124</c:v>
                </c:pt>
                <c:pt idx="85">
                  <c:v>7.7147452387392992</c:v>
                </c:pt>
                <c:pt idx="86">
                  <c:v>7.8413129352288555</c:v>
                </c:pt>
                <c:pt idx="87">
                  <c:v>7.9656159838846721</c:v>
                </c:pt>
                <c:pt idx="88">
                  <c:v>8.0877122691196899</c:v>
                </c:pt>
                <c:pt idx="89">
                  <c:v>8.2076574112864087</c:v>
                </c:pt>
                <c:pt idx="90">
                  <c:v>8.3255048731795718</c:v>
                </c:pt>
                <c:pt idx="91">
                  <c:v>8.4413060614257756</c:v>
                </c:pt>
                <c:pt idx="92">
                  <c:v>8.5551104229281023</c:v>
                </c:pt>
                <c:pt idx="93">
                  <c:v>8.6669655365488012</c:v>
                </c:pt>
                <c:pt idx="94">
                  <c:v>8.7769172002218419</c:v>
                </c:pt>
                <c:pt idx="95">
                  <c:v>8.885009513692065</c:v>
                </c:pt>
                <c:pt idx="96">
                  <c:v>8.9912849570787046</c:v>
                </c:pt>
                <c:pt idx="97">
                  <c:v>9.0957844654600191</c:v>
                </c:pt>
                <c:pt idx="98">
                  <c:v>9.1985474996724257</c:v>
                </c:pt>
                <c:pt idx="99">
                  <c:v>9.2996121135127758</c:v>
                </c:pt>
                <c:pt idx="100">
                  <c:v>9.3990150175269882</c:v>
                </c:pt>
                <c:pt idx="101">
                  <c:v>9.4967916395613816</c:v>
                </c:pt>
                <c:pt idx="102">
                  <c:v>9.5929761822464883</c:v>
                </c:pt>
                <c:pt idx="103">
                  <c:v>9.6876016775756817</c:v>
                </c:pt>
                <c:pt idx="104">
                  <c:v>9.7807000387335989</c:v>
                </c:pt>
                <c:pt idx="105">
                  <c:v>9.8723021093221277</c:v>
                </c:pt>
                <c:pt idx="106">
                  <c:v>9.9624377101242043</c:v>
                </c:pt>
                <c:pt idx="107">
                  <c:v>10.051135683538568</c:v>
                </c:pt>
                <c:pt idx="108">
                  <c:v>10.138423935811788</c:v>
                </c:pt>
                <c:pt idx="109">
                  <c:v>10.224329477186863</c:v>
                </c:pt>
                <c:pt idx="110">
                  <c:v>10.308878460081436</c:v>
                </c:pt>
                <c:pt idx="111">
                  <c:v>10.392096215402297</c:v>
                </c:pt>
                <c:pt idx="112">
                  <c:v>10.474007287096942</c:v>
                </c:pt>
                <c:pt idx="113">
                  <c:v>10.554635465037279</c:v>
                </c:pt>
                <c:pt idx="114">
                  <c:v>10.634003816325212</c:v>
                </c:pt>
                <c:pt idx="115">
                  <c:v>10.712134715104671</c:v>
                </c:pt>
                <c:pt idx="116">
                  <c:v>10.789049870959829</c:v>
                </c:pt>
                <c:pt idx="117">
                  <c:v>10.864770355974729</c:v>
                </c:pt>
                <c:pt idx="118">
                  <c:v>10.93931663052517</c:v>
                </c:pt>
                <c:pt idx="119">
                  <c:v>11.012708567869584</c:v>
                </c:pt>
                <c:pt idx="120">
                  <c:v>11.084965477601878</c:v>
                </c:pt>
                <c:pt idx="121">
                  <c:v>11.156106128025602</c:v>
                </c:pt>
                <c:pt idx="122">
                  <c:v>11.226148767505252</c:v>
                </c:pt>
                <c:pt idx="123">
                  <c:v>11.295111144847493</c:v>
                </c:pt>
                <c:pt idx="124">
                  <c:v>11.363010528761961</c:v>
                </c:pt>
                <c:pt idx="125">
                  <c:v>11.42986372644849</c:v>
                </c:pt>
                <c:pt idx="126">
                  <c:v>11.495687101354971</c:v>
                </c:pt>
                <c:pt idx="127">
                  <c:v>11.560496590147491</c:v>
                </c:pt>
                <c:pt idx="128">
                  <c:v>11.624307718932103</c:v>
                </c:pt>
                <c:pt idx="129">
                  <c:v>11.687135618765364</c:v>
                </c:pt>
                <c:pt idx="130">
                  <c:v>11.748995040488584</c:v>
                </c:pt>
                <c:pt idx="131">
                  <c:v>11.809900368919049</c:v>
                </c:pt>
                <c:pt idx="132">
                  <c:v>11.869865636429211</c:v>
                </c:pt>
                <c:pt idx="133">
                  <c:v>11.928904535943637</c:v>
                </c:pt>
                <c:pt idx="134">
                  <c:v>11.987030433381435</c:v>
                </c:pt>
                <c:pt idx="135">
                  <c:v>12.044256379570605</c:v>
                </c:pt>
                <c:pt idx="136">
                  <c:v>12.100595121659293</c:v>
                </c:pt>
                <c:pt idx="137">
                  <c:v>12.156059114047476</c:v>
                </c:pt>
                <c:pt idx="138">
                  <c:v>12.210660528861521</c:v>
                </c:pt>
                <c:pt idx="139">
                  <c:v>12.264411265992656</c:v>
                </c:pt>
                <c:pt idx="140">
                  <c:v>12.317322962719448</c:v>
                </c:pt>
                <c:pt idx="141">
                  <c:v>12.369407002933331</c:v>
                </c:pt>
                <c:pt idx="142">
                  <c:v>12.420674525984944</c:v>
                </c:pt>
                <c:pt idx="143">
                  <c:v>12.471136435168681</c:v>
                </c:pt>
                <c:pt idx="144">
                  <c:v>12.520803405861216</c:v>
                </c:pt>
                <c:pt idx="145">
                  <c:v>12.569685893329767</c:v>
                </c:pt>
                <c:pt idx="146">
                  <c:v>12.617794140224344</c:v>
                </c:pt>
                <c:pt idx="147">
                  <c:v>12.665138183767983</c:v>
                </c:pt>
                <c:pt idx="148">
                  <c:v>12.711727862658083</c:v>
                </c:pt>
                <c:pt idx="149">
                  <c:v>12.757572823691305</c:v>
                </c:pt>
                <c:pt idx="150">
                  <c:v>12.802682528123947</c:v>
                </c:pt>
                <c:pt idx="151">
                  <c:v>12.847066257779062</c:v>
                </c:pt>
                <c:pt idx="152">
                  <c:v>12.890733120911088</c:v>
                </c:pt>
                <c:pt idx="153">
                  <c:v>12.933692057838215</c:v>
                </c:pt>
                <c:pt idx="154">
                  <c:v>12.97595184635226</c:v>
                </c:pt>
                <c:pt idx="155">
                  <c:v>13.01752110691525</c:v>
                </c:pt>
                <c:pt idx="156">
                  <c:v>13.058408307651684</c:v>
                </c:pt>
                <c:pt idx="157">
                  <c:v>13.098621769144801</c:v>
                </c:pt>
                <c:pt idx="158">
                  <c:v>13.138169669044977</c:v>
                </c:pt>
                <c:pt idx="159">
                  <c:v>13.177060046497859</c:v>
                </c:pt>
                <c:pt idx="160">
                  <c:v>13.215300806399661</c:v>
                </c:pt>
                <c:pt idx="161">
                  <c:v>13.25289972348652</c:v>
                </c:pt>
                <c:pt idx="162">
                  <c:v>13.289864446264659</c:v>
                </c:pt>
                <c:pt idx="163">
                  <c:v>13.326202500787755</c:v>
                </c:pt>
                <c:pt idx="164">
                  <c:v>13.361921294287594</c:v>
                </c:pt>
                <c:pt idx="165">
                  <c:v>13.397028118663876</c:v>
                </c:pt>
                <c:pt idx="166">
                  <c:v>13.431530153838732</c:v>
                </c:pt>
                <c:pt idx="167">
                  <c:v>13.465434470981405</c:v>
                </c:pt>
                <c:pt idx="168">
                  <c:v>13.498748035608051</c:v>
                </c:pt>
                <c:pt idx="169">
                  <c:v>13.531477710561768</c:v>
                </c:pt>
                <c:pt idx="170">
                  <c:v>13.563630258877417</c:v>
                </c:pt>
                <c:pt idx="171">
                  <c:v>13.595212346535774</c:v>
                </c:pt>
                <c:pt idx="172">
                  <c:v>13.626230545111413</c:v>
                </c:pt>
                <c:pt idx="173">
                  <c:v>13.656691334318392</c:v>
                </c:pt>
                <c:pt idx="174">
                  <c:v>13.686601104457699</c:v>
                </c:pt>
                <c:pt idx="175">
                  <c:v>13.715966158770424</c:v>
                </c:pt>
                <c:pt idx="176">
                  <c:v>13.744792715700152</c:v>
                </c:pt>
                <c:pt idx="177">
                  <c:v>13.773086911068207</c:v>
                </c:pt>
                <c:pt idx="178">
                  <c:v>13.800854800165126</c:v>
                </c:pt>
                <c:pt idx="179">
                  <c:v>13.828102359761573</c:v>
                </c:pt>
                <c:pt idx="180">
                  <c:v>13.854835490041859</c:v>
                </c:pt>
                <c:pt idx="181">
                  <c:v>13.881060016463046</c:v>
                </c:pt>
                <c:pt idx="182">
                  <c:v>13.906781691542564</c:v>
                </c:pt>
                <c:pt idx="183">
                  <c:v>13.932006196577106</c:v>
                </c:pt>
                <c:pt idx="184">
                  <c:v>13.956739143295447</c:v>
                </c:pt>
                <c:pt idx="185">
                  <c:v>13.980986075447806</c:v>
                </c:pt>
                <c:pt idx="186">
                  <c:v>14.004752470334211</c:v>
                </c:pt>
                <c:pt idx="187">
                  <c:v>14.028043740274281</c:v>
                </c:pt>
                <c:pt idx="188">
                  <c:v>14.050865234020653</c:v>
                </c:pt>
                <c:pt idx="189">
                  <c:v>14.07322223811833</c:v>
                </c:pt>
                <c:pt idx="190">
                  <c:v>14.095119978212121</c:v>
                </c:pt>
                <c:pt idx="191">
                  <c:v>14.116563620304053</c:v>
                </c:pt>
                <c:pt idx="192">
                  <c:v>14.137558271962973</c:v>
                </c:pt>
                <c:pt idx="193">
                  <c:v>14.158108983488042</c:v>
                </c:pt>
                <c:pt idx="194">
                  <c:v>14.178220749028066</c:v>
                </c:pt>
                <c:pt idx="195">
                  <c:v>14.197898507658401</c:v>
                </c:pt>
                <c:pt idx="196">
                  <c:v>14.21714714441717</c:v>
                </c:pt>
                <c:pt idx="197">
                  <c:v>14.235971491302333</c:v>
                </c:pt>
                <c:pt idx="198">
                  <c:v>14.254376328231363</c:v>
                </c:pt>
                <c:pt idx="199">
                  <c:v>14.272366383964897</c:v>
                </c:pt>
                <c:pt idx="200">
                  <c:v>14.289946336995889</c:v>
                </c:pt>
                <c:pt idx="201">
                  <c:v>14.307120816405758</c:v>
                </c:pt>
                <c:pt idx="202">
                  <c:v>14.323894402688751</c:v>
                </c:pt>
                <c:pt idx="203">
                  <c:v>14.340271628545961</c:v>
                </c:pt>
                <c:pt idx="204">
                  <c:v>14.356256979650228</c:v>
                </c:pt>
                <c:pt idx="205">
                  <c:v>14.371854895383091</c:v>
                </c:pt>
                <c:pt idx="206">
                  <c:v>14.387069769545118</c:v>
                </c:pt>
                <c:pt idx="207">
                  <c:v>14.401905951040527</c:v>
                </c:pt>
                <c:pt idx="208">
                  <c:v>14.416367744537435</c:v>
                </c:pt>
                <c:pt idx="209">
                  <c:v>14.430459411104597</c:v>
                </c:pt>
                <c:pt idx="210">
                  <c:v>14.444185168825756</c:v>
                </c:pt>
                <c:pt idx="211">
                  <c:v>14.457549193392513</c:v>
                </c:pt>
                <c:pt idx="212">
                  <c:v>14.470555618676777</c:v>
                </c:pt>
                <c:pt idx="213">
                  <c:v>14.483208537283478</c:v>
                </c:pt>
                <c:pt idx="214">
                  <c:v>14.495512001084709</c:v>
                </c:pt>
                <c:pt idx="215">
                  <c:v>14.507470021735866</c:v>
                </c:pt>
                <c:pt idx="216">
                  <c:v>14.519086571174757</c:v>
                </c:pt>
                <c:pt idx="217">
                  <c:v>14.530365582104402</c:v>
                </c:pt>
                <c:pt idx="218">
                  <c:v>14.541310948460273</c:v>
                </c:pt>
                <c:pt idx="219">
                  <c:v>14.551926525862683</c:v>
                </c:pt>
                <c:pt idx="220">
                  <c:v>14.56221613205506</c:v>
                </c:pt>
                <c:pt idx="221">
                  <c:v>14.572183547328684</c:v>
                </c:pt>
                <c:pt idx="222">
                  <c:v>14.581832514934622</c:v>
                </c:pt>
                <c:pt idx="223">
                  <c:v>14.591166741483381</c:v>
                </c:pt>
                <c:pt idx="224">
                  <c:v>14.600189897332971</c:v>
                </c:pt>
                <c:pt idx="225">
                  <c:v>14.608905616965782</c:v>
                </c:pt>
                <c:pt idx="226">
                  <c:v>14.679928461504453</c:v>
                </c:pt>
                <c:pt idx="227">
                  <c:v>14.723952209698027</c:v>
                </c:pt>
                <c:pt idx="228">
                  <c:v>14.744069163885198</c:v>
                </c:pt>
                <c:pt idx="229">
                  <c:v>14.743076087018903</c:v>
                </c:pt>
                <c:pt idx="230">
                  <c:v>14.723496621658104</c:v>
                </c:pt>
                <c:pt idx="231">
                  <c:v>14.687601827902313</c:v>
                </c:pt>
                <c:pt idx="232">
                  <c:v>14.637429646382607</c:v>
                </c:pt>
                <c:pt idx="233">
                  <c:v>14.574803643060806</c:v>
                </c:pt>
                <c:pt idx="234">
                  <c:v>14.501351126991015</c:v>
                </c:pt>
                <c:pt idx="235">
                  <c:v>14.418520592585185</c:v>
                </c:pt>
                <c:pt idx="236">
                  <c:v>14.327598380182685</c:v>
                </c:pt>
                <c:pt idx="237">
                  <c:v>14.229724440515197</c:v>
                </c:pt>
                <c:pt idx="238">
                  <c:v>14.125907107364457</c:v>
                </c:pt>
                <c:pt idx="239">
                  <c:v>14.01703681334757</c:v>
                </c:pt>
                <c:pt idx="240">
                  <c:v>13.90389871704614</c:v>
                </c:pt>
                <c:pt idx="241">
                  <c:v>13.787184240374541</c:v>
                </c:pt>
                <c:pt idx="242">
                  <c:v>13.66750154062462</c:v>
                </c:pt>
                <c:pt idx="243">
                  <c:v>13.5453849612068</c:v>
                </c:pt>
                <c:pt idx="244">
                  <c:v>13.421303518908442</c:v>
                </c:pt>
                <c:pt idx="245">
                  <c:v>13.295668494201312</c:v>
                </c:pt>
                <c:pt idx="246">
                  <c:v>13.16884019565104</c:v>
                </c:pt>
                <c:pt idx="247">
                  <c:v>13.041133970734656</c:v>
                </c:pt>
                <c:pt idx="248">
                  <c:v>12.912825534201902</c:v>
                </c:pt>
                <c:pt idx="249">
                  <c:v>12.784155682244993</c:v>
                </c:pt>
                <c:pt idx="250">
                  <c:v>12.655334456757705</c:v>
                </c:pt>
                <c:pt idx="251">
                  <c:v>12.526544819325757</c:v>
                </c:pt>
                <c:pt idx="252">
                  <c:v>12.397945889644779</c:v>
                </c:pt>
                <c:pt idx="253">
                  <c:v>12.269675798058234</c:v>
                </c:pt>
                <c:pt idx="254">
                  <c:v>12.141854197022386</c:v>
                </c:pt>
                <c:pt idx="255">
                  <c:v>12.014584471653546</c:v>
                </c:pt>
                <c:pt idx="256">
                  <c:v>11.887955685165243</c:v>
                </c:pt>
                <c:pt idx="257">
                  <c:v>11.762044290997322</c:v>
                </c:pt>
                <c:pt idx="258">
                  <c:v>11.636915639789382</c:v>
                </c:pt>
                <c:pt idx="259">
                  <c:v>11.512625306054291</c:v>
                </c:pt>
                <c:pt idx="260">
                  <c:v>11.38922025645115</c:v>
                </c:pt>
                <c:pt idx="261">
                  <c:v>11.26673987892039</c:v>
                </c:pt>
                <c:pt idx="262">
                  <c:v>11.145216889602906</c:v>
                </c:pt>
                <c:pt idx="263">
                  <c:v>11.024678132394584</c:v>
                </c:pt>
                <c:pt idx="264">
                  <c:v>10.905145284161556</c:v>
                </c:pt>
                <c:pt idx="265">
                  <c:v>10.786635477034935</c:v>
                </c:pt>
                <c:pt idx="266">
                  <c:v>10.66916184779271</c:v>
                </c:pt>
                <c:pt idx="267">
                  <c:v>10.552734023099173</c:v>
                </c:pt>
                <c:pt idx="268">
                  <c:v>10.437358548288255</c:v>
                </c:pt>
                <c:pt idx="269">
                  <c:v>10.32303926642861</c:v>
                </c:pt>
                <c:pt idx="270">
                  <c:v>10.209777653578163</c:v>
                </c:pt>
                <c:pt idx="271">
                  <c:v>10.09757311541023</c:v>
                </c:pt>
                <c:pt idx="272">
                  <c:v>9.9864232497587384</c:v>
                </c:pt>
                <c:pt idx="273">
                  <c:v>9.8763240790752498</c:v>
                </c:pt>
                <c:pt idx="274">
                  <c:v>9.7672702563054514</c:v>
                </c:pt>
                <c:pt idx="275">
                  <c:v>9.6592552472683799</c:v>
                </c:pt>
                <c:pt idx="276">
                  <c:v>9.5522714922504939</c:v>
                </c:pt>
                <c:pt idx="277">
                  <c:v>9.4463105492017831</c:v>
                </c:pt>
                <c:pt idx="278">
                  <c:v>9.341363220636536</c:v>
                </c:pt>
                <c:pt idx="279">
                  <c:v>9.2374196660920784</c:v>
                </c:pt>
                <c:pt idx="280">
                  <c:v>9.1344695017803641</c:v>
                </c:pt>
                <c:pt idx="281">
                  <c:v>9.0325018888754389</c:v>
                </c:pt>
                <c:pt idx="282">
                  <c:v>8.9315056117115184</c:v>
                </c:pt>
                <c:pt idx="283">
                  <c:v>8.8314691470187228</c:v>
                </c:pt>
                <c:pt idx="284">
                  <c:v>8.7323807251933658</c:v>
                </c:pt>
                <c:pt idx="285">
                  <c:v>8.6342283844855015</c:v>
                </c:pt>
                <c:pt idx="286">
                  <c:v>8.5370000188857453</c:v>
                </c:pt>
                <c:pt idx="287">
                  <c:v>8.4406834204046817</c:v>
                </c:pt>
                <c:pt idx="288">
                  <c:v>8.3452663163600462</c:v>
                </c:pt>
                <c:pt idx="289">
                  <c:v>8.2507364022178216</c:v>
                </c:pt>
                <c:pt idx="290">
                  <c:v>8.1570813704724809</c:v>
                </c:pt>
                <c:pt idx="291">
                  <c:v>8.0642889359977676</c:v>
                </c:pt>
                <c:pt idx="292">
                  <c:v>7.97234685825181</c:v>
                </c:pt>
                <c:pt idx="293">
                  <c:v>7.8812429606781622</c:v>
                </c:pt>
                <c:pt idx="294">
                  <c:v>7.7909651476070092</c:v>
                </c:pt>
                <c:pt idx="295">
                  <c:v>7.701501418927819</c:v>
                </c:pt>
                <c:pt idx="296">
                  <c:v>7.6128398827750985</c:v>
                </c:pt>
                <c:pt idx="297">
                  <c:v>7.5249687664431715</c:v>
                </c:pt>
                <c:pt idx="298">
                  <c:v>7.4378764257224006</c:v>
                </c:pt>
                <c:pt idx="299">
                  <c:v>7.3515513528289578</c:v>
                </c:pt>
                <c:pt idx="300">
                  <c:v>7.2659821830817428</c:v>
                </c:pt>
                <c:pt idx="301">
                  <c:v>7.1811577004638414</c:v>
                </c:pt>
                <c:pt idx="302">
                  <c:v>7.0970668421913787</c:v>
                </c:pt>
                <c:pt idx="303">
                  <c:v>7.0136987023995898</c:v>
                </c:pt>
                <c:pt idx="304">
                  <c:v>6.9310425350444547</c:v>
                </c:pt>
                <c:pt idx="305">
                  <c:v>6.8490877561079504</c:v>
                </c:pt>
                <c:pt idx="306">
                  <c:v>6.7678239451856301</c:v>
                </c:pt>
                <c:pt idx="307">
                  <c:v>6.6872408465272208</c:v>
                </c:pt>
                <c:pt idx="308">
                  <c:v>6.6073283695933007</c:v>
                </c:pt>
                <c:pt idx="309">
                  <c:v>6.5280765891848445</c:v>
                </c:pt>
                <c:pt idx="310">
                  <c:v>6.4494757451962039</c:v>
                </c:pt>
                <c:pt idx="311">
                  <c:v>6.3715162420371252</c:v>
                </c:pt>
                <c:pt idx="312">
                  <c:v>6.2941886477643845</c:v>
                </c:pt>
                <c:pt idx="313">
                  <c:v>6.2174836929596982</c:v>
                </c:pt>
                <c:pt idx="314">
                  <c:v>6.1413922693863832</c:v>
                </c:pt>
                <c:pt idx="315">
                  <c:v>6.0659054284542577</c:v>
                </c:pt>
                <c:pt idx="316">
                  <c:v>5.991014379518818</c:v>
                </c:pt>
                <c:pt idx="317">
                  <c:v>5.9167104880382393</c:v>
                </c:pt>
                <c:pt idx="318">
                  <c:v>5.8429852736092416</c:v>
                </c:pt>
                <c:pt idx="319">
                  <c:v>5.7698304079004714</c:v>
                </c:pt>
                <c:pt idx="320">
                  <c:v>5.6972377125002822</c:v>
                </c:pt>
                <c:pt idx="321">
                  <c:v>5.6251991566939088</c:v>
                </c:pt>
                <c:pt idx="322">
                  <c:v>5.5537068551833721</c:v>
                </c:pt>
                <c:pt idx="323">
                  <c:v>5.4827530657620773</c:v>
                </c:pt>
                <c:pt idx="324">
                  <c:v>5.4123301869547582</c:v>
                </c:pt>
                <c:pt idx="325">
                  <c:v>5.3424307556321526</c:v>
                </c:pt>
                <c:pt idx="326">
                  <c:v>5.2730474446089568</c:v>
                </c:pt>
                <c:pt idx="327">
                  <c:v>5.2041730602323568</c:v>
                </c:pt>
                <c:pt idx="328">
                  <c:v>5.1358005399678595</c:v>
                </c:pt>
                <c:pt idx="329">
                  <c:v>5.0679229499882181</c:v>
                </c:pt>
                <c:pt idx="330">
                  <c:v>5.000533482770618</c:v>
                </c:pt>
                <c:pt idx="331">
                  <c:v>4.9336254547066085</c:v>
                </c:pt>
                <c:pt idx="332">
                  <c:v>4.8671923037288076</c:v>
                </c:pt>
                <c:pt idx="333">
                  <c:v>4.8012275869578076</c:v>
                </c:pt>
                <c:pt idx="334">
                  <c:v>4.7357249783723274</c:v>
                </c:pt>
                <c:pt idx="335">
                  <c:v>4.6706782665051669</c:v>
                </c:pt>
                <c:pt idx="336">
                  <c:v>4.6060813521672852</c:v>
                </c:pt>
                <c:pt idx="337">
                  <c:v>4.5419282462018673</c:v>
                </c:pt>
                <c:pt idx="338">
                  <c:v>4.478213067270012</c:v>
                </c:pt>
                <c:pt idx="339">
                  <c:v>4.4149300396694278</c:v>
                </c:pt>
                <c:pt idx="340">
                  <c:v>4.3520734911872374</c:v>
                </c:pt>
                <c:pt idx="341">
                  <c:v>4.2896378509878303</c:v>
                </c:pt>
                <c:pt idx="342">
                  <c:v>4.227617647536472</c:v>
                </c:pt>
                <c:pt idx="343">
                  <c:v>4.1660075065592341</c:v>
                </c:pt>
                <c:pt idx="344">
                  <c:v>4.1048021490396494</c:v>
                </c:pt>
                <c:pt idx="345">
                  <c:v>4.0439963892524107</c:v>
                </c:pt>
                <c:pt idx="346">
                  <c:v>3.9835851328341985</c:v>
                </c:pt>
                <c:pt idx="347">
                  <c:v>3.9235633748917147</c:v>
                </c:pt>
                <c:pt idx="348">
                  <c:v>3.8639261981469275</c:v>
                </c:pt>
                <c:pt idx="349">
                  <c:v>3.804668771119315</c:v>
                </c:pt>
                <c:pt idx="350">
                  <c:v>3.7457863463450254</c:v>
                </c:pt>
                <c:pt idx="351">
                  <c:v>3.6872742586325225</c:v>
                </c:pt>
                <c:pt idx="352">
                  <c:v>3.6291279233545772</c:v>
                </c:pt>
                <c:pt idx="353">
                  <c:v>3.5713428347761198</c:v>
                </c:pt>
                <c:pt idx="354">
                  <c:v>3.5139145644175942</c:v>
                </c:pt>
                <c:pt idx="355">
                  <c:v>3.4568387594533423</c:v>
                </c:pt>
                <c:pt idx="356">
                  <c:v>3.4001111411445661</c:v>
                </c:pt>
                <c:pt idx="357">
                  <c:v>3.3437275033063285</c:v>
                </c:pt>
                <c:pt idx="358">
                  <c:v>3.2876837108081132</c:v>
                </c:pt>
                <c:pt idx="359">
                  <c:v>3.231975698107334</c:v>
                </c:pt>
                <c:pt idx="360">
                  <c:v>3.1765994678153238</c:v>
                </c:pt>
                <c:pt idx="361">
                  <c:v>3.1215510892951546</c:v>
                </c:pt>
                <c:pt idx="362">
                  <c:v>3.0668266972907015</c:v>
                </c:pt>
                <c:pt idx="363">
                  <c:v>3.0124224905864523</c:v>
                </c:pt>
                <c:pt idx="364">
                  <c:v>2.9583347306973797</c:v>
                </c:pt>
                <c:pt idx="365">
                  <c:v>2.9045597405883061</c:v>
                </c:pt>
                <c:pt idx="366">
                  <c:v>2.851093903422206</c:v>
                </c:pt>
                <c:pt idx="367">
                  <c:v>2.7979336613367685</c:v>
                </c:pt>
                <c:pt idx="368">
                  <c:v>2.7450755142487355</c:v>
                </c:pt>
                <c:pt idx="369">
                  <c:v>2.6925160186853092</c:v>
                </c:pt>
                <c:pt idx="370">
                  <c:v>2.6402517866421378</c:v>
                </c:pt>
                <c:pt idx="371">
                  <c:v>2.5882794844672379</c:v>
                </c:pt>
                <c:pt idx="372">
                  <c:v>2.5365958317703168</c:v>
                </c:pt>
                <c:pt idx="373">
                  <c:v>2.4851976003569116</c:v>
                </c:pt>
                <c:pt idx="374">
                  <c:v>2.4340816131867649</c:v>
                </c:pt>
                <c:pt idx="375">
                  <c:v>2.3832447433559323</c:v>
                </c:pt>
                <c:pt idx="376">
                  <c:v>2.3326839131020289</c:v>
                </c:pt>
                <c:pt idx="377">
                  <c:v>2.2823960928321076</c:v>
                </c:pt>
                <c:pt idx="378">
                  <c:v>2.2323783001726429</c:v>
                </c:pt>
                <c:pt idx="379">
                  <c:v>2.1826275990410648</c:v>
                </c:pt>
                <c:pt idx="380">
                  <c:v>2.1331410987384203</c:v>
                </c:pt>
                <c:pt idx="381">
                  <c:v>2.083915953062526</c:v>
                </c:pt>
                <c:pt idx="382">
                  <c:v>2.0349493594412782</c:v>
                </c:pt>
                <c:pt idx="383">
                  <c:v>1.9862385580855451</c:v>
                </c:pt>
                <c:pt idx="384">
                  <c:v>1.9377808311611577</c:v>
                </c:pt>
                <c:pt idx="385">
                  <c:v>1.8895735019796485</c:v>
                </c:pt>
                <c:pt idx="386">
                  <c:v>1.8416139342071332</c:v>
                </c:pt>
                <c:pt idx="387">
                  <c:v>1.7938995310910588</c:v>
                </c:pt>
                <c:pt idx="388">
                  <c:v>1.7464277347042356</c:v>
                </c:pt>
                <c:pt idx="389">
                  <c:v>1.6991960252058669</c:v>
                </c:pt>
                <c:pt idx="390">
                  <c:v>1.6522019201190488</c:v>
                </c:pt>
                <c:pt idx="391">
                  <c:v>1.6054429736244278</c:v>
                </c:pt>
                <c:pt idx="392">
                  <c:v>1.5589167758695874</c:v>
                </c:pt>
                <c:pt idx="393">
                  <c:v>1.512620952293747</c:v>
                </c:pt>
                <c:pt idx="394">
                  <c:v>1.466553162967499</c:v>
                </c:pt>
                <c:pt idx="395">
                  <c:v>1.4207111019470724</c:v>
                </c:pt>
                <c:pt idx="396">
                  <c:v>1.3750924966429086</c:v>
                </c:pt>
                <c:pt idx="397">
                  <c:v>1.3296951072021441</c:v>
                </c:pt>
                <c:pt idx="398">
                  <c:v>1.2845167259046064</c:v>
                </c:pt>
                <c:pt idx="399">
                  <c:v>1.2395551765720938</c:v>
                </c:pt>
                <c:pt idx="400">
                  <c:v>1.1948083139905556</c:v>
                </c:pt>
                <c:pt idx="401">
                  <c:v>1.1502740233448565</c:v>
                </c:pt>
                <c:pt idx="402">
                  <c:v>1.1059502196658346</c:v>
                </c:pt>
                <c:pt idx="403">
                  <c:v>1.0618348472893939</c:v>
                </c:pt>
                <c:pt idx="404">
                  <c:v>1.0179258793272199</c:v>
                </c:pt>
                <c:pt idx="405">
                  <c:v>0.97422131714896976</c:v>
                </c:pt>
                <c:pt idx="406">
                  <c:v>0.93071918987561264</c:v>
                </c:pt>
                <c:pt idx="407">
                  <c:v>0.88741755388357435</c:v>
                </c:pt>
                <c:pt idx="408">
                  <c:v>0.84431449231957179</c:v>
                </c:pt>
                <c:pt idx="409">
                  <c:v>0.8014081146257146</c:v>
                </c:pt>
                <c:pt idx="410">
                  <c:v>0.75869655607478781</c:v>
                </c:pt>
                <c:pt idx="411">
                  <c:v>0.71617797731535549</c:v>
                </c:pt>
                <c:pt idx="412">
                  <c:v>0.67385056392644582</c:v>
                </c:pt>
                <c:pt idx="413">
                  <c:v>0.63171252598171301</c:v>
                </c:pt>
                <c:pt idx="414">
                  <c:v>0.58976209762269283</c:v>
                </c:pt>
                <c:pt idx="415">
                  <c:v>0.5479975366410339</c:v>
                </c:pt>
                <c:pt idx="416">
                  <c:v>0.50641712406946349</c:v>
                </c:pt>
                <c:pt idx="417">
                  <c:v>0.46501916378124974</c:v>
                </c:pt>
                <c:pt idx="418">
                  <c:v>0.42380198209803022</c:v>
                </c:pt>
                <c:pt idx="419">
                  <c:v>0.38276392740572085</c:v>
                </c:pt>
                <c:pt idx="420">
                  <c:v>0.34190336977839764</c:v>
                </c:pt>
                <c:pt idx="421">
                  <c:v>0.30121870060985856</c:v>
                </c:pt>
                <c:pt idx="422">
                  <c:v>0.26070833225283413</c:v>
                </c:pt>
                <c:pt idx="423">
                  <c:v>0.22037069766550132</c:v>
                </c:pt>
                <c:pt idx="424">
                  <c:v>0.18020425006525398</c:v>
                </c:pt>
                <c:pt idx="425">
                  <c:v>0.14020746258950595</c:v>
                </c:pt>
                <c:pt idx="426">
                  <c:v>0.10037882796333393</c:v>
                </c:pt>
                <c:pt idx="427">
                  <c:v>6.0716858173913479E-2</c:v>
                </c:pt>
                <c:pt idx="428">
                  <c:v>2.1220084151425959E-2</c:v>
                </c:pt>
                <c:pt idx="429">
                  <c:v>-1.8112944543561084E-2</c:v>
                </c:pt>
                <c:pt idx="430">
                  <c:v>-5.7283660026483593E-2</c:v>
                </c:pt>
                <c:pt idx="431">
                  <c:v>-9.6293476389062646E-2</c:v>
                </c:pt>
                <c:pt idx="432">
                  <c:v>-0.13514378999358184</c:v>
                </c:pt>
                <c:pt idx="433">
                  <c:v>-0.17383597976138176</c:v>
                </c:pt>
                <c:pt idx="434">
                  <c:v>-0.21237140745557273</c:v>
                </c:pt>
                <c:pt idx="435">
                  <c:v>-0.25075141795827238</c:v>
                </c:pt>
                <c:pt idx="436">
                  <c:v>-0.28897733954231164</c:v>
                </c:pt>
                <c:pt idx="437">
                  <c:v>-0.32705048413766918</c:v>
                </c:pt>
                <c:pt idx="438">
                  <c:v>-0.36497214759270469</c:v>
                </c:pt>
                <c:pt idx="439">
                  <c:v>-0.40274360993026381</c:v>
                </c:pt>
                <c:pt idx="440">
                  <c:v>-0.44036613559890792</c:v>
                </c:pt>
                <c:pt idx="441">
                  <c:v>-0.47784097371916612</c:v>
                </c:pt>
                <c:pt idx="442">
                  <c:v>-0.51516935832514976</c:v>
                </c:pt>
                <c:pt idx="443">
                  <c:v>-0.55235250860146534</c:v>
                </c:pt>
                <c:pt idx="444">
                  <c:v>-0.58939162911559928</c:v>
                </c:pt>
                <c:pt idx="445">
                  <c:v>-0.62628791004589079</c:v>
                </c:pt>
                <c:pt idx="446">
                  <c:v>-0.66304252740513769</c:v>
                </c:pt>
                <c:pt idx="447">
                  <c:v>-0.69965664325998067</c:v>
                </c:pt>
                <c:pt idx="448">
                  <c:v>-0.7361314059461328</c:v>
                </c:pt>
                <c:pt idx="449">
                  <c:v>-0.77246795027955606</c:v>
                </c:pt>
                <c:pt idx="450">
                  <c:v>-0.80866739776364993</c:v>
                </c:pt>
                <c:pt idx="451">
                  <c:v>-0.84473085679261906</c:v>
                </c:pt>
                <c:pt idx="452">
                  <c:v>-0.88065942285095733</c:v>
                </c:pt>
                <c:pt idx="453">
                  <c:v>-0.91645417870930324</c:v>
                </c:pt>
                <c:pt idx="454">
                  <c:v>-0.95211619461661101</c:v>
                </c:pt>
                <c:pt idx="455">
                  <c:v>-0.98764652848878709</c:v>
                </c:pt>
                <c:pt idx="456">
                  <c:v>-1.0230462260938444</c:v>
                </c:pt>
                <c:pt idx="457">
                  <c:v>-1.0583163212336701</c:v>
                </c:pt>
                <c:pt idx="458">
                  <c:v>-1.0934578359224352</c:v>
                </c:pt>
                <c:pt idx="459">
                  <c:v>-1.1284717805617714</c:v>
                </c:pt>
                <c:pt idx="460">
                  <c:v>-1.1633591541127655</c:v>
                </c:pt>
                <c:pt idx="461">
                  <c:v>-1.1981209442648091</c:v>
                </c:pt>
                <c:pt idx="462">
                  <c:v>-1.2327581276014046</c:v>
                </c:pt>
                <c:pt idx="463">
                  <c:v>-1.2672716697629969</c:v>
                </c:pt>
                <c:pt idx="464">
                  <c:v>-1.301662525606859</c:v>
                </c:pt>
                <c:pt idx="465">
                  <c:v>-1.3359316393641194</c:v>
                </c:pt>
                <c:pt idx="466">
                  <c:v>-1.3700799447940035</c:v>
                </c:pt>
                <c:pt idx="467">
                  <c:v>-1.4041083653352959</c:v>
                </c:pt>
                <c:pt idx="468">
                  <c:v>-1.4380178142551556</c:v>
                </c:pt>
                <c:pt idx="469">
                  <c:v>-1.4718091947952441</c:v>
                </c:pt>
                <c:pt idx="470">
                  <c:v>-1.5054834003153406</c:v>
                </c:pt>
                <c:pt idx="471">
                  <c:v>-1.5390413144343911</c:v>
                </c:pt>
                <c:pt idx="472">
                  <c:v>-1.5724838111690795</c:v>
                </c:pt>
                <c:pt idx="473">
                  <c:v>-1.6058117550700313</c:v>
                </c:pt>
                <c:pt idx="474">
                  <c:v>-1.6390260013555675</c:v>
                </c:pt>
                <c:pt idx="475">
                  <c:v>-1.6721273960432033</c:v>
                </c:pt>
                <c:pt idx="476">
                  <c:v>-1.7051167760788433</c:v>
                </c:pt>
                <c:pt idx="477">
                  <c:v>-1.7379949694637351</c:v>
                </c:pt>
                <c:pt idx="478">
                  <c:v>-1.7707627953792606</c:v>
                </c:pt>
                <c:pt idx="479">
                  <c:v>-1.8034210643095927</c:v>
                </c:pt>
                <c:pt idx="480">
                  <c:v>-1.835970578162224</c:v>
                </c:pt>
                <c:pt idx="481">
                  <c:v>-1.8684121303864734</c:v>
                </c:pt>
                <c:pt idx="482">
                  <c:v>-1.9007465060899542</c:v>
                </c:pt>
                <c:pt idx="483">
                  <c:v>-1.9329744821530979</c:v>
                </c:pt>
                <c:pt idx="484">
                  <c:v>-1.9650968273417107</c:v>
                </c:pt>
                <c:pt idx="485">
                  <c:v>-1.9971143024176652</c:v>
                </c:pt>
                <c:pt idx="486">
                  <c:v>-2.0290276602477113</c:v>
                </c:pt>
                <c:pt idx="487">
                  <c:v>-2.0608376459104787</c:v>
                </c:pt>
                <c:pt idx="488">
                  <c:v>-2.0925449968017134</c:v>
                </c:pt>
                <c:pt idx="489">
                  <c:v>-2.124150442737692</c:v>
                </c:pt>
                <c:pt idx="490">
                  <c:v>-2.1556547060570423</c:v>
                </c:pt>
                <c:pt idx="491">
                  <c:v>-2.1870585017207462</c:v>
                </c:pt>
                <c:pt idx="492">
                  <c:v>-2.2183625374105986</c:v>
                </c:pt>
                <c:pt idx="493">
                  <c:v>-2.2495675136259927</c:v>
                </c:pt>
                <c:pt idx="494">
                  <c:v>-2.2806741237791317</c:v>
                </c:pt>
                <c:pt idx="495">
                  <c:v>-2.3116830542887246</c:v>
                </c:pt>
                <c:pt idx="496">
                  <c:v>-2.3425949846720591</c:v>
                </c:pt>
                <c:pt idx="497">
                  <c:v>-2.3734105876357141</c:v>
                </c:pt>
                <c:pt idx="498">
                  <c:v>-2.4041305291646635</c:v>
                </c:pt>
                <c:pt idx="499">
                  <c:v>-2.4347554686100676</c:v>
                </c:pt>
                <c:pt idx="500">
                  <c:v>-2.4652860587755603</c:v>
                </c:pt>
                <c:pt idx="501">
                  <c:v>-2.4957229460021928</c:v>
                </c:pt>
                <c:pt idx="502">
                  <c:v>-2.5260667702520228</c:v>
                </c:pt>
                <c:pt idx="503">
                  <c:v>-2.5563181651903406</c:v>
                </c:pt>
                <c:pt idx="504">
                  <c:v>-2.586477758266637</c:v>
                </c:pt>
                <c:pt idx="505">
                  <c:v>-2.6165461707942264</c:v>
                </c:pt>
                <c:pt idx="506">
                  <c:v>-2.6465240180286518</c:v>
                </c:pt>
                <c:pt idx="507">
                  <c:v>-2.6764119092448588</c:v>
                </c:pt>
                <c:pt idx="508">
                  <c:v>-2.7062104478131239</c:v>
                </c:pt>
                <c:pt idx="509">
                  <c:v>-2.7359202312738251</c:v>
                </c:pt>
                <c:pt idx="510">
                  <c:v>-2.765541851411017</c:v>
                </c:pt>
                <c:pt idx="511">
                  <c:v>-2.7950758943248815</c:v>
                </c:pt>
                <c:pt idx="512">
                  <c:v>-2.8245229405030559</c:v>
                </c:pt>
                <c:pt idx="513">
                  <c:v>-2.8538835648908005</c:v>
                </c:pt>
                <c:pt idx="514">
                  <c:v>-2.8831583369602054</c:v>
                </c:pt>
                <c:pt idx="515">
                  <c:v>-2.9123478207781721</c:v>
                </c:pt>
                <c:pt idx="516">
                  <c:v>-2.9414525750734759</c:v>
                </c:pt>
                <c:pt idx="517">
                  <c:v>-2.9704731533027529</c:v>
                </c:pt>
                <c:pt idx="518">
                  <c:v>-2.9994101037154759</c:v>
                </c:pt>
                <c:pt idx="519">
                  <c:v>-3.0282639694179632</c:v>
                </c:pt>
                <c:pt idx="520">
                  <c:v>-3.0570352884363796</c:v>
                </c:pt>
                <c:pt idx="521">
                  <c:v>-3.085724593778818</c:v>
                </c:pt>
                <c:pt idx="522">
                  <c:v>-3.1143324134964412</c:v>
                </c:pt>
                <c:pt idx="523">
                  <c:v>-3.1428592707436898</c:v>
                </c:pt>
                <c:pt idx="524">
                  <c:v>-3.1713056838375691</c:v>
                </c:pt>
                <c:pt idx="525">
                  <c:v>-3.1996721663161027</c:v>
                </c:pt>
                <c:pt idx="526">
                  <c:v>-3.227959226995857</c:v>
                </c:pt>
                <c:pt idx="527">
                  <c:v>-3.2561673700286384</c:v>
                </c:pt>
                <c:pt idx="528">
                  <c:v>-3.2842970949573642</c:v>
                </c:pt>
                <c:pt idx="529">
                  <c:v>-3.3123488967710553</c:v>
                </c:pt>
                <c:pt idx="530">
                  <c:v>-3.3403232659590554</c:v>
                </c:pt>
                <c:pt idx="531">
                  <c:v>-3.3682206885644801</c:v>
                </c:pt>
                <c:pt idx="532">
                  <c:v>-3.3960416462367875</c:v>
                </c:pt>
                <c:pt idx="533">
                  <c:v>-3.4237866162836998</c:v>
                </c:pt>
                <c:pt idx="534">
                  <c:v>-3.4514560717222547</c:v>
                </c:pt>
                <c:pt idx="535">
                  <c:v>-3.479050481329188</c:v>
                </c:pt>
                <c:pt idx="536">
                  <c:v>-3.5065703096905665</c:v>
                </c:pt>
                <c:pt idx="537">
                  <c:v>-3.5340160172506851</c:v>
                </c:pt>
                <c:pt idx="538">
                  <c:v>-3.5613880603602821</c:v>
                </c:pt>
                <c:pt idx="539">
                  <c:v>-3.5886868913240324</c:v>
                </c:pt>
                <c:pt idx="540">
                  <c:v>-3.6159129584473817</c:v>
                </c:pt>
                <c:pt idx="541">
                  <c:v>-3.6430667060827249</c:v>
                </c:pt>
                <c:pt idx="542">
                  <c:v>-3.6701485746748554</c:v>
                </c:pt>
                <c:pt idx="543">
                  <c:v>-3.6971590008058635</c:v>
                </c:pt>
                <c:pt idx="544">
                  <c:v>-3.7240984172393174</c:v>
                </c:pt>
                <c:pt idx="545">
                  <c:v>-3.7509672529638749</c:v>
                </c:pt>
                <c:pt idx="546">
                  <c:v>-3.7777659332362279</c:v>
                </c:pt>
                <c:pt idx="547">
                  <c:v>-3.8044948796234785</c:v>
                </c:pt>
                <c:pt idx="548">
                  <c:v>-3.8311545100449211</c:v>
                </c:pt>
                <c:pt idx="549">
                  <c:v>-3.8577452388132021</c:v>
                </c:pt>
                <c:pt idx="550">
                  <c:v>-3.8842674766749576</c:v>
                </c:pt>
                <c:pt idx="551">
                  <c:v>-3.9107216308508246</c:v>
                </c:pt>
                <c:pt idx="552">
                  <c:v>-3.9371081050749623</c:v>
                </c:pt>
                <c:pt idx="553">
                  <c:v>-3.9634272996339575</c:v>
                </c:pt>
                <c:pt idx="554">
                  <c:v>-3.9896796114052497</c:v>
                </c:pt>
                <c:pt idx="555">
                  <c:v>-4.0158654338949997</c:v>
                </c:pt>
                <c:pt idx="556">
                  <c:v>-4.0419851572754055</c:v>
                </c:pt>
                <c:pt idx="557">
                  <c:v>-4.0680391684216035</c:v>
                </c:pt>
                <c:pt idx="558">
                  <c:v>-4.0940278509479331</c:v>
                </c:pt>
                <c:pt idx="559">
                  <c:v>-4.1199515852438253</c:v>
                </c:pt>
                <c:pt idx="560">
                  <c:v>-4.1458107485091293</c:v>
                </c:pt>
                <c:pt idx="561">
                  <c:v>-4.1716057147889867</c:v>
                </c:pt>
                <c:pt idx="562">
                  <c:v>-4.1973368550082188</c:v>
                </c:pt>
                <c:pt idx="563">
                  <c:v>-4.2230045370052967</c:v>
                </c:pt>
                <c:pt idx="564">
                  <c:v>-4.2486091255657579</c:v>
                </c:pt>
                <c:pt idx="565">
                  <c:v>-4.2741509824552946</c:v>
                </c:pt>
                <c:pt idx="566">
                  <c:v>-4.2996304664522818</c:v>
                </c:pt>
                <c:pt idx="567">
                  <c:v>-4.3250479333799756</c:v>
                </c:pt>
                <c:pt idx="568">
                  <c:v>-4.3504037361381922</c:v>
                </c:pt>
                <c:pt idx="569">
                  <c:v>-4.3756982247346317</c:v>
                </c:pt>
                <c:pt idx="570">
                  <c:v>-4.4009317463157425</c:v>
                </c:pt>
                <c:pt idx="571">
                  <c:v>-4.4261046451972161</c:v>
                </c:pt>
                <c:pt idx="572">
                  <c:v>-4.4512172628940325</c:v>
                </c:pt>
                <c:pt idx="573">
                  <c:v>-4.4762699381501587</c:v>
                </c:pt>
                <c:pt idx="574">
                  <c:v>-4.5012630069678252</c:v>
                </c:pt>
                <c:pt idx="575">
                  <c:v>-4.5261968026364308</c:v>
                </c:pt>
                <c:pt idx="576">
                  <c:v>-4.5510716557610644</c:v>
                </c:pt>
                <c:pt idx="577">
                  <c:v>-4.5758878942906582</c:v>
                </c:pt>
                <c:pt idx="578">
                  <c:v>-4.6006458435457818</c:v>
                </c:pt>
                <c:pt idx="579">
                  <c:v>-4.6253458262460718</c:v>
                </c:pt>
                <c:pt idx="580">
                  <c:v>-4.6499881625372819</c:v>
                </c:pt>
                <c:pt idx="581">
                  <c:v>-4.6745731700180428</c:v>
                </c:pt>
                <c:pt idx="582">
                  <c:v>-4.6991011637661924</c:v>
                </c:pt>
                <c:pt idx="583">
                  <c:v>-4.7235724563648738</c:v>
                </c:pt>
                <c:pt idx="584">
                  <c:v>-4.7479873579281886</c:v>
                </c:pt>
                <c:pt idx="585">
                  <c:v>-4.7723461761266215</c:v>
                </c:pt>
                <c:pt idx="586">
                  <c:v>-4.7966492162120664</c:v>
                </c:pt>
                <c:pt idx="587">
                  <c:v>-4.8208967810425642</c:v>
                </c:pt>
                <c:pt idx="588">
                  <c:v>-4.8450891711067507</c:v>
                </c:pt>
                <c:pt idx="589">
                  <c:v>-4.8692266845479253</c:v>
                </c:pt>
                <c:pt idx="590">
                  <c:v>-4.8933096171879296</c:v>
                </c:pt>
                <c:pt idx="591">
                  <c:v>-4.9173382625505866</c:v>
                </c:pt>
                <c:pt idx="592">
                  <c:v>-4.9413129118849524</c:v>
                </c:pt>
                <c:pt idx="593">
                  <c:v>-4.9652338541882548</c:v>
                </c:pt>
                <c:pt idx="594">
                  <c:v>-4.9891013762284926</c:v>
                </c:pt>
                <c:pt idx="595">
                  <c:v>-5.0129157625668199</c:v>
                </c:pt>
                <c:pt idx="596">
                  <c:v>-5.0366772955796133</c:v>
                </c:pt>
                <c:pt idx="597">
                  <c:v>-5.0603862554802799</c:v>
                </c:pt>
                <c:pt idx="598">
                  <c:v>-5.0840429203407957</c:v>
                </c:pt>
                <c:pt idx="599">
                  <c:v>-5.1076475661129495</c:v>
                </c:pt>
                <c:pt idx="600">
                  <c:v>-5.1312004666493909</c:v>
                </c:pt>
                <c:pt idx="601">
                  <c:v>-5.1547018937243472</c:v>
                </c:pt>
                <c:pt idx="602">
                  <c:v>-5.1781521170541254</c:v>
                </c:pt>
                <c:pt idx="603">
                  <c:v>-5.2015514043173567</c:v>
                </c:pt>
                <c:pt idx="604">
                  <c:v>-5.2249000211749994</c:v>
                </c:pt>
                <c:pt idx="605">
                  <c:v>-5.2481982312900808</c:v>
                </c:pt>
                <c:pt idx="606">
                  <c:v>-6.3541382087882292</c:v>
                </c:pt>
                <c:pt idx="607">
                  <c:v>-7.3613989369934245</c:v>
                </c:pt>
                <c:pt idx="608">
                  <c:v>-8.2896634549452131</c:v>
                </c:pt>
                <c:pt idx="609">
                  <c:v>-9.1533543146240479</c:v>
                </c:pt>
                <c:pt idx="610">
                  <c:v>-9.9633091630212149</c:v>
                </c:pt>
                <c:pt idx="611">
                  <c:v>-10.727842861286792</c:v>
                </c:pt>
                <c:pt idx="612">
                  <c:v>-11.453447393747014</c:v>
                </c:pt>
                <c:pt idx="613">
                  <c:v>-12.14526836088109</c:v>
                </c:pt>
                <c:pt idx="614">
                  <c:v>-12.807438434592292</c:v>
                </c:pt>
                <c:pt idx="615">
                  <c:v>-13.44331624755152</c:v>
                </c:pt>
                <c:pt idx="616">
                  <c:v>-14.055660993963933</c:v>
                </c:pt>
                <c:pt idx="617">
                  <c:v>-14.646762248089081</c:v>
                </c:pt>
                <c:pt idx="618">
                  <c:v>-14.876878222656945</c:v>
                </c:pt>
                <c:pt idx="619">
                  <c:v>-15.104026341908423</c:v>
                </c:pt>
                <c:pt idx="620">
                  <c:v>-15.328309153542882</c:v>
                </c:pt>
                <c:pt idx="621">
                  <c:v>-15.549822727218903</c:v>
                </c:pt>
                <c:pt idx="622">
                  <c:v>-15.768657186727367</c:v>
                </c:pt>
                <c:pt idx="623">
                  <c:v>-15.984897191921661</c:v>
                </c:pt>
                <c:pt idx="624">
                  <c:v>-16.198622375755054</c:v>
                </c:pt>
                <c:pt idx="625">
                  <c:v>-16.409907741129615</c:v>
                </c:pt>
                <c:pt idx="626">
                  <c:v>-16.618824021703499</c:v>
                </c:pt>
                <c:pt idx="627">
                  <c:v>-16.825438010321015</c:v>
                </c:pt>
                <c:pt idx="628">
                  <c:v>-17.029812858310301</c:v>
                </c:pt>
                <c:pt idx="629">
                  <c:v>-17.2320083485289</c:v>
                </c:pt>
                <c:pt idx="630">
                  <c:v>-17.432081144718531</c:v>
                </c:pt>
                <c:pt idx="631">
                  <c:v>-17.630085019451535</c:v>
                </c:pt>
                <c:pt idx="632">
                  <c:v>-17.826071062706674</c:v>
                </c:pt>
                <c:pt idx="633">
                  <c:v>-18.020087872896649</c:v>
                </c:pt>
                <c:pt idx="634">
                  <c:v>-18.212181731979754</c:v>
                </c:pt>
                <c:pt idx="635">
                  <c:v>-18.40239676612066</c:v>
                </c:pt>
                <c:pt idx="636">
                  <c:v>-18.590775093216433</c:v>
                </c:pt>
                <c:pt idx="637">
                  <c:v>-18.777356958472428</c:v>
                </c:pt>
                <c:pt idx="638">
                  <c:v>-18.962180859095593</c:v>
                </c:pt>
                <c:pt idx="639">
                  <c:v>-19.145283659068191</c:v>
                </c:pt>
                <c:pt idx="640">
                  <c:v>-19.326700694872173</c:v>
                </c:pt>
                <c:pt idx="641">
                  <c:v>-19.506465872951182</c:v>
                </c:pt>
                <c:pt idx="642">
                  <c:v>-19.684611759622811</c:v>
                </c:pt>
                <c:pt idx="643">
                  <c:v>-19.861169664086983</c:v>
                </c:pt>
                <c:pt idx="644">
                  <c:v>-20.036169715116507</c:v>
                </c:pt>
                <c:pt idx="645">
                  <c:v>-20.209640931962021</c:v>
                </c:pt>
                <c:pt idx="646">
                  <c:v>-20.381611289955185</c:v>
                </c:pt>
                <c:pt idx="647">
                  <c:v>-20.552107781250129</c:v>
                </c:pt>
                <c:pt idx="648">
                  <c:v>-20.721156471103996</c:v>
                </c:pt>
                <c:pt idx="649">
                  <c:v>-20.888782550061688</c:v>
                </c:pt>
                <c:pt idx="650">
                  <c:v>-21.055010382377866</c:v>
                </c:pt>
                <c:pt idx="651">
                  <c:v>-21.219863550979966</c:v>
                </c:pt>
                <c:pt idx="652">
                  <c:v>-21.383364899249848</c:v>
                </c:pt>
                <c:pt idx="653">
                  <c:v>-21.545536569877495</c:v>
                </c:pt>
                <c:pt idx="654">
                  <c:v>-21.706400041018696</c:v>
                </c:pt>
                <c:pt idx="655">
                  <c:v>-21.865976159968707</c:v>
                </c:pt>
                <c:pt idx="656">
                  <c:v>-22.024285174546119</c:v>
                </c:pt>
                <c:pt idx="657">
                  <c:v>-22.181346762364768</c:v>
                </c:pt>
                <c:pt idx="658">
                  <c:v>-22.337180058156527</c:v>
                </c:pt>
                <c:pt idx="659">
                  <c:v>-22.491803679294588</c:v>
                </c:pt>
                <c:pt idx="660">
                  <c:v>-22.645235749654166</c:v>
                </c:pt>
                <c:pt idx="661">
                  <c:v>-22.79749392193645</c:v>
                </c:pt>
                <c:pt idx="662">
                  <c:v>-22.94859539857147</c:v>
                </c:pt>
                <c:pt idx="663">
                  <c:v>-23.098556951305753</c:v>
                </c:pt>
                <c:pt idx="664">
                  <c:v>-23.247394939572597</c:v>
                </c:pt>
                <c:pt idx="665">
                  <c:v>-23.395125327734494</c:v>
                </c:pt>
                <c:pt idx="666">
                  <c:v>-23.541763701280232</c:v>
                </c:pt>
                <c:pt idx="667">
                  <c:v>-23.687325282052711</c:v>
                </c:pt>
              </c:numCache>
            </c:numRef>
          </c:yVal>
          <c:smooth val="1"/>
          <c:extLst>
            <c:ext xmlns:c16="http://schemas.microsoft.com/office/drawing/2014/chart" uri="{C3380CC4-5D6E-409C-BE32-E72D297353CC}">
              <c16:uniqueId val="{00000000-2A10-41EA-A3AE-967165122F16}"/>
            </c:ext>
          </c:extLst>
        </c:ser>
        <c:ser>
          <c:idx val="0"/>
          <c:order val="2"/>
          <c:tx>
            <c:v>Measured Gain</c:v>
          </c:tx>
          <c:spPr>
            <a:ln w="12700">
              <a:solidFill>
                <a:srgbClr val="000080"/>
              </a:solidFill>
              <a:prstDash val="solid"/>
            </a:ln>
          </c:spPr>
          <c:marker>
            <c:symbol val="diamond"/>
            <c:size val="5"/>
            <c:spPr>
              <a:solidFill>
                <a:srgbClr val="000080"/>
              </a:solidFill>
              <a:ln>
                <a:solidFill>
                  <a:srgbClr val="000080"/>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Calculations'!$BU$10:$BU$409</c:f>
              <c:numCache>
                <c:formatCode>#0.0#</c:formatCode>
                <c:ptCount val="400"/>
                <c:pt idx="0">
                  <c:v>35.359299999999998</c:v>
                </c:pt>
                <c:pt idx="1">
                  <c:v>34.936799999999998</c:v>
                </c:pt>
                <c:pt idx="2">
                  <c:v>34.190800000000003</c:v>
                </c:pt>
                <c:pt idx="3">
                  <c:v>34.477699999999999</c:v>
                </c:pt>
                <c:pt idx="4">
                  <c:v>34.114400000000003</c:v>
                </c:pt>
                <c:pt idx="5">
                  <c:v>34.297699999999999</c:v>
                </c:pt>
                <c:pt idx="6">
                  <c:v>33.346499999999999</c:v>
                </c:pt>
                <c:pt idx="7">
                  <c:v>33.0246</c:v>
                </c:pt>
                <c:pt idx="8">
                  <c:v>33.735999999999997</c:v>
                </c:pt>
                <c:pt idx="9">
                  <c:v>32.764899999999997</c:v>
                </c:pt>
                <c:pt idx="10">
                  <c:v>32.247199999999999</c:v>
                </c:pt>
                <c:pt idx="11">
                  <c:v>32.3142</c:v>
                </c:pt>
                <c:pt idx="12">
                  <c:v>32.155799999999999</c:v>
                </c:pt>
                <c:pt idx="13">
                  <c:v>32.875300000000003</c:v>
                </c:pt>
                <c:pt idx="14">
                  <c:v>32.538699999999999</c:v>
                </c:pt>
                <c:pt idx="15">
                  <c:v>32.377000000000002</c:v>
                </c:pt>
                <c:pt idx="16">
                  <c:v>31.499099999999999</c:v>
                </c:pt>
                <c:pt idx="17">
                  <c:v>31.4819</c:v>
                </c:pt>
                <c:pt idx="18">
                  <c:v>31.0519</c:v>
                </c:pt>
                <c:pt idx="19">
                  <c:v>31.248699999999999</c:v>
                </c:pt>
                <c:pt idx="20">
                  <c:v>31.003699999999998</c:v>
                </c:pt>
                <c:pt idx="21">
                  <c:v>30.429300000000001</c:v>
                </c:pt>
                <c:pt idx="22">
                  <c:v>29.9194</c:v>
                </c:pt>
                <c:pt idx="23">
                  <c:v>29.808900000000001</c:v>
                </c:pt>
                <c:pt idx="24">
                  <c:v>30.070900000000002</c:v>
                </c:pt>
                <c:pt idx="25">
                  <c:v>29.720099999999999</c:v>
                </c:pt>
                <c:pt idx="26">
                  <c:v>30.042100000000001</c:v>
                </c:pt>
                <c:pt idx="27">
                  <c:v>29.901800000000001</c:v>
                </c:pt>
                <c:pt idx="28">
                  <c:v>29.566700000000001</c:v>
                </c:pt>
                <c:pt idx="29">
                  <c:v>29.685600000000001</c:v>
                </c:pt>
                <c:pt idx="30">
                  <c:v>29.050999999999998</c:v>
                </c:pt>
                <c:pt idx="31">
                  <c:v>28.424299999999999</c:v>
                </c:pt>
                <c:pt idx="32">
                  <c:v>28.510899999999999</c:v>
                </c:pt>
                <c:pt idx="33">
                  <c:v>28.178999999999998</c:v>
                </c:pt>
                <c:pt idx="34">
                  <c:v>27.706399999999999</c:v>
                </c:pt>
                <c:pt idx="35">
                  <c:v>27.937100000000001</c:v>
                </c:pt>
                <c:pt idx="36">
                  <c:v>27.676300000000001</c:v>
                </c:pt>
                <c:pt idx="37">
                  <c:v>27.670300000000001</c:v>
                </c:pt>
                <c:pt idx="38">
                  <c:v>27.2761</c:v>
                </c:pt>
                <c:pt idx="39">
                  <c:v>27.075500000000002</c:v>
                </c:pt>
                <c:pt idx="40">
                  <c:v>27.043399999999998</c:v>
                </c:pt>
                <c:pt idx="41">
                  <c:v>26.677600000000002</c:v>
                </c:pt>
                <c:pt idx="42">
                  <c:v>26.270299999999999</c:v>
                </c:pt>
                <c:pt idx="43">
                  <c:v>26.235900000000001</c:v>
                </c:pt>
                <c:pt idx="44">
                  <c:v>25.845600000000001</c:v>
                </c:pt>
                <c:pt idx="45">
                  <c:v>26.1068</c:v>
                </c:pt>
                <c:pt idx="46">
                  <c:v>25.784400000000002</c:v>
                </c:pt>
                <c:pt idx="47">
                  <c:v>25.581099999999999</c:v>
                </c:pt>
                <c:pt idx="48">
                  <c:v>24.917000000000002</c:v>
                </c:pt>
                <c:pt idx="49">
                  <c:v>24.825199999999999</c:v>
                </c:pt>
                <c:pt idx="50">
                  <c:v>24.722000000000001</c:v>
                </c:pt>
                <c:pt idx="51">
                  <c:v>24.5962</c:v>
                </c:pt>
                <c:pt idx="52">
                  <c:v>24.386800000000001</c:v>
                </c:pt>
                <c:pt idx="53">
                  <c:v>24.136900000000001</c:v>
                </c:pt>
                <c:pt idx="54">
                  <c:v>24.040400000000002</c:v>
                </c:pt>
                <c:pt idx="55">
                  <c:v>23.629000000000001</c:v>
                </c:pt>
                <c:pt idx="56">
                  <c:v>23.6126</c:v>
                </c:pt>
                <c:pt idx="57">
                  <c:v>23.315999999999999</c:v>
                </c:pt>
                <c:pt idx="58">
                  <c:v>23.2133</c:v>
                </c:pt>
                <c:pt idx="59">
                  <c:v>22.955200000000001</c:v>
                </c:pt>
                <c:pt idx="60">
                  <c:v>22.738499999999998</c:v>
                </c:pt>
                <c:pt idx="61">
                  <c:v>22.7593</c:v>
                </c:pt>
                <c:pt idx="62">
                  <c:v>22.4206</c:v>
                </c:pt>
                <c:pt idx="63">
                  <c:v>22.373699999999999</c:v>
                </c:pt>
                <c:pt idx="64">
                  <c:v>22.074100000000001</c:v>
                </c:pt>
                <c:pt idx="65">
                  <c:v>21.761099999999999</c:v>
                </c:pt>
                <c:pt idx="66">
                  <c:v>21.6126</c:v>
                </c:pt>
                <c:pt idx="67">
                  <c:v>21.3672</c:v>
                </c:pt>
                <c:pt idx="68">
                  <c:v>21.195799999999998</c:v>
                </c:pt>
                <c:pt idx="69">
                  <c:v>20.944800000000001</c:v>
                </c:pt>
                <c:pt idx="70">
                  <c:v>20.7819</c:v>
                </c:pt>
                <c:pt idx="71">
                  <c:v>20.634799999999998</c:v>
                </c:pt>
                <c:pt idx="72">
                  <c:v>20.243600000000001</c:v>
                </c:pt>
                <c:pt idx="73">
                  <c:v>20.2926</c:v>
                </c:pt>
                <c:pt idx="74">
                  <c:v>19.992000000000001</c:v>
                </c:pt>
                <c:pt idx="75">
                  <c:v>19.682300000000001</c:v>
                </c:pt>
                <c:pt idx="76">
                  <c:v>19.596</c:v>
                </c:pt>
                <c:pt idx="77">
                  <c:v>19.373200000000001</c:v>
                </c:pt>
                <c:pt idx="78">
                  <c:v>19.198</c:v>
                </c:pt>
                <c:pt idx="79">
                  <c:v>18.983699999999999</c:v>
                </c:pt>
                <c:pt idx="80">
                  <c:v>18.802900000000001</c:v>
                </c:pt>
                <c:pt idx="81">
                  <c:v>18.598600000000001</c:v>
                </c:pt>
                <c:pt idx="82">
                  <c:v>18.468</c:v>
                </c:pt>
                <c:pt idx="83">
                  <c:v>18.2744</c:v>
                </c:pt>
                <c:pt idx="84">
                  <c:v>18.092600000000001</c:v>
                </c:pt>
                <c:pt idx="85">
                  <c:v>17.887</c:v>
                </c:pt>
                <c:pt idx="86">
                  <c:v>17.753599999999999</c:v>
                </c:pt>
                <c:pt idx="87">
                  <c:v>17.416399999999999</c:v>
                </c:pt>
                <c:pt idx="88">
                  <c:v>17.283200000000001</c:v>
                </c:pt>
                <c:pt idx="89">
                  <c:v>17.007100000000001</c:v>
                </c:pt>
                <c:pt idx="90">
                  <c:v>16.8354</c:v>
                </c:pt>
                <c:pt idx="91">
                  <c:v>16.6614</c:v>
                </c:pt>
                <c:pt idx="92">
                  <c:v>16.509799999999998</c:v>
                </c:pt>
                <c:pt idx="93">
                  <c:v>16.276800000000001</c:v>
                </c:pt>
                <c:pt idx="94">
                  <c:v>16.106100000000001</c:v>
                </c:pt>
                <c:pt idx="95">
                  <c:v>15.882400000000001</c:v>
                </c:pt>
                <c:pt idx="96">
                  <c:v>15.6715</c:v>
                </c:pt>
                <c:pt idx="97">
                  <c:v>15.471399999999999</c:v>
                </c:pt>
                <c:pt idx="98">
                  <c:v>15.352499999999999</c:v>
                </c:pt>
                <c:pt idx="99">
                  <c:v>15.0807</c:v>
                </c:pt>
                <c:pt idx="100">
                  <c:v>14.883800000000001</c:v>
                </c:pt>
                <c:pt idx="101">
                  <c:v>14.7437</c:v>
                </c:pt>
                <c:pt idx="102">
                  <c:v>14.586600000000001</c:v>
                </c:pt>
                <c:pt idx="103">
                  <c:v>14.3581</c:v>
                </c:pt>
                <c:pt idx="104">
                  <c:v>14.1501</c:v>
                </c:pt>
                <c:pt idx="105">
                  <c:v>13.9679</c:v>
                </c:pt>
                <c:pt idx="106">
                  <c:v>13.7508</c:v>
                </c:pt>
                <c:pt idx="107">
                  <c:v>13.6038</c:v>
                </c:pt>
                <c:pt idx="108">
                  <c:v>13.412800000000001</c:v>
                </c:pt>
                <c:pt idx="109">
                  <c:v>13.1837</c:v>
                </c:pt>
                <c:pt idx="110">
                  <c:v>13.0792</c:v>
                </c:pt>
                <c:pt idx="111">
                  <c:v>12.807</c:v>
                </c:pt>
                <c:pt idx="112">
                  <c:v>12.682600000000001</c:v>
                </c:pt>
                <c:pt idx="113">
                  <c:v>12.475899999999999</c:v>
                </c:pt>
                <c:pt idx="114">
                  <c:v>12.2584</c:v>
                </c:pt>
                <c:pt idx="115">
                  <c:v>12.0929</c:v>
                </c:pt>
                <c:pt idx="116">
                  <c:v>11.918900000000001</c:v>
                </c:pt>
                <c:pt idx="117">
                  <c:v>11.714700000000001</c:v>
                </c:pt>
                <c:pt idx="118">
                  <c:v>11.5252</c:v>
                </c:pt>
                <c:pt idx="119">
                  <c:v>11.3354</c:v>
                </c:pt>
                <c:pt idx="120">
                  <c:v>11.160399999999999</c:v>
                </c:pt>
                <c:pt idx="121">
                  <c:v>10.9787</c:v>
                </c:pt>
                <c:pt idx="122">
                  <c:v>10.7578</c:v>
                </c:pt>
                <c:pt idx="123">
                  <c:v>10.580500000000001</c:v>
                </c:pt>
                <c:pt idx="124">
                  <c:v>10.4643</c:v>
                </c:pt>
                <c:pt idx="125">
                  <c:v>10.213699999999999</c:v>
                </c:pt>
                <c:pt idx="126">
                  <c:v>10.045199999999999</c:v>
                </c:pt>
                <c:pt idx="127">
                  <c:v>9.8767200000000006</c:v>
                </c:pt>
                <c:pt idx="128">
                  <c:v>9.7134199999999993</c:v>
                </c:pt>
                <c:pt idx="129">
                  <c:v>9.5268499999999996</c:v>
                </c:pt>
                <c:pt idx="130">
                  <c:v>9.3349399999999996</c:v>
                </c:pt>
                <c:pt idx="131">
                  <c:v>9.0884699999999992</c:v>
                </c:pt>
                <c:pt idx="132">
                  <c:v>8.9698600000000006</c:v>
                </c:pt>
                <c:pt idx="133">
                  <c:v>8.68736</c:v>
                </c:pt>
                <c:pt idx="134">
                  <c:v>8.5308799999999998</c:v>
                </c:pt>
                <c:pt idx="135">
                  <c:v>8.3496900000000007</c:v>
                </c:pt>
                <c:pt idx="136">
                  <c:v>8.2818299999999994</c:v>
                </c:pt>
                <c:pt idx="137">
                  <c:v>8.0662299999999991</c:v>
                </c:pt>
                <c:pt idx="138">
                  <c:v>7.8140200000000002</c:v>
                </c:pt>
                <c:pt idx="139">
                  <c:v>7.6423899999999998</c:v>
                </c:pt>
                <c:pt idx="140">
                  <c:v>7.45716</c:v>
                </c:pt>
                <c:pt idx="141">
                  <c:v>7.31271</c:v>
                </c:pt>
                <c:pt idx="142">
                  <c:v>7.13504</c:v>
                </c:pt>
                <c:pt idx="143">
                  <c:v>6.8809300000000002</c:v>
                </c:pt>
                <c:pt idx="144">
                  <c:v>6.7009400000000001</c:v>
                </c:pt>
                <c:pt idx="145">
                  <c:v>6.5356199999999998</c:v>
                </c:pt>
                <c:pt idx="146">
                  <c:v>6.3265200000000004</c:v>
                </c:pt>
                <c:pt idx="147">
                  <c:v>6.1830800000000004</c:v>
                </c:pt>
                <c:pt idx="148">
                  <c:v>6.0130600000000003</c:v>
                </c:pt>
                <c:pt idx="149">
                  <c:v>5.8544900000000002</c:v>
                </c:pt>
                <c:pt idx="150">
                  <c:v>5.6099300000000003</c:v>
                </c:pt>
                <c:pt idx="151">
                  <c:v>5.4320899999999996</c:v>
                </c:pt>
                <c:pt idx="152">
                  <c:v>5.2356100000000003</c:v>
                </c:pt>
                <c:pt idx="153">
                  <c:v>5.0528199999999996</c:v>
                </c:pt>
                <c:pt idx="154">
                  <c:v>4.9028999999999998</c:v>
                </c:pt>
                <c:pt idx="155">
                  <c:v>4.6522600000000001</c:v>
                </c:pt>
                <c:pt idx="156">
                  <c:v>4.4950999999999999</c:v>
                </c:pt>
                <c:pt idx="157">
                  <c:v>4.3437000000000001</c:v>
                </c:pt>
                <c:pt idx="158">
                  <c:v>4.1437400000000002</c:v>
                </c:pt>
                <c:pt idx="159">
                  <c:v>3.9573</c:v>
                </c:pt>
                <c:pt idx="160">
                  <c:v>3.8980899999999998</c:v>
                </c:pt>
                <c:pt idx="161">
                  <c:v>3.5600999999999998</c:v>
                </c:pt>
                <c:pt idx="162">
                  <c:v>3.4098799999999998</c:v>
                </c:pt>
                <c:pt idx="163">
                  <c:v>3.2244999999999999</c:v>
                </c:pt>
                <c:pt idx="164">
                  <c:v>3.07782</c:v>
                </c:pt>
                <c:pt idx="165">
                  <c:v>2.9233199999999999</c:v>
                </c:pt>
                <c:pt idx="166">
                  <c:v>2.7266900000000001</c:v>
                </c:pt>
                <c:pt idx="167">
                  <c:v>2.54392</c:v>
                </c:pt>
                <c:pt idx="168">
                  <c:v>2.5307499999999998</c:v>
                </c:pt>
                <c:pt idx="169">
                  <c:v>2.1795599999999999</c:v>
                </c:pt>
                <c:pt idx="170">
                  <c:v>2.08934</c:v>
                </c:pt>
                <c:pt idx="171">
                  <c:v>1.7954699999999999</c:v>
                </c:pt>
                <c:pt idx="172">
                  <c:v>1.6024099999999999</c:v>
                </c:pt>
                <c:pt idx="173">
                  <c:v>1.48515</c:v>
                </c:pt>
                <c:pt idx="174">
                  <c:v>1.35836</c:v>
                </c:pt>
                <c:pt idx="175">
                  <c:v>1.07298</c:v>
                </c:pt>
                <c:pt idx="176">
                  <c:v>0.86915299999999995</c:v>
                </c:pt>
                <c:pt idx="177">
                  <c:v>0.80323599999999995</c:v>
                </c:pt>
                <c:pt idx="178">
                  <c:v>0.76992799999999995</c:v>
                </c:pt>
                <c:pt idx="179">
                  <c:v>0.46947800000000001</c:v>
                </c:pt>
                <c:pt idx="180">
                  <c:v>0.36985299999999999</c:v>
                </c:pt>
                <c:pt idx="181">
                  <c:v>0.12767600000000001</c:v>
                </c:pt>
                <c:pt idx="182">
                  <c:v>3.6938100000000001E-2</c:v>
                </c:pt>
                <c:pt idx="183">
                  <c:v>-4.9019100000000003E-2</c:v>
                </c:pt>
                <c:pt idx="184">
                  <c:v>-0.21798300000000001</c:v>
                </c:pt>
                <c:pt idx="185">
                  <c:v>-0.38401400000000002</c:v>
                </c:pt>
                <c:pt idx="186">
                  <c:v>-0.57486000000000004</c:v>
                </c:pt>
                <c:pt idx="187">
                  <c:v>-0.73329999999999995</c:v>
                </c:pt>
                <c:pt idx="188">
                  <c:v>-0.87090199999999995</c:v>
                </c:pt>
                <c:pt idx="189">
                  <c:v>-1.0348599999999999</c:v>
                </c:pt>
                <c:pt idx="190">
                  <c:v>-1.2307999999999999</c:v>
                </c:pt>
                <c:pt idx="191">
                  <c:v>-1.3526100000000001</c:v>
                </c:pt>
                <c:pt idx="192">
                  <c:v>-1.29555</c:v>
                </c:pt>
                <c:pt idx="193">
                  <c:v>-1.5137499999999999</c:v>
                </c:pt>
                <c:pt idx="194">
                  <c:v>-1.62094</c:v>
                </c:pt>
                <c:pt idx="195">
                  <c:v>-1.6954</c:v>
                </c:pt>
                <c:pt idx="196">
                  <c:v>-1.76502</c:v>
                </c:pt>
                <c:pt idx="197">
                  <c:v>-1.99203</c:v>
                </c:pt>
                <c:pt idx="198">
                  <c:v>-2.1278299999999999</c:v>
                </c:pt>
                <c:pt idx="199">
                  <c:v>-1.9944299999999999</c:v>
                </c:pt>
                <c:pt idx="200">
                  <c:v>-2.2209699999999999</c:v>
                </c:pt>
                <c:pt idx="201">
                  <c:v>-2.4867400000000002</c:v>
                </c:pt>
                <c:pt idx="202">
                  <c:v>-2.3517399999999999</c:v>
                </c:pt>
                <c:pt idx="203">
                  <c:v>-2.5136799999999999</c:v>
                </c:pt>
                <c:pt idx="204">
                  <c:v>-2.5043700000000002</c:v>
                </c:pt>
                <c:pt idx="205">
                  <c:v>-2.7486899999999999</c:v>
                </c:pt>
                <c:pt idx="206">
                  <c:v>-2.86917</c:v>
                </c:pt>
                <c:pt idx="207">
                  <c:v>-3.0396299999999998</c:v>
                </c:pt>
                <c:pt idx="208">
                  <c:v>-3.2097500000000001</c:v>
                </c:pt>
                <c:pt idx="209">
                  <c:v>-3.2360000000000002</c:v>
                </c:pt>
                <c:pt idx="210">
                  <c:v>-3.6465100000000001</c:v>
                </c:pt>
                <c:pt idx="211">
                  <c:v>-3.6234700000000002</c:v>
                </c:pt>
                <c:pt idx="212">
                  <c:v>-4.1132799999999996</c:v>
                </c:pt>
                <c:pt idx="213">
                  <c:v>-3.8779599999999999</c:v>
                </c:pt>
                <c:pt idx="214">
                  <c:v>-4.0306600000000001</c:v>
                </c:pt>
                <c:pt idx="215">
                  <c:v>-4.0179099999999996</c:v>
                </c:pt>
                <c:pt idx="216">
                  <c:v>-3.9652699999999999</c:v>
                </c:pt>
                <c:pt idx="217">
                  <c:v>-3.9583900000000001</c:v>
                </c:pt>
                <c:pt idx="218">
                  <c:v>-3.8792200000000001</c:v>
                </c:pt>
                <c:pt idx="219">
                  <c:v>-3.9822899999999999</c:v>
                </c:pt>
                <c:pt idx="220">
                  <c:v>-3.9450400000000001</c:v>
                </c:pt>
                <c:pt idx="221">
                  <c:v>-3.9639700000000002</c:v>
                </c:pt>
                <c:pt idx="222">
                  <c:v>-3.91065</c:v>
                </c:pt>
                <c:pt idx="223">
                  <c:v>-3.9488799999999999</c:v>
                </c:pt>
                <c:pt idx="224">
                  <c:v>-3.8028900000000001</c:v>
                </c:pt>
                <c:pt idx="225">
                  <c:v>-3.8474200000000001</c:v>
                </c:pt>
                <c:pt idx="226">
                  <c:v>-3.8303199999999999</c:v>
                </c:pt>
                <c:pt idx="227">
                  <c:v>-3.77474</c:v>
                </c:pt>
                <c:pt idx="228">
                  <c:v>-3.7312500000000002</c:v>
                </c:pt>
                <c:pt idx="229">
                  <c:v>-3.7243200000000001</c:v>
                </c:pt>
                <c:pt idx="230">
                  <c:v>-3.67421</c:v>
                </c:pt>
                <c:pt idx="231">
                  <c:v>-3.6440899999999998</c:v>
                </c:pt>
                <c:pt idx="232">
                  <c:v>-3.5620099999999999</c:v>
                </c:pt>
                <c:pt idx="233">
                  <c:v>-3.5589</c:v>
                </c:pt>
                <c:pt idx="234">
                  <c:v>-3.49654</c:v>
                </c:pt>
                <c:pt idx="235">
                  <c:v>-3.4356</c:v>
                </c:pt>
                <c:pt idx="236">
                  <c:v>-3.37297</c:v>
                </c:pt>
                <c:pt idx="237">
                  <c:v>-3.29522</c:v>
                </c:pt>
                <c:pt idx="238">
                  <c:v>-3.2437399999999998</c:v>
                </c:pt>
                <c:pt idx="239">
                  <c:v>-3.1709299999999998</c:v>
                </c:pt>
                <c:pt idx="240">
                  <c:v>-3.1069800000000001</c:v>
                </c:pt>
                <c:pt idx="241">
                  <c:v>-3.0172699999999999</c:v>
                </c:pt>
                <c:pt idx="242">
                  <c:v>-2.9494799999999999</c:v>
                </c:pt>
                <c:pt idx="243">
                  <c:v>-2.8411300000000002</c:v>
                </c:pt>
                <c:pt idx="244">
                  <c:v>-2.7366600000000001</c:v>
                </c:pt>
                <c:pt idx="245">
                  <c:v>-2.6523400000000001</c:v>
                </c:pt>
                <c:pt idx="246">
                  <c:v>-2.5506799999999998</c:v>
                </c:pt>
                <c:pt idx="247">
                  <c:v>-2.44991</c:v>
                </c:pt>
                <c:pt idx="248">
                  <c:v>-2.3553299999999999</c:v>
                </c:pt>
                <c:pt idx="249">
                  <c:v>-2.2543500000000001</c:v>
                </c:pt>
                <c:pt idx="250">
                  <c:v>-2.1282199999999998</c:v>
                </c:pt>
                <c:pt idx="251">
                  <c:v>-2.03586</c:v>
                </c:pt>
                <c:pt idx="252">
                  <c:v>-1.91717</c:v>
                </c:pt>
                <c:pt idx="253">
                  <c:v>-1.81593</c:v>
                </c:pt>
                <c:pt idx="254">
                  <c:v>-1.6807799999999999</c:v>
                </c:pt>
                <c:pt idx="255">
                  <c:v>-1.5620799999999999</c:v>
                </c:pt>
                <c:pt idx="256">
                  <c:v>-1.4274800000000001</c:v>
                </c:pt>
                <c:pt idx="257">
                  <c:v>-1.30297</c:v>
                </c:pt>
                <c:pt idx="258">
                  <c:v>-1.18652</c:v>
                </c:pt>
                <c:pt idx="259">
                  <c:v>-1.0515600000000001</c:v>
                </c:pt>
                <c:pt idx="260">
                  <c:v>-0.92721699999999996</c:v>
                </c:pt>
                <c:pt idx="261">
                  <c:v>-0.80365399999999998</c:v>
                </c:pt>
                <c:pt idx="262">
                  <c:v>-0.666377</c:v>
                </c:pt>
                <c:pt idx="263">
                  <c:v>-0.55182299999999995</c:v>
                </c:pt>
                <c:pt idx="264">
                  <c:v>-0.43071199999999998</c:v>
                </c:pt>
                <c:pt idx="265">
                  <c:v>-0.21105299999999999</c:v>
                </c:pt>
                <c:pt idx="266">
                  <c:v>0.52166999999999997</c:v>
                </c:pt>
                <c:pt idx="267">
                  <c:v>0.78233600000000003</c:v>
                </c:pt>
                <c:pt idx="268">
                  <c:v>0.81724300000000005</c:v>
                </c:pt>
                <c:pt idx="269">
                  <c:v>0.86195100000000002</c:v>
                </c:pt>
                <c:pt idx="270">
                  <c:v>0.950021</c:v>
                </c:pt>
                <c:pt idx="271">
                  <c:v>1.0492999999999999</c:v>
                </c:pt>
                <c:pt idx="272">
                  <c:v>1.1752400000000001</c:v>
                </c:pt>
                <c:pt idx="273">
                  <c:v>1.3152900000000001</c:v>
                </c:pt>
                <c:pt idx="274">
                  <c:v>1.4637500000000001</c:v>
                </c:pt>
                <c:pt idx="275">
                  <c:v>1.62296</c:v>
                </c:pt>
                <c:pt idx="276">
                  <c:v>1.78169</c:v>
                </c:pt>
                <c:pt idx="277">
                  <c:v>1.9421999999999999</c:v>
                </c:pt>
                <c:pt idx="278">
                  <c:v>2.1075200000000001</c:v>
                </c:pt>
                <c:pt idx="279">
                  <c:v>2.2781099999999999</c:v>
                </c:pt>
                <c:pt idx="280">
                  <c:v>2.4499300000000002</c:v>
                </c:pt>
                <c:pt idx="281">
                  <c:v>2.6258699999999999</c:v>
                </c:pt>
                <c:pt idx="282">
                  <c:v>2.7940900000000002</c:v>
                </c:pt>
                <c:pt idx="283">
                  <c:v>2.9581400000000002</c:v>
                </c:pt>
                <c:pt idx="284">
                  <c:v>3.15646</c:v>
                </c:pt>
                <c:pt idx="285">
                  <c:v>3.32565</c:v>
                </c:pt>
                <c:pt idx="286">
                  <c:v>3.4992100000000002</c:v>
                </c:pt>
                <c:pt idx="287">
                  <c:v>3.6540400000000002</c:v>
                </c:pt>
                <c:pt idx="288">
                  <c:v>3.8307899999999999</c:v>
                </c:pt>
                <c:pt idx="289">
                  <c:v>4.0309799999999996</c:v>
                </c:pt>
                <c:pt idx="290">
                  <c:v>4.23407</c:v>
                </c:pt>
                <c:pt idx="291">
                  <c:v>4.4202000000000004</c:v>
                </c:pt>
                <c:pt idx="292">
                  <c:v>4.5639399999999997</c:v>
                </c:pt>
                <c:pt idx="293">
                  <c:v>4.7605300000000002</c:v>
                </c:pt>
                <c:pt idx="294">
                  <c:v>4.9475499999999997</c:v>
                </c:pt>
                <c:pt idx="295">
                  <c:v>5.2143100000000002</c:v>
                </c:pt>
                <c:pt idx="296">
                  <c:v>5.4050900000000004</c:v>
                </c:pt>
                <c:pt idx="297">
                  <c:v>5.6014999999999997</c:v>
                </c:pt>
                <c:pt idx="298">
                  <c:v>5.7946099999999996</c:v>
                </c:pt>
                <c:pt idx="299">
                  <c:v>5.9855799999999997</c:v>
                </c:pt>
                <c:pt idx="300">
                  <c:v>6.1811499999999997</c:v>
                </c:pt>
                <c:pt idx="301">
                  <c:v>6.3762999999999996</c:v>
                </c:pt>
                <c:pt idx="302">
                  <c:v>6.5692300000000001</c:v>
                </c:pt>
                <c:pt idx="303">
                  <c:v>6.77081</c:v>
                </c:pt>
                <c:pt idx="304">
                  <c:v>6.9849899999999998</c:v>
                </c:pt>
                <c:pt idx="305">
                  <c:v>7.2120699999999998</c:v>
                </c:pt>
                <c:pt idx="306">
                  <c:v>7.47248</c:v>
                </c:pt>
                <c:pt idx="307">
                  <c:v>7.6753600000000004</c:v>
                </c:pt>
                <c:pt idx="308">
                  <c:v>7.9446199999999996</c:v>
                </c:pt>
                <c:pt idx="309">
                  <c:v>8.1865900000000007</c:v>
                </c:pt>
                <c:pt idx="310">
                  <c:v>8.4445800000000002</c:v>
                </c:pt>
                <c:pt idx="311">
                  <c:v>8.6780500000000007</c:v>
                </c:pt>
                <c:pt idx="312">
                  <c:v>8.8889499999999995</c:v>
                </c:pt>
                <c:pt idx="313">
                  <c:v>9.0986999999999991</c:v>
                </c:pt>
                <c:pt idx="314">
                  <c:v>9.3196600000000007</c:v>
                </c:pt>
                <c:pt idx="315">
                  <c:v>9.5290400000000002</c:v>
                </c:pt>
                <c:pt idx="316">
                  <c:v>9.7312899999999996</c:v>
                </c:pt>
                <c:pt idx="317">
                  <c:v>9.9010099999999994</c:v>
                </c:pt>
                <c:pt idx="318">
                  <c:v>10.0764</c:v>
                </c:pt>
                <c:pt idx="319">
                  <c:v>10.266</c:v>
                </c:pt>
                <c:pt idx="320">
                  <c:v>10.4788</c:v>
                </c:pt>
                <c:pt idx="321">
                  <c:v>10.741899999999999</c:v>
                </c:pt>
                <c:pt idx="322">
                  <c:v>11.0235</c:v>
                </c:pt>
                <c:pt idx="323">
                  <c:v>11.234299999999999</c:v>
                </c:pt>
                <c:pt idx="324">
                  <c:v>11.3918</c:v>
                </c:pt>
                <c:pt idx="325">
                  <c:v>11.612500000000001</c:v>
                </c:pt>
                <c:pt idx="326">
                  <c:v>11.8933</c:v>
                </c:pt>
                <c:pt idx="327">
                  <c:v>12.027799999999999</c:v>
                </c:pt>
                <c:pt idx="328">
                  <c:v>12.182600000000001</c:v>
                </c:pt>
                <c:pt idx="329">
                  <c:v>12.458399999999999</c:v>
                </c:pt>
                <c:pt idx="330">
                  <c:v>12.6511</c:v>
                </c:pt>
                <c:pt idx="331">
                  <c:v>12.903600000000001</c:v>
                </c:pt>
                <c:pt idx="332">
                  <c:v>13.1541</c:v>
                </c:pt>
                <c:pt idx="333">
                  <c:v>13.368399999999999</c:v>
                </c:pt>
                <c:pt idx="334">
                  <c:v>13.6015</c:v>
                </c:pt>
                <c:pt idx="335">
                  <c:v>13.8704</c:v>
                </c:pt>
                <c:pt idx="336">
                  <c:v>14.1297</c:v>
                </c:pt>
                <c:pt idx="337">
                  <c:v>14.451599999999999</c:v>
                </c:pt>
                <c:pt idx="338">
                  <c:v>14.4628</c:v>
                </c:pt>
                <c:pt idx="339">
                  <c:v>14.575900000000001</c:v>
                </c:pt>
                <c:pt idx="340">
                  <c:v>14.7446</c:v>
                </c:pt>
                <c:pt idx="341">
                  <c:v>14.891</c:v>
                </c:pt>
                <c:pt idx="342">
                  <c:v>14.9779</c:v>
                </c:pt>
                <c:pt idx="343">
                  <c:v>15.0854</c:v>
                </c:pt>
                <c:pt idx="344">
                  <c:v>15.1145</c:v>
                </c:pt>
                <c:pt idx="345">
                  <c:v>15.1486</c:v>
                </c:pt>
                <c:pt idx="346">
                  <c:v>14.961</c:v>
                </c:pt>
                <c:pt idx="347">
                  <c:v>14.946199999999999</c:v>
                </c:pt>
                <c:pt idx="348">
                  <c:v>15.1762</c:v>
                </c:pt>
                <c:pt idx="349">
                  <c:v>15.284700000000001</c:v>
                </c:pt>
                <c:pt idx="350">
                  <c:v>15.331799999999999</c:v>
                </c:pt>
                <c:pt idx="351">
                  <c:v>15.3347</c:v>
                </c:pt>
                <c:pt idx="352">
                  <c:v>15.331</c:v>
                </c:pt>
                <c:pt idx="353">
                  <c:v>15.2844</c:v>
                </c:pt>
                <c:pt idx="354">
                  <c:v>15.295400000000001</c:v>
                </c:pt>
                <c:pt idx="355">
                  <c:v>15.3028</c:v>
                </c:pt>
                <c:pt idx="356">
                  <c:v>15.049200000000001</c:v>
                </c:pt>
                <c:pt idx="357">
                  <c:v>14.9002</c:v>
                </c:pt>
                <c:pt idx="358">
                  <c:v>14.938000000000001</c:v>
                </c:pt>
                <c:pt idx="359">
                  <c:v>14.7561</c:v>
                </c:pt>
                <c:pt idx="360">
                  <c:v>14.525499999999999</c:v>
                </c:pt>
                <c:pt idx="361">
                  <c:v>14.4298</c:v>
                </c:pt>
                <c:pt idx="362">
                  <c:v>14.126799999999999</c:v>
                </c:pt>
                <c:pt idx="363">
                  <c:v>14.106299999999999</c:v>
                </c:pt>
                <c:pt idx="364">
                  <c:v>13.8226</c:v>
                </c:pt>
                <c:pt idx="365">
                  <c:v>13.599500000000001</c:v>
                </c:pt>
                <c:pt idx="366">
                  <c:v>13.3674</c:v>
                </c:pt>
                <c:pt idx="367">
                  <c:v>13.1959</c:v>
                </c:pt>
                <c:pt idx="368">
                  <c:v>13.0069</c:v>
                </c:pt>
                <c:pt idx="369">
                  <c:v>12.7394</c:v>
                </c:pt>
                <c:pt idx="370">
                  <c:v>12.4757</c:v>
                </c:pt>
                <c:pt idx="371">
                  <c:v>12.1639</c:v>
                </c:pt>
                <c:pt idx="372">
                  <c:v>11.9579</c:v>
                </c:pt>
                <c:pt idx="373">
                  <c:v>11.690200000000001</c:v>
                </c:pt>
                <c:pt idx="374">
                  <c:v>11.575799999999999</c:v>
                </c:pt>
                <c:pt idx="375">
                  <c:v>11.314</c:v>
                </c:pt>
                <c:pt idx="376">
                  <c:v>11.0791</c:v>
                </c:pt>
                <c:pt idx="377">
                  <c:v>10.8666</c:v>
                </c:pt>
                <c:pt idx="378">
                  <c:v>10.6013</c:v>
                </c:pt>
                <c:pt idx="379">
                  <c:v>10.4749</c:v>
                </c:pt>
                <c:pt idx="380">
                  <c:v>10.283799999999999</c:v>
                </c:pt>
                <c:pt idx="381">
                  <c:v>9.9821899999999992</c:v>
                </c:pt>
                <c:pt idx="382">
                  <c:v>9.7520900000000008</c:v>
                </c:pt>
                <c:pt idx="383">
                  <c:v>9.5117999999999991</c:v>
                </c:pt>
                <c:pt idx="384">
                  <c:v>9.28308</c:v>
                </c:pt>
                <c:pt idx="385">
                  <c:v>9.1002899999999993</c:v>
                </c:pt>
                <c:pt idx="386">
                  <c:v>8.7908299999999997</c:v>
                </c:pt>
                <c:pt idx="387">
                  <c:v>8.6150300000000009</c:v>
                </c:pt>
                <c:pt idx="388">
                  <c:v>8.3056699999999992</c:v>
                </c:pt>
                <c:pt idx="389">
                  <c:v>7.9999099999999999</c:v>
                </c:pt>
                <c:pt idx="390">
                  <c:v>7.7399399999999998</c:v>
                </c:pt>
                <c:pt idx="391">
                  <c:v>7.5259600000000004</c:v>
                </c:pt>
                <c:pt idx="392">
                  <c:v>7.3913599999999997</c:v>
                </c:pt>
                <c:pt idx="393">
                  <c:v>7.3125499999999999</c:v>
                </c:pt>
                <c:pt idx="394">
                  <c:v>7.1463099999999997</c:v>
                </c:pt>
                <c:pt idx="395">
                  <c:v>6.8612700000000002</c:v>
                </c:pt>
                <c:pt idx="396">
                  <c:v>6.4708399999999999</c:v>
                </c:pt>
                <c:pt idx="397">
                  <c:v>6.2453099999999999</c:v>
                </c:pt>
                <c:pt idx="398">
                  <c:v>6.1328699999999996</c:v>
                </c:pt>
                <c:pt idx="399">
                  <c:v>5.7547600000000001</c:v>
                </c:pt>
              </c:numCache>
            </c:numRef>
          </c:yVal>
          <c:smooth val="1"/>
          <c:extLst>
            <c:ext xmlns:c16="http://schemas.microsoft.com/office/drawing/2014/chart" uri="{C3380CC4-5D6E-409C-BE32-E72D297353CC}">
              <c16:uniqueId val="{00000001-2A10-41EA-A3AE-967165122F16}"/>
            </c:ext>
          </c:extLst>
        </c:ser>
        <c:dLbls>
          <c:showLegendKey val="0"/>
          <c:showVal val="0"/>
          <c:showCatName val="0"/>
          <c:showSerName val="0"/>
          <c:showPercent val="0"/>
          <c:showBubbleSize val="0"/>
        </c:dLbls>
        <c:axId val="176934912"/>
        <c:axId val="176937216"/>
      </c:scatterChart>
      <c:scatterChart>
        <c:scatterStyle val="lineMarker"/>
        <c:varyColors val="0"/>
        <c:ser>
          <c:idx val="3"/>
          <c:order val="1"/>
          <c:tx>
            <c:v>Theoretical Phase</c:v>
          </c:tx>
          <c:spPr>
            <a:ln w="38100">
              <a:solidFill>
                <a:srgbClr val="660066"/>
              </a:solidFill>
              <a:prstDash val="solid"/>
            </a:ln>
          </c:spPr>
          <c:marker>
            <c:symbol val="none"/>
          </c:marker>
          <c:xVal>
            <c:numRef>
              <c:f>'Bode Plots Calculations'!$A$9:$A$676</c:f>
              <c:numCache>
                <c:formatCode>General</c:formatCode>
                <c:ptCount val="668"/>
                <c:pt idx="0">
                  <c:v>1</c:v>
                </c:pt>
                <c:pt idx="1">
                  <c:v>2</c:v>
                </c:pt>
                <c:pt idx="2">
                  <c:v>3</c:v>
                </c:pt>
                <c:pt idx="3">
                  <c:v>4</c:v>
                </c:pt>
                <c:pt idx="4">
                  <c:v>5</c:v>
                </c:pt>
                <c:pt idx="5">
                  <c:v>6</c:v>
                </c:pt>
                <c:pt idx="6">
                  <c:v>7</c:v>
                </c:pt>
                <c:pt idx="7">
                  <c:v>8</c:v>
                </c:pt>
                <c:pt idx="8">
                  <c:v>9</c:v>
                </c:pt>
                <c:pt idx="9">
                  <c:v>10</c:v>
                </c:pt>
                <c:pt idx="10">
                  <c:v>20</c:v>
                </c:pt>
                <c:pt idx="11">
                  <c:v>30</c:v>
                </c:pt>
                <c:pt idx="12">
                  <c:v>40</c:v>
                </c:pt>
                <c:pt idx="13">
                  <c:v>50</c:v>
                </c:pt>
                <c:pt idx="14">
                  <c:v>60</c:v>
                </c:pt>
                <c:pt idx="15">
                  <c:v>70</c:v>
                </c:pt>
                <c:pt idx="16">
                  <c:v>80</c:v>
                </c:pt>
                <c:pt idx="17">
                  <c:v>90</c:v>
                </c:pt>
                <c:pt idx="18">
                  <c:v>100</c:v>
                </c:pt>
                <c:pt idx="19">
                  <c:v>200</c:v>
                </c:pt>
                <c:pt idx="20">
                  <c:v>300</c:v>
                </c:pt>
                <c:pt idx="21">
                  <c:v>400</c:v>
                </c:pt>
                <c:pt idx="22">
                  <c:v>500</c:v>
                </c:pt>
                <c:pt idx="23">
                  <c:v>600</c:v>
                </c:pt>
                <c:pt idx="24">
                  <c:v>700</c:v>
                </c:pt>
                <c:pt idx="25">
                  <c:v>800</c:v>
                </c:pt>
                <c:pt idx="26">
                  <c:v>900</c:v>
                </c:pt>
                <c:pt idx="27">
                  <c:v>1000</c:v>
                </c:pt>
                <c:pt idx="28">
                  <c:v>1500</c:v>
                </c:pt>
                <c:pt idx="29">
                  <c:v>2000</c:v>
                </c:pt>
                <c:pt idx="30">
                  <c:v>2500</c:v>
                </c:pt>
                <c:pt idx="31">
                  <c:v>3000</c:v>
                </c:pt>
                <c:pt idx="32">
                  <c:v>3500</c:v>
                </c:pt>
                <c:pt idx="33">
                  <c:v>4000</c:v>
                </c:pt>
                <c:pt idx="34">
                  <c:v>4500</c:v>
                </c:pt>
                <c:pt idx="35">
                  <c:v>5000</c:v>
                </c:pt>
                <c:pt idx="36">
                  <c:v>5500</c:v>
                </c:pt>
                <c:pt idx="37">
                  <c:v>6000</c:v>
                </c:pt>
                <c:pt idx="38">
                  <c:v>6500</c:v>
                </c:pt>
                <c:pt idx="39">
                  <c:v>7000</c:v>
                </c:pt>
                <c:pt idx="40">
                  <c:v>7500</c:v>
                </c:pt>
                <c:pt idx="41">
                  <c:v>8000</c:v>
                </c:pt>
                <c:pt idx="42">
                  <c:v>8500</c:v>
                </c:pt>
                <c:pt idx="43">
                  <c:v>9000</c:v>
                </c:pt>
                <c:pt idx="44">
                  <c:v>9500</c:v>
                </c:pt>
                <c:pt idx="45">
                  <c:v>10000</c:v>
                </c:pt>
                <c:pt idx="46">
                  <c:v>10500</c:v>
                </c:pt>
                <c:pt idx="47">
                  <c:v>11000</c:v>
                </c:pt>
                <c:pt idx="48">
                  <c:v>11500</c:v>
                </c:pt>
                <c:pt idx="49">
                  <c:v>12000</c:v>
                </c:pt>
                <c:pt idx="50">
                  <c:v>12500</c:v>
                </c:pt>
                <c:pt idx="51">
                  <c:v>13000</c:v>
                </c:pt>
                <c:pt idx="52">
                  <c:v>13500</c:v>
                </c:pt>
                <c:pt idx="53">
                  <c:v>14000</c:v>
                </c:pt>
                <c:pt idx="54">
                  <c:v>14500</c:v>
                </c:pt>
                <c:pt idx="55">
                  <c:v>15000</c:v>
                </c:pt>
                <c:pt idx="56">
                  <c:v>15500</c:v>
                </c:pt>
                <c:pt idx="57">
                  <c:v>16000</c:v>
                </c:pt>
                <c:pt idx="58">
                  <c:v>16500</c:v>
                </c:pt>
                <c:pt idx="59">
                  <c:v>17000</c:v>
                </c:pt>
                <c:pt idx="60">
                  <c:v>17500</c:v>
                </c:pt>
                <c:pt idx="61">
                  <c:v>18000</c:v>
                </c:pt>
                <c:pt idx="62">
                  <c:v>18500</c:v>
                </c:pt>
                <c:pt idx="63">
                  <c:v>19000</c:v>
                </c:pt>
                <c:pt idx="64">
                  <c:v>19500</c:v>
                </c:pt>
                <c:pt idx="65">
                  <c:v>20000</c:v>
                </c:pt>
                <c:pt idx="66">
                  <c:v>20500</c:v>
                </c:pt>
                <c:pt idx="67">
                  <c:v>21000</c:v>
                </c:pt>
                <c:pt idx="68">
                  <c:v>21500</c:v>
                </c:pt>
                <c:pt idx="69">
                  <c:v>22000</c:v>
                </c:pt>
                <c:pt idx="70">
                  <c:v>22500</c:v>
                </c:pt>
                <c:pt idx="71">
                  <c:v>23000</c:v>
                </c:pt>
                <c:pt idx="72">
                  <c:v>23500</c:v>
                </c:pt>
                <c:pt idx="73">
                  <c:v>24000</c:v>
                </c:pt>
                <c:pt idx="74">
                  <c:v>24500</c:v>
                </c:pt>
                <c:pt idx="75">
                  <c:v>25000</c:v>
                </c:pt>
                <c:pt idx="76">
                  <c:v>25500</c:v>
                </c:pt>
                <c:pt idx="77">
                  <c:v>26000</c:v>
                </c:pt>
                <c:pt idx="78">
                  <c:v>26500</c:v>
                </c:pt>
                <c:pt idx="79">
                  <c:v>27000</c:v>
                </c:pt>
                <c:pt idx="80">
                  <c:v>27500</c:v>
                </c:pt>
                <c:pt idx="81">
                  <c:v>28000</c:v>
                </c:pt>
                <c:pt idx="82">
                  <c:v>28500</c:v>
                </c:pt>
                <c:pt idx="83">
                  <c:v>29000</c:v>
                </c:pt>
                <c:pt idx="84">
                  <c:v>29500</c:v>
                </c:pt>
                <c:pt idx="85">
                  <c:v>30000</c:v>
                </c:pt>
                <c:pt idx="86">
                  <c:v>30500</c:v>
                </c:pt>
                <c:pt idx="87">
                  <c:v>31000</c:v>
                </c:pt>
                <c:pt idx="88">
                  <c:v>31500</c:v>
                </c:pt>
                <c:pt idx="89">
                  <c:v>32000</c:v>
                </c:pt>
                <c:pt idx="90">
                  <c:v>32500</c:v>
                </c:pt>
                <c:pt idx="91">
                  <c:v>33000</c:v>
                </c:pt>
                <c:pt idx="92">
                  <c:v>33500</c:v>
                </c:pt>
                <c:pt idx="93">
                  <c:v>34000</c:v>
                </c:pt>
                <c:pt idx="94">
                  <c:v>34500</c:v>
                </c:pt>
                <c:pt idx="95">
                  <c:v>35000</c:v>
                </c:pt>
                <c:pt idx="96">
                  <c:v>35500</c:v>
                </c:pt>
                <c:pt idx="97">
                  <c:v>36000</c:v>
                </c:pt>
                <c:pt idx="98">
                  <c:v>36500</c:v>
                </c:pt>
                <c:pt idx="99">
                  <c:v>37000</c:v>
                </c:pt>
                <c:pt idx="100">
                  <c:v>37500</c:v>
                </c:pt>
                <c:pt idx="101">
                  <c:v>38000</c:v>
                </c:pt>
                <c:pt idx="102">
                  <c:v>38500</c:v>
                </c:pt>
                <c:pt idx="103">
                  <c:v>39000</c:v>
                </c:pt>
                <c:pt idx="104">
                  <c:v>39500</c:v>
                </c:pt>
                <c:pt idx="105">
                  <c:v>40000</c:v>
                </c:pt>
                <c:pt idx="106">
                  <c:v>40500</c:v>
                </c:pt>
                <c:pt idx="107">
                  <c:v>41000</c:v>
                </c:pt>
                <c:pt idx="108">
                  <c:v>41500</c:v>
                </c:pt>
                <c:pt idx="109">
                  <c:v>42000</c:v>
                </c:pt>
                <c:pt idx="110">
                  <c:v>42500</c:v>
                </c:pt>
                <c:pt idx="111">
                  <c:v>43000</c:v>
                </c:pt>
                <c:pt idx="112">
                  <c:v>43500</c:v>
                </c:pt>
                <c:pt idx="113">
                  <c:v>44000</c:v>
                </c:pt>
                <c:pt idx="114">
                  <c:v>44500</c:v>
                </c:pt>
                <c:pt idx="115">
                  <c:v>45000</c:v>
                </c:pt>
                <c:pt idx="116">
                  <c:v>45500</c:v>
                </c:pt>
                <c:pt idx="117">
                  <c:v>46000</c:v>
                </c:pt>
                <c:pt idx="118">
                  <c:v>46500</c:v>
                </c:pt>
                <c:pt idx="119">
                  <c:v>47000</c:v>
                </c:pt>
                <c:pt idx="120">
                  <c:v>47500</c:v>
                </c:pt>
                <c:pt idx="121">
                  <c:v>48000</c:v>
                </c:pt>
                <c:pt idx="122">
                  <c:v>48500</c:v>
                </c:pt>
                <c:pt idx="123">
                  <c:v>49000</c:v>
                </c:pt>
                <c:pt idx="124">
                  <c:v>49500</c:v>
                </c:pt>
                <c:pt idx="125">
                  <c:v>50000</c:v>
                </c:pt>
                <c:pt idx="126">
                  <c:v>50500</c:v>
                </c:pt>
                <c:pt idx="127">
                  <c:v>51000</c:v>
                </c:pt>
                <c:pt idx="128">
                  <c:v>51500</c:v>
                </c:pt>
                <c:pt idx="129">
                  <c:v>52000</c:v>
                </c:pt>
                <c:pt idx="130">
                  <c:v>52500</c:v>
                </c:pt>
                <c:pt idx="131">
                  <c:v>53000</c:v>
                </c:pt>
                <c:pt idx="132">
                  <c:v>53500</c:v>
                </c:pt>
                <c:pt idx="133">
                  <c:v>54000</c:v>
                </c:pt>
                <c:pt idx="134">
                  <c:v>54500</c:v>
                </c:pt>
                <c:pt idx="135">
                  <c:v>55000</c:v>
                </c:pt>
                <c:pt idx="136">
                  <c:v>55500</c:v>
                </c:pt>
                <c:pt idx="137">
                  <c:v>56000</c:v>
                </c:pt>
                <c:pt idx="138">
                  <c:v>56500</c:v>
                </c:pt>
                <c:pt idx="139">
                  <c:v>57000</c:v>
                </c:pt>
                <c:pt idx="140">
                  <c:v>57500</c:v>
                </c:pt>
                <c:pt idx="141">
                  <c:v>58000</c:v>
                </c:pt>
                <c:pt idx="142">
                  <c:v>58500</c:v>
                </c:pt>
                <c:pt idx="143">
                  <c:v>59000</c:v>
                </c:pt>
                <c:pt idx="144">
                  <c:v>59500</c:v>
                </c:pt>
                <c:pt idx="145">
                  <c:v>60000</c:v>
                </c:pt>
                <c:pt idx="146">
                  <c:v>60500</c:v>
                </c:pt>
                <c:pt idx="147">
                  <c:v>61000</c:v>
                </c:pt>
                <c:pt idx="148">
                  <c:v>61500</c:v>
                </c:pt>
                <c:pt idx="149">
                  <c:v>62000</c:v>
                </c:pt>
                <c:pt idx="150">
                  <c:v>62500</c:v>
                </c:pt>
                <c:pt idx="151">
                  <c:v>63000</c:v>
                </c:pt>
                <c:pt idx="152">
                  <c:v>63500</c:v>
                </c:pt>
                <c:pt idx="153">
                  <c:v>64000</c:v>
                </c:pt>
                <c:pt idx="154">
                  <c:v>64500</c:v>
                </c:pt>
                <c:pt idx="155">
                  <c:v>65000</c:v>
                </c:pt>
                <c:pt idx="156">
                  <c:v>65500</c:v>
                </c:pt>
                <c:pt idx="157">
                  <c:v>66000</c:v>
                </c:pt>
                <c:pt idx="158">
                  <c:v>66500</c:v>
                </c:pt>
                <c:pt idx="159">
                  <c:v>67000</c:v>
                </c:pt>
                <c:pt idx="160">
                  <c:v>67500</c:v>
                </c:pt>
                <c:pt idx="161">
                  <c:v>68000</c:v>
                </c:pt>
                <c:pt idx="162">
                  <c:v>68500</c:v>
                </c:pt>
                <c:pt idx="163">
                  <c:v>69000</c:v>
                </c:pt>
                <c:pt idx="164">
                  <c:v>69500</c:v>
                </c:pt>
                <c:pt idx="165">
                  <c:v>70000</c:v>
                </c:pt>
                <c:pt idx="166">
                  <c:v>70500</c:v>
                </c:pt>
                <c:pt idx="167">
                  <c:v>71000</c:v>
                </c:pt>
                <c:pt idx="168">
                  <c:v>71500</c:v>
                </c:pt>
                <c:pt idx="169">
                  <c:v>72000</c:v>
                </c:pt>
                <c:pt idx="170">
                  <c:v>72500</c:v>
                </c:pt>
                <c:pt idx="171">
                  <c:v>73000</c:v>
                </c:pt>
                <c:pt idx="172">
                  <c:v>73500</c:v>
                </c:pt>
                <c:pt idx="173">
                  <c:v>74000</c:v>
                </c:pt>
                <c:pt idx="174">
                  <c:v>74500</c:v>
                </c:pt>
                <c:pt idx="175">
                  <c:v>75000</c:v>
                </c:pt>
                <c:pt idx="176">
                  <c:v>75500</c:v>
                </c:pt>
                <c:pt idx="177">
                  <c:v>76000</c:v>
                </c:pt>
                <c:pt idx="178">
                  <c:v>76500</c:v>
                </c:pt>
                <c:pt idx="179">
                  <c:v>77000</c:v>
                </c:pt>
                <c:pt idx="180">
                  <c:v>77500</c:v>
                </c:pt>
                <c:pt idx="181">
                  <c:v>78000</c:v>
                </c:pt>
                <c:pt idx="182">
                  <c:v>78500</c:v>
                </c:pt>
                <c:pt idx="183">
                  <c:v>79000</c:v>
                </c:pt>
                <c:pt idx="184">
                  <c:v>79500</c:v>
                </c:pt>
                <c:pt idx="185">
                  <c:v>80000</c:v>
                </c:pt>
                <c:pt idx="186">
                  <c:v>80500</c:v>
                </c:pt>
                <c:pt idx="187">
                  <c:v>81000</c:v>
                </c:pt>
                <c:pt idx="188">
                  <c:v>81500</c:v>
                </c:pt>
                <c:pt idx="189">
                  <c:v>82000</c:v>
                </c:pt>
                <c:pt idx="190">
                  <c:v>82500</c:v>
                </c:pt>
                <c:pt idx="191">
                  <c:v>83000</c:v>
                </c:pt>
                <c:pt idx="192">
                  <c:v>83500</c:v>
                </c:pt>
                <c:pt idx="193">
                  <c:v>84000</c:v>
                </c:pt>
                <c:pt idx="194">
                  <c:v>84500</c:v>
                </c:pt>
                <c:pt idx="195">
                  <c:v>85000</c:v>
                </c:pt>
                <c:pt idx="196">
                  <c:v>85500</c:v>
                </c:pt>
                <c:pt idx="197">
                  <c:v>86000</c:v>
                </c:pt>
                <c:pt idx="198">
                  <c:v>86500</c:v>
                </c:pt>
                <c:pt idx="199">
                  <c:v>87000</c:v>
                </c:pt>
                <c:pt idx="200">
                  <c:v>87500</c:v>
                </c:pt>
                <c:pt idx="201">
                  <c:v>88000</c:v>
                </c:pt>
                <c:pt idx="202">
                  <c:v>88500</c:v>
                </c:pt>
                <c:pt idx="203">
                  <c:v>89000</c:v>
                </c:pt>
                <c:pt idx="204">
                  <c:v>89500</c:v>
                </c:pt>
                <c:pt idx="205">
                  <c:v>90000</c:v>
                </c:pt>
                <c:pt idx="206">
                  <c:v>90500</c:v>
                </c:pt>
                <c:pt idx="207">
                  <c:v>91000</c:v>
                </c:pt>
                <c:pt idx="208">
                  <c:v>91500</c:v>
                </c:pt>
                <c:pt idx="209">
                  <c:v>92000</c:v>
                </c:pt>
                <c:pt idx="210">
                  <c:v>92500</c:v>
                </c:pt>
                <c:pt idx="211">
                  <c:v>93000</c:v>
                </c:pt>
                <c:pt idx="212">
                  <c:v>93500</c:v>
                </c:pt>
                <c:pt idx="213">
                  <c:v>94000</c:v>
                </c:pt>
                <c:pt idx="214">
                  <c:v>94500</c:v>
                </c:pt>
                <c:pt idx="215">
                  <c:v>95000</c:v>
                </c:pt>
                <c:pt idx="216">
                  <c:v>95500</c:v>
                </c:pt>
                <c:pt idx="217">
                  <c:v>96000</c:v>
                </c:pt>
                <c:pt idx="218">
                  <c:v>96500</c:v>
                </c:pt>
                <c:pt idx="219">
                  <c:v>97000</c:v>
                </c:pt>
                <c:pt idx="220">
                  <c:v>97500</c:v>
                </c:pt>
                <c:pt idx="221">
                  <c:v>98000</c:v>
                </c:pt>
                <c:pt idx="222">
                  <c:v>98500</c:v>
                </c:pt>
                <c:pt idx="223">
                  <c:v>99000</c:v>
                </c:pt>
                <c:pt idx="224">
                  <c:v>99500</c:v>
                </c:pt>
                <c:pt idx="225">
                  <c:v>100000</c:v>
                </c:pt>
                <c:pt idx="226">
                  <c:v>105000</c:v>
                </c:pt>
                <c:pt idx="227">
                  <c:v>110000</c:v>
                </c:pt>
                <c:pt idx="228">
                  <c:v>115000</c:v>
                </c:pt>
                <c:pt idx="229">
                  <c:v>120000</c:v>
                </c:pt>
                <c:pt idx="230">
                  <c:v>125000</c:v>
                </c:pt>
                <c:pt idx="231">
                  <c:v>130000</c:v>
                </c:pt>
                <c:pt idx="232">
                  <c:v>135000</c:v>
                </c:pt>
                <c:pt idx="233">
                  <c:v>140000</c:v>
                </c:pt>
                <c:pt idx="234">
                  <c:v>145000</c:v>
                </c:pt>
                <c:pt idx="235">
                  <c:v>150000</c:v>
                </c:pt>
                <c:pt idx="236">
                  <c:v>155000</c:v>
                </c:pt>
                <c:pt idx="237">
                  <c:v>160000</c:v>
                </c:pt>
                <c:pt idx="238">
                  <c:v>165000</c:v>
                </c:pt>
                <c:pt idx="239">
                  <c:v>170000</c:v>
                </c:pt>
                <c:pt idx="240">
                  <c:v>175000</c:v>
                </c:pt>
                <c:pt idx="241">
                  <c:v>180000</c:v>
                </c:pt>
                <c:pt idx="242">
                  <c:v>185000</c:v>
                </c:pt>
                <c:pt idx="243">
                  <c:v>190000</c:v>
                </c:pt>
                <c:pt idx="244">
                  <c:v>195000</c:v>
                </c:pt>
                <c:pt idx="245">
                  <c:v>200000</c:v>
                </c:pt>
                <c:pt idx="246">
                  <c:v>205000</c:v>
                </c:pt>
                <c:pt idx="247">
                  <c:v>210000</c:v>
                </c:pt>
                <c:pt idx="248">
                  <c:v>215000</c:v>
                </c:pt>
                <c:pt idx="249">
                  <c:v>220000</c:v>
                </c:pt>
                <c:pt idx="250">
                  <c:v>225000</c:v>
                </c:pt>
                <c:pt idx="251">
                  <c:v>230000</c:v>
                </c:pt>
                <c:pt idx="252">
                  <c:v>235000</c:v>
                </c:pt>
                <c:pt idx="253">
                  <c:v>240000</c:v>
                </c:pt>
                <c:pt idx="254">
                  <c:v>245000</c:v>
                </c:pt>
                <c:pt idx="255">
                  <c:v>250000</c:v>
                </c:pt>
                <c:pt idx="256">
                  <c:v>255000</c:v>
                </c:pt>
                <c:pt idx="257">
                  <c:v>260000</c:v>
                </c:pt>
                <c:pt idx="258">
                  <c:v>265000</c:v>
                </c:pt>
                <c:pt idx="259">
                  <c:v>270000</c:v>
                </c:pt>
                <c:pt idx="260">
                  <c:v>275000</c:v>
                </c:pt>
                <c:pt idx="261">
                  <c:v>280000</c:v>
                </c:pt>
                <c:pt idx="262">
                  <c:v>285000</c:v>
                </c:pt>
                <c:pt idx="263">
                  <c:v>290000</c:v>
                </c:pt>
                <c:pt idx="264">
                  <c:v>295000</c:v>
                </c:pt>
                <c:pt idx="265">
                  <c:v>300000</c:v>
                </c:pt>
                <c:pt idx="266">
                  <c:v>305000</c:v>
                </c:pt>
                <c:pt idx="267">
                  <c:v>310000</c:v>
                </c:pt>
                <c:pt idx="268">
                  <c:v>315000</c:v>
                </c:pt>
                <c:pt idx="269">
                  <c:v>320000</c:v>
                </c:pt>
                <c:pt idx="270">
                  <c:v>325000</c:v>
                </c:pt>
                <c:pt idx="271">
                  <c:v>330000</c:v>
                </c:pt>
                <c:pt idx="272">
                  <c:v>335000</c:v>
                </c:pt>
                <c:pt idx="273">
                  <c:v>340000</c:v>
                </c:pt>
                <c:pt idx="274">
                  <c:v>345000</c:v>
                </c:pt>
                <c:pt idx="275">
                  <c:v>350000</c:v>
                </c:pt>
                <c:pt idx="276">
                  <c:v>355000</c:v>
                </c:pt>
                <c:pt idx="277">
                  <c:v>360000</c:v>
                </c:pt>
                <c:pt idx="278">
                  <c:v>365000</c:v>
                </c:pt>
                <c:pt idx="279">
                  <c:v>370000</c:v>
                </c:pt>
                <c:pt idx="280">
                  <c:v>375000</c:v>
                </c:pt>
                <c:pt idx="281">
                  <c:v>380000</c:v>
                </c:pt>
                <c:pt idx="282">
                  <c:v>385000</c:v>
                </c:pt>
                <c:pt idx="283">
                  <c:v>390000</c:v>
                </c:pt>
                <c:pt idx="284">
                  <c:v>395000</c:v>
                </c:pt>
                <c:pt idx="285">
                  <c:v>400000</c:v>
                </c:pt>
                <c:pt idx="286">
                  <c:v>405000</c:v>
                </c:pt>
                <c:pt idx="287">
                  <c:v>410000</c:v>
                </c:pt>
                <c:pt idx="288">
                  <c:v>415000</c:v>
                </c:pt>
                <c:pt idx="289">
                  <c:v>420000</c:v>
                </c:pt>
                <c:pt idx="290">
                  <c:v>425000</c:v>
                </c:pt>
                <c:pt idx="291">
                  <c:v>430000</c:v>
                </c:pt>
                <c:pt idx="292">
                  <c:v>435000</c:v>
                </c:pt>
                <c:pt idx="293">
                  <c:v>440000</c:v>
                </c:pt>
                <c:pt idx="294">
                  <c:v>445000</c:v>
                </c:pt>
                <c:pt idx="295">
                  <c:v>450000</c:v>
                </c:pt>
                <c:pt idx="296">
                  <c:v>455000</c:v>
                </c:pt>
                <c:pt idx="297">
                  <c:v>460000</c:v>
                </c:pt>
                <c:pt idx="298">
                  <c:v>465000</c:v>
                </c:pt>
                <c:pt idx="299">
                  <c:v>470000</c:v>
                </c:pt>
                <c:pt idx="300">
                  <c:v>475000</c:v>
                </c:pt>
                <c:pt idx="301">
                  <c:v>480000</c:v>
                </c:pt>
                <c:pt idx="302">
                  <c:v>485000</c:v>
                </c:pt>
                <c:pt idx="303">
                  <c:v>490000</c:v>
                </c:pt>
                <c:pt idx="304">
                  <c:v>495000</c:v>
                </c:pt>
                <c:pt idx="305">
                  <c:v>500000</c:v>
                </c:pt>
                <c:pt idx="306">
                  <c:v>505000</c:v>
                </c:pt>
                <c:pt idx="307">
                  <c:v>510000</c:v>
                </c:pt>
                <c:pt idx="308">
                  <c:v>515000</c:v>
                </c:pt>
                <c:pt idx="309">
                  <c:v>520000</c:v>
                </c:pt>
                <c:pt idx="310">
                  <c:v>525000</c:v>
                </c:pt>
                <c:pt idx="311">
                  <c:v>530000</c:v>
                </c:pt>
                <c:pt idx="312">
                  <c:v>535000</c:v>
                </c:pt>
                <c:pt idx="313">
                  <c:v>540000</c:v>
                </c:pt>
                <c:pt idx="314">
                  <c:v>545000</c:v>
                </c:pt>
                <c:pt idx="315">
                  <c:v>550000</c:v>
                </c:pt>
                <c:pt idx="316">
                  <c:v>555000</c:v>
                </c:pt>
                <c:pt idx="317">
                  <c:v>560000</c:v>
                </c:pt>
                <c:pt idx="318">
                  <c:v>565000</c:v>
                </c:pt>
                <c:pt idx="319">
                  <c:v>570000</c:v>
                </c:pt>
                <c:pt idx="320">
                  <c:v>575000</c:v>
                </c:pt>
                <c:pt idx="321">
                  <c:v>580000</c:v>
                </c:pt>
                <c:pt idx="322">
                  <c:v>585000</c:v>
                </c:pt>
                <c:pt idx="323">
                  <c:v>590000</c:v>
                </c:pt>
                <c:pt idx="324">
                  <c:v>595000</c:v>
                </c:pt>
                <c:pt idx="325">
                  <c:v>600000</c:v>
                </c:pt>
                <c:pt idx="326">
                  <c:v>605000</c:v>
                </c:pt>
                <c:pt idx="327">
                  <c:v>610000</c:v>
                </c:pt>
                <c:pt idx="328">
                  <c:v>615000</c:v>
                </c:pt>
                <c:pt idx="329">
                  <c:v>620000</c:v>
                </c:pt>
                <c:pt idx="330">
                  <c:v>625000</c:v>
                </c:pt>
                <c:pt idx="331">
                  <c:v>630000</c:v>
                </c:pt>
                <c:pt idx="332">
                  <c:v>635000</c:v>
                </c:pt>
                <c:pt idx="333">
                  <c:v>640000</c:v>
                </c:pt>
                <c:pt idx="334">
                  <c:v>645000</c:v>
                </c:pt>
                <c:pt idx="335">
                  <c:v>650000</c:v>
                </c:pt>
                <c:pt idx="336">
                  <c:v>655000</c:v>
                </c:pt>
                <c:pt idx="337">
                  <c:v>660000</c:v>
                </c:pt>
                <c:pt idx="338">
                  <c:v>665000</c:v>
                </c:pt>
                <c:pt idx="339">
                  <c:v>670000</c:v>
                </c:pt>
                <c:pt idx="340">
                  <c:v>675000</c:v>
                </c:pt>
                <c:pt idx="341">
                  <c:v>680000</c:v>
                </c:pt>
                <c:pt idx="342">
                  <c:v>685000</c:v>
                </c:pt>
                <c:pt idx="343">
                  <c:v>690000</c:v>
                </c:pt>
                <c:pt idx="344">
                  <c:v>695000</c:v>
                </c:pt>
                <c:pt idx="345">
                  <c:v>700000</c:v>
                </c:pt>
                <c:pt idx="346">
                  <c:v>705000</c:v>
                </c:pt>
                <c:pt idx="347">
                  <c:v>710000</c:v>
                </c:pt>
                <c:pt idx="348">
                  <c:v>715000</c:v>
                </c:pt>
                <c:pt idx="349">
                  <c:v>720000</c:v>
                </c:pt>
                <c:pt idx="350">
                  <c:v>725000</c:v>
                </c:pt>
                <c:pt idx="351">
                  <c:v>730000</c:v>
                </c:pt>
                <c:pt idx="352">
                  <c:v>735000</c:v>
                </c:pt>
                <c:pt idx="353">
                  <c:v>740000</c:v>
                </c:pt>
                <c:pt idx="354">
                  <c:v>745000</c:v>
                </c:pt>
                <c:pt idx="355">
                  <c:v>750000</c:v>
                </c:pt>
                <c:pt idx="356">
                  <c:v>755000</c:v>
                </c:pt>
                <c:pt idx="357">
                  <c:v>760000</c:v>
                </c:pt>
                <c:pt idx="358">
                  <c:v>765000</c:v>
                </c:pt>
                <c:pt idx="359">
                  <c:v>770000</c:v>
                </c:pt>
                <c:pt idx="360">
                  <c:v>775000</c:v>
                </c:pt>
                <c:pt idx="361">
                  <c:v>780000</c:v>
                </c:pt>
                <c:pt idx="362">
                  <c:v>785000</c:v>
                </c:pt>
                <c:pt idx="363">
                  <c:v>790000</c:v>
                </c:pt>
                <c:pt idx="364">
                  <c:v>795000</c:v>
                </c:pt>
                <c:pt idx="365">
                  <c:v>800000</c:v>
                </c:pt>
                <c:pt idx="366">
                  <c:v>805000</c:v>
                </c:pt>
                <c:pt idx="367">
                  <c:v>810000</c:v>
                </c:pt>
                <c:pt idx="368">
                  <c:v>815000</c:v>
                </c:pt>
                <c:pt idx="369">
                  <c:v>820000</c:v>
                </c:pt>
                <c:pt idx="370">
                  <c:v>825000</c:v>
                </c:pt>
                <c:pt idx="371">
                  <c:v>830000</c:v>
                </c:pt>
                <c:pt idx="372">
                  <c:v>835000</c:v>
                </c:pt>
                <c:pt idx="373">
                  <c:v>840000</c:v>
                </c:pt>
                <c:pt idx="374">
                  <c:v>845000</c:v>
                </c:pt>
                <c:pt idx="375">
                  <c:v>850000</c:v>
                </c:pt>
                <c:pt idx="376">
                  <c:v>855000</c:v>
                </c:pt>
                <c:pt idx="377">
                  <c:v>860000</c:v>
                </c:pt>
                <c:pt idx="378">
                  <c:v>865000</c:v>
                </c:pt>
                <c:pt idx="379">
                  <c:v>870000</c:v>
                </c:pt>
                <c:pt idx="380">
                  <c:v>875000</c:v>
                </c:pt>
                <c:pt idx="381">
                  <c:v>880000</c:v>
                </c:pt>
                <c:pt idx="382">
                  <c:v>885000</c:v>
                </c:pt>
                <c:pt idx="383">
                  <c:v>890000</c:v>
                </c:pt>
                <c:pt idx="384">
                  <c:v>895000</c:v>
                </c:pt>
                <c:pt idx="385">
                  <c:v>900000</c:v>
                </c:pt>
                <c:pt idx="386">
                  <c:v>905000</c:v>
                </c:pt>
                <c:pt idx="387">
                  <c:v>910000</c:v>
                </c:pt>
                <c:pt idx="388">
                  <c:v>915000</c:v>
                </c:pt>
                <c:pt idx="389">
                  <c:v>920000</c:v>
                </c:pt>
                <c:pt idx="390">
                  <c:v>925000</c:v>
                </c:pt>
                <c:pt idx="391">
                  <c:v>930000</c:v>
                </c:pt>
                <c:pt idx="392">
                  <c:v>935000</c:v>
                </c:pt>
                <c:pt idx="393">
                  <c:v>940000</c:v>
                </c:pt>
                <c:pt idx="394">
                  <c:v>945000</c:v>
                </c:pt>
                <c:pt idx="395">
                  <c:v>950000</c:v>
                </c:pt>
                <c:pt idx="396">
                  <c:v>955000</c:v>
                </c:pt>
                <c:pt idx="397">
                  <c:v>960000</c:v>
                </c:pt>
                <c:pt idx="398">
                  <c:v>965000</c:v>
                </c:pt>
                <c:pt idx="399">
                  <c:v>970000</c:v>
                </c:pt>
                <c:pt idx="400">
                  <c:v>975000</c:v>
                </c:pt>
                <c:pt idx="401">
                  <c:v>980000</c:v>
                </c:pt>
                <c:pt idx="402">
                  <c:v>985000</c:v>
                </c:pt>
                <c:pt idx="403">
                  <c:v>990000</c:v>
                </c:pt>
                <c:pt idx="404">
                  <c:v>995000</c:v>
                </c:pt>
                <c:pt idx="405">
                  <c:v>1000000</c:v>
                </c:pt>
                <c:pt idx="406">
                  <c:v>1005000</c:v>
                </c:pt>
                <c:pt idx="407">
                  <c:v>1010000</c:v>
                </c:pt>
                <c:pt idx="408">
                  <c:v>1015000</c:v>
                </c:pt>
                <c:pt idx="409">
                  <c:v>1020000</c:v>
                </c:pt>
                <c:pt idx="410">
                  <c:v>1025000</c:v>
                </c:pt>
                <c:pt idx="411">
                  <c:v>1030000</c:v>
                </c:pt>
                <c:pt idx="412">
                  <c:v>1035000</c:v>
                </c:pt>
                <c:pt idx="413">
                  <c:v>1040000</c:v>
                </c:pt>
                <c:pt idx="414">
                  <c:v>1045000</c:v>
                </c:pt>
                <c:pt idx="415">
                  <c:v>1050000</c:v>
                </c:pt>
                <c:pt idx="416">
                  <c:v>1055000</c:v>
                </c:pt>
                <c:pt idx="417">
                  <c:v>1060000</c:v>
                </c:pt>
                <c:pt idx="418">
                  <c:v>1065000</c:v>
                </c:pt>
                <c:pt idx="419">
                  <c:v>1070000</c:v>
                </c:pt>
                <c:pt idx="420">
                  <c:v>1075000</c:v>
                </c:pt>
                <c:pt idx="421">
                  <c:v>1080000</c:v>
                </c:pt>
                <c:pt idx="422">
                  <c:v>1085000</c:v>
                </c:pt>
                <c:pt idx="423">
                  <c:v>1090000</c:v>
                </c:pt>
                <c:pt idx="424">
                  <c:v>1095000</c:v>
                </c:pt>
                <c:pt idx="425">
                  <c:v>1100000</c:v>
                </c:pt>
                <c:pt idx="426">
                  <c:v>1105000</c:v>
                </c:pt>
                <c:pt idx="427">
                  <c:v>1110000</c:v>
                </c:pt>
                <c:pt idx="428">
                  <c:v>1115000</c:v>
                </c:pt>
                <c:pt idx="429">
                  <c:v>1120000</c:v>
                </c:pt>
                <c:pt idx="430">
                  <c:v>1125000</c:v>
                </c:pt>
                <c:pt idx="431">
                  <c:v>1130000</c:v>
                </c:pt>
                <c:pt idx="432">
                  <c:v>1135000</c:v>
                </c:pt>
                <c:pt idx="433">
                  <c:v>1140000</c:v>
                </c:pt>
                <c:pt idx="434">
                  <c:v>1145000</c:v>
                </c:pt>
                <c:pt idx="435">
                  <c:v>1150000</c:v>
                </c:pt>
                <c:pt idx="436">
                  <c:v>1155000</c:v>
                </c:pt>
                <c:pt idx="437">
                  <c:v>1160000</c:v>
                </c:pt>
                <c:pt idx="438">
                  <c:v>1165000</c:v>
                </c:pt>
                <c:pt idx="439">
                  <c:v>1170000</c:v>
                </c:pt>
                <c:pt idx="440">
                  <c:v>1175000</c:v>
                </c:pt>
                <c:pt idx="441">
                  <c:v>1180000</c:v>
                </c:pt>
                <c:pt idx="442">
                  <c:v>1185000</c:v>
                </c:pt>
                <c:pt idx="443">
                  <c:v>1190000</c:v>
                </c:pt>
                <c:pt idx="444">
                  <c:v>1195000</c:v>
                </c:pt>
                <c:pt idx="445">
                  <c:v>1200000</c:v>
                </c:pt>
                <c:pt idx="446">
                  <c:v>1205000</c:v>
                </c:pt>
                <c:pt idx="447">
                  <c:v>1210000</c:v>
                </c:pt>
                <c:pt idx="448">
                  <c:v>1215000</c:v>
                </c:pt>
                <c:pt idx="449">
                  <c:v>1220000</c:v>
                </c:pt>
                <c:pt idx="450">
                  <c:v>1225000</c:v>
                </c:pt>
                <c:pt idx="451">
                  <c:v>1230000</c:v>
                </c:pt>
                <c:pt idx="452">
                  <c:v>1235000</c:v>
                </c:pt>
                <c:pt idx="453">
                  <c:v>1240000</c:v>
                </c:pt>
                <c:pt idx="454">
                  <c:v>1245000</c:v>
                </c:pt>
                <c:pt idx="455">
                  <c:v>1250000</c:v>
                </c:pt>
                <c:pt idx="456">
                  <c:v>1255000</c:v>
                </c:pt>
                <c:pt idx="457">
                  <c:v>1260000</c:v>
                </c:pt>
                <c:pt idx="458">
                  <c:v>1265000</c:v>
                </c:pt>
                <c:pt idx="459">
                  <c:v>1270000</c:v>
                </c:pt>
                <c:pt idx="460">
                  <c:v>1275000</c:v>
                </c:pt>
                <c:pt idx="461">
                  <c:v>1280000</c:v>
                </c:pt>
                <c:pt idx="462">
                  <c:v>1285000</c:v>
                </c:pt>
                <c:pt idx="463">
                  <c:v>1290000</c:v>
                </c:pt>
                <c:pt idx="464">
                  <c:v>1295000</c:v>
                </c:pt>
                <c:pt idx="465">
                  <c:v>1300000</c:v>
                </c:pt>
                <c:pt idx="466">
                  <c:v>1305000</c:v>
                </c:pt>
                <c:pt idx="467">
                  <c:v>1310000</c:v>
                </c:pt>
                <c:pt idx="468">
                  <c:v>1315000</c:v>
                </c:pt>
                <c:pt idx="469">
                  <c:v>1320000</c:v>
                </c:pt>
                <c:pt idx="470">
                  <c:v>1325000</c:v>
                </c:pt>
                <c:pt idx="471">
                  <c:v>1330000</c:v>
                </c:pt>
                <c:pt idx="472">
                  <c:v>1335000</c:v>
                </c:pt>
                <c:pt idx="473">
                  <c:v>1340000</c:v>
                </c:pt>
                <c:pt idx="474">
                  <c:v>1345000</c:v>
                </c:pt>
                <c:pt idx="475">
                  <c:v>1350000</c:v>
                </c:pt>
                <c:pt idx="476">
                  <c:v>1355000</c:v>
                </c:pt>
                <c:pt idx="477">
                  <c:v>1360000</c:v>
                </c:pt>
                <c:pt idx="478">
                  <c:v>1365000</c:v>
                </c:pt>
                <c:pt idx="479">
                  <c:v>1370000</c:v>
                </c:pt>
                <c:pt idx="480">
                  <c:v>1375000</c:v>
                </c:pt>
                <c:pt idx="481">
                  <c:v>1380000</c:v>
                </c:pt>
                <c:pt idx="482">
                  <c:v>1385000</c:v>
                </c:pt>
                <c:pt idx="483">
                  <c:v>1390000</c:v>
                </c:pt>
                <c:pt idx="484">
                  <c:v>1395000</c:v>
                </c:pt>
                <c:pt idx="485">
                  <c:v>1400000</c:v>
                </c:pt>
                <c:pt idx="486">
                  <c:v>1405000</c:v>
                </c:pt>
                <c:pt idx="487">
                  <c:v>1410000</c:v>
                </c:pt>
                <c:pt idx="488">
                  <c:v>1415000</c:v>
                </c:pt>
                <c:pt idx="489">
                  <c:v>1420000</c:v>
                </c:pt>
                <c:pt idx="490">
                  <c:v>1425000</c:v>
                </c:pt>
                <c:pt idx="491">
                  <c:v>1430000</c:v>
                </c:pt>
                <c:pt idx="492">
                  <c:v>1435000</c:v>
                </c:pt>
                <c:pt idx="493">
                  <c:v>1440000</c:v>
                </c:pt>
                <c:pt idx="494">
                  <c:v>1445000</c:v>
                </c:pt>
                <c:pt idx="495">
                  <c:v>1450000</c:v>
                </c:pt>
                <c:pt idx="496">
                  <c:v>1455000</c:v>
                </c:pt>
                <c:pt idx="497">
                  <c:v>1460000</c:v>
                </c:pt>
                <c:pt idx="498">
                  <c:v>1465000</c:v>
                </c:pt>
                <c:pt idx="499">
                  <c:v>1470000</c:v>
                </c:pt>
                <c:pt idx="500">
                  <c:v>1475000</c:v>
                </c:pt>
                <c:pt idx="501">
                  <c:v>1480000</c:v>
                </c:pt>
                <c:pt idx="502">
                  <c:v>1485000</c:v>
                </c:pt>
                <c:pt idx="503">
                  <c:v>1490000</c:v>
                </c:pt>
                <c:pt idx="504">
                  <c:v>1495000</c:v>
                </c:pt>
                <c:pt idx="505">
                  <c:v>1500000</c:v>
                </c:pt>
                <c:pt idx="506">
                  <c:v>1505000</c:v>
                </c:pt>
                <c:pt idx="507">
                  <c:v>1510000</c:v>
                </c:pt>
                <c:pt idx="508">
                  <c:v>1515000</c:v>
                </c:pt>
                <c:pt idx="509">
                  <c:v>1520000</c:v>
                </c:pt>
                <c:pt idx="510">
                  <c:v>1525000</c:v>
                </c:pt>
                <c:pt idx="511">
                  <c:v>1530000</c:v>
                </c:pt>
                <c:pt idx="512">
                  <c:v>1535000</c:v>
                </c:pt>
                <c:pt idx="513">
                  <c:v>1540000</c:v>
                </c:pt>
                <c:pt idx="514">
                  <c:v>1545000</c:v>
                </c:pt>
                <c:pt idx="515">
                  <c:v>1550000</c:v>
                </c:pt>
                <c:pt idx="516">
                  <c:v>1555000</c:v>
                </c:pt>
                <c:pt idx="517">
                  <c:v>1560000</c:v>
                </c:pt>
                <c:pt idx="518">
                  <c:v>1565000</c:v>
                </c:pt>
                <c:pt idx="519">
                  <c:v>1570000</c:v>
                </c:pt>
                <c:pt idx="520">
                  <c:v>1575000</c:v>
                </c:pt>
                <c:pt idx="521">
                  <c:v>1580000</c:v>
                </c:pt>
                <c:pt idx="522">
                  <c:v>1585000</c:v>
                </c:pt>
                <c:pt idx="523">
                  <c:v>1590000</c:v>
                </c:pt>
                <c:pt idx="524">
                  <c:v>1595000</c:v>
                </c:pt>
                <c:pt idx="525">
                  <c:v>1600000</c:v>
                </c:pt>
                <c:pt idx="526">
                  <c:v>1605000</c:v>
                </c:pt>
                <c:pt idx="527">
                  <c:v>1610000</c:v>
                </c:pt>
                <c:pt idx="528">
                  <c:v>1615000</c:v>
                </c:pt>
                <c:pt idx="529">
                  <c:v>1620000</c:v>
                </c:pt>
                <c:pt idx="530">
                  <c:v>1625000</c:v>
                </c:pt>
                <c:pt idx="531">
                  <c:v>1630000</c:v>
                </c:pt>
                <c:pt idx="532">
                  <c:v>1635000</c:v>
                </c:pt>
                <c:pt idx="533">
                  <c:v>1640000</c:v>
                </c:pt>
                <c:pt idx="534">
                  <c:v>1645000</c:v>
                </c:pt>
                <c:pt idx="535">
                  <c:v>1650000</c:v>
                </c:pt>
                <c:pt idx="536">
                  <c:v>1655000</c:v>
                </c:pt>
                <c:pt idx="537">
                  <c:v>1660000</c:v>
                </c:pt>
                <c:pt idx="538">
                  <c:v>1665000</c:v>
                </c:pt>
                <c:pt idx="539">
                  <c:v>1670000</c:v>
                </c:pt>
                <c:pt idx="540">
                  <c:v>1675000</c:v>
                </c:pt>
                <c:pt idx="541">
                  <c:v>1680000</c:v>
                </c:pt>
                <c:pt idx="542">
                  <c:v>1685000</c:v>
                </c:pt>
                <c:pt idx="543">
                  <c:v>1690000</c:v>
                </c:pt>
                <c:pt idx="544">
                  <c:v>1695000</c:v>
                </c:pt>
                <c:pt idx="545">
                  <c:v>1700000</c:v>
                </c:pt>
                <c:pt idx="546">
                  <c:v>1705000</c:v>
                </c:pt>
                <c:pt idx="547">
                  <c:v>1710000</c:v>
                </c:pt>
                <c:pt idx="548">
                  <c:v>1715000</c:v>
                </c:pt>
                <c:pt idx="549">
                  <c:v>1720000</c:v>
                </c:pt>
                <c:pt idx="550">
                  <c:v>1725000</c:v>
                </c:pt>
                <c:pt idx="551">
                  <c:v>1730000</c:v>
                </c:pt>
                <c:pt idx="552">
                  <c:v>1735000</c:v>
                </c:pt>
                <c:pt idx="553">
                  <c:v>1740000</c:v>
                </c:pt>
                <c:pt idx="554">
                  <c:v>1745000</c:v>
                </c:pt>
                <c:pt idx="555">
                  <c:v>1750000</c:v>
                </c:pt>
                <c:pt idx="556">
                  <c:v>1755000</c:v>
                </c:pt>
                <c:pt idx="557">
                  <c:v>1760000</c:v>
                </c:pt>
                <c:pt idx="558">
                  <c:v>1765000</c:v>
                </c:pt>
                <c:pt idx="559">
                  <c:v>1770000</c:v>
                </c:pt>
                <c:pt idx="560">
                  <c:v>1775000</c:v>
                </c:pt>
                <c:pt idx="561">
                  <c:v>1780000</c:v>
                </c:pt>
                <c:pt idx="562">
                  <c:v>1785000</c:v>
                </c:pt>
                <c:pt idx="563">
                  <c:v>1790000</c:v>
                </c:pt>
                <c:pt idx="564">
                  <c:v>1795000</c:v>
                </c:pt>
                <c:pt idx="565">
                  <c:v>1800000</c:v>
                </c:pt>
                <c:pt idx="566">
                  <c:v>1805000</c:v>
                </c:pt>
                <c:pt idx="567">
                  <c:v>1810000</c:v>
                </c:pt>
                <c:pt idx="568">
                  <c:v>1815000</c:v>
                </c:pt>
                <c:pt idx="569">
                  <c:v>1820000</c:v>
                </c:pt>
                <c:pt idx="570">
                  <c:v>1825000</c:v>
                </c:pt>
                <c:pt idx="571">
                  <c:v>1830000</c:v>
                </c:pt>
                <c:pt idx="572">
                  <c:v>1835000</c:v>
                </c:pt>
                <c:pt idx="573">
                  <c:v>1840000</c:v>
                </c:pt>
                <c:pt idx="574">
                  <c:v>1845000</c:v>
                </c:pt>
                <c:pt idx="575">
                  <c:v>1850000</c:v>
                </c:pt>
                <c:pt idx="576">
                  <c:v>1855000</c:v>
                </c:pt>
                <c:pt idx="577">
                  <c:v>1860000</c:v>
                </c:pt>
                <c:pt idx="578">
                  <c:v>1865000</c:v>
                </c:pt>
                <c:pt idx="579">
                  <c:v>1870000</c:v>
                </c:pt>
                <c:pt idx="580">
                  <c:v>1875000</c:v>
                </c:pt>
                <c:pt idx="581">
                  <c:v>1880000</c:v>
                </c:pt>
                <c:pt idx="582">
                  <c:v>1885000</c:v>
                </c:pt>
                <c:pt idx="583">
                  <c:v>1890000</c:v>
                </c:pt>
                <c:pt idx="584">
                  <c:v>1895000</c:v>
                </c:pt>
                <c:pt idx="585">
                  <c:v>1900000</c:v>
                </c:pt>
                <c:pt idx="586">
                  <c:v>1905000</c:v>
                </c:pt>
                <c:pt idx="587">
                  <c:v>1910000</c:v>
                </c:pt>
                <c:pt idx="588">
                  <c:v>1915000</c:v>
                </c:pt>
                <c:pt idx="589">
                  <c:v>1920000</c:v>
                </c:pt>
                <c:pt idx="590">
                  <c:v>1925000</c:v>
                </c:pt>
                <c:pt idx="591">
                  <c:v>1930000</c:v>
                </c:pt>
                <c:pt idx="592">
                  <c:v>1935000</c:v>
                </c:pt>
                <c:pt idx="593">
                  <c:v>1940000</c:v>
                </c:pt>
                <c:pt idx="594">
                  <c:v>1945000</c:v>
                </c:pt>
                <c:pt idx="595">
                  <c:v>1950000</c:v>
                </c:pt>
                <c:pt idx="596">
                  <c:v>1955000</c:v>
                </c:pt>
                <c:pt idx="597">
                  <c:v>1960000</c:v>
                </c:pt>
                <c:pt idx="598">
                  <c:v>1965000</c:v>
                </c:pt>
                <c:pt idx="599">
                  <c:v>1970000</c:v>
                </c:pt>
                <c:pt idx="600">
                  <c:v>1975000</c:v>
                </c:pt>
                <c:pt idx="601">
                  <c:v>1980000</c:v>
                </c:pt>
                <c:pt idx="602">
                  <c:v>1985000</c:v>
                </c:pt>
                <c:pt idx="603">
                  <c:v>1990000</c:v>
                </c:pt>
                <c:pt idx="604">
                  <c:v>1995000</c:v>
                </c:pt>
                <c:pt idx="605">
                  <c:v>2000000</c:v>
                </c:pt>
                <c:pt idx="606">
                  <c:v>2250000</c:v>
                </c:pt>
                <c:pt idx="607">
                  <c:v>2500000</c:v>
                </c:pt>
                <c:pt idx="608">
                  <c:v>2750000</c:v>
                </c:pt>
                <c:pt idx="609">
                  <c:v>3000000</c:v>
                </c:pt>
                <c:pt idx="610">
                  <c:v>3250000</c:v>
                </c:pt>
                <c:pt idx="611">
                  <c:v>3500000</c:v>
                </c:pt>
                <c:pt idx="612">
                  <c:v>3750000</c:v>
                </c:pt>
                <c:pt idx="613">
                  <c:v>4000000</c:v>
                </c:pt>
                <c:pt idx="614">
                  <c:v>4250000</c:v>
                </c:pt>
                <c:pt idx="615">
                  <c:v>4500000</c:v>
                </c:pt>
                <c:pt idx="616">
                  <c:v>4750000</c:v>
                </c:pt>
                <c:pt idx="617">
                  <c:v>5000000</c:v>
                </c:pt>
                <c:pt idx="618">
                  <c:v>5100000</c:v>
                </c:pt>
                <c:pt idx="619">
                  <c:v>5200000</c:v>
                </c:pt>
                <c:pt idx="620">
                  <c:v>5300000</c:v>
                </c:pt>
                <c:pt idx="621">
                  <c:v>5400000</c:v>
                </c:pt>
                <c:pt idx="622">
                  <c:v>5500000</c:v>
                </c:pt>
                <c:pt idx="623">
                  <c:v>5600000</c:v>
                </c:pt>
                <c:pt idx="624">
                  <c:v>5700000</c:v>
                </c:pt>
                <c:pt idx="625">
                  <c:v>5800000</c:v>
                </c:pt>
                <c:pt idx="626">
                  <c:v>5900000</c:v>
                </c:pt>
                <c:pt idx="627">
                  <c:v>6000000</c:v>
                </c:pt>
                <c:pt idx="628">
                  <c:v>6100000</c:v>
                </c:pt>
                <c:pt idx="629">
                  <c:v>6200000</c:v>
                </c:pt>
                <c:pt idx="630">
                  <c:v>6300000</c:v>
                </c:pt>
                <c:pt idx="631">
                  <c:v>6400000</c:v>
                </c:pt>
                <c:pt idx="632">
                  <c:v>6500000</c:v>
                </c:pt>
                <c:pt idx="633">
                  <c:v>6600000</c:v>
                </c:pt>
                <c:pt idx="634">
                  <c:v>6700000</c:v>
                </c:pt>
                <c:pt idx="635">
                  <c:v>6800000</c:v>
                </c:pt>
                <c:pt idx="636">
                  <c:v>6900000</c:v>
                </c:pt>
                <c:pt idx="637">
                  <c:v>7000000</c:v>
                </c:pt>
                <c:pt idx="638">
                  <c:v>7100000</c:v>
                </c:pt>
                <c:pt idx="639">
                  <c:v>7200000</c:v>
                </c:pt>
                <c:pt idx="640">
                  <c:v>7300000</c:v>
                </c:pt>
                <c:pt idx="641">
                  <c:v>7400000</c:v>
                </c:pt>
                <c:pt idx="642">
                  <c:v>7500000</c:v>
                </c:pt>
                <c:pt idx="643">
                  <c:v>7600000</c:v>
                </c:pt>
                <c:pt idx="644">
                  <c:v>7700000</c:v>
                </c:pt>
                <c:pt idx="645">
                  <c:v>7800000</c:v>
                </c:pt>
                <c:pt idx="646">
                  <c:v>7900000</c:v>
                </c:pt>
                <c:pt idx="647">
                  <c:v>8000000</c:v>
                </c:pt>
                <c:pt idx="648">
                  <c:v>8100000</c:v>
                </c:pt>
                <c:pt idx="649">
                  <c:v>8200000</c:v>
                </c:pt>
                <c:pt idx="650">
                  <c:v>8300000</c:v>
                </c:pt>
                <c:pt idx="651">
                  <c:v>8400000</c:v>
                </c:pt>
                <c:pt idx="652">
                  <c:v>8500000</c:v>
                </c:pt>
                <c:pt idx="653">
                  <c:v>8600000</c:v>
                </c:pt>
                <c:pt idx="654">
                  <c:v>8700000</c:v>
                </c:pt>
                <c:pt idx="655">
                  <c:v>8800000</c:v>
                </c:pt>
                <c:pt idx="656">
                  <c:v>8900000</c:v>
                </c:pt>
                <c:pt idx="657">
                  <c:v>9000000</c:v>
                </c:pt>
                <c:pt idx="658">
                  <c:v>9100000</c:v>
                </c:pt>
                <c:pt idx="659">
                  <c:v>9200000</c:v>
                </c:pt>
                <c:pt idx="660">
                  <c:v>9300000</c:v>
                </c:pt>
                <c:pt idx="661">
                  <c:v>9400000</c:v>
                </c:pt>
                <c:pt idx="662">
                  <c:v>9500000</c:v>
                </c:pt>
                <c:pt idx="663">
                  <c:v>9600000</c:v>
                </c:pt>
                <c:pt idx="664">
                  <c:v>9700000</c:v>
                </c:pt>
                <c:pt idx="665">
                  <c:v>9800000</c:v>
                </c:pt>
                <c:pt idx="666">
                  <c:v>9900000</c:v>
                </c:pt>
                <c:pt idx="667">
                  <c:v>10000000</c:v>
                </c:pt>
              </c:numCache>
            </c:numRef>
          </c:xVal>
          <c:yVal>
            <c:numRef>
              <c:f>'Bode Plots Calculations'!$BD$9:$BD$676</c:f>
              <c:numCache>
                <c:formatCode>General</c:formatCode>
                <c:ptCount val="668"/>
                <c:pt idx="0">
                  <c:v>-226.43264690786557</c:v>
                </c:pt>
                <c:pt idx="1">
                  <c:v>-244.53218082205166</c:v>
                </c:pt>
                <c:pt idx="2">
                  <c:v>-252.34445329625805</c:v>
                </c:pt>
                <c:pt idx="3">
                  <c:v>-256.53057250818637</c:v>
                </c:pt>
                <c:pt idx="4">
                  <c:v>-259.10747230936994</c:v>
                </c:pt>
                <c:pt idx="5">
                  <c:v>-260.84269432861169</c:v>
                </c:pt>
                <c:pt idx="6">
                  <c:v>-262.08544494526393</c:v>
                </c:pt>
                <c:pt idx="7">
                  <c:v>-263.01606549891</c:v>
                </c:pt>
                <c:pt idx="8">
                  <c:v>-263.7367249850746</c:v>
                </c:pt>
                <c:pt idx="9">
                  <c:v>-264.30951282155343</c:v>
                </c:pt>
                <c:pt idx="10">
                  <c:v>-266.7559632610056</c:v>
                </c:pt>
                <c:pt idx="11">
                  <c:v>-267.40023872418141</c:v>
                </c:pt>
                <c:pt idx="12">
                  <c:v>-267.59186243302645</c:v>
                </c:pt>
                <c:pt idx="13">
                  <c:v>-267.60222432780239</c:v>
                </c:pt>
                <c:pt idx="14">
                  <c:v>-267.52192136084443</c:v>
                </c:pt>
                <c:pt idx="15">
                  <c:v>-267.38980688069807</c:v>
                </c:pt>
                <c:pt idx="16">
                  <c:v>-267.2253155628423</c:v>
                </c:pt>
                <c:pt idx="17">
                  <c:v>-267.0392479677069</c:v>
                </c:pt>
                <c:pt idx="18">
                  <c:v>-266.83808649824374</c:v>
                </c:pt>
                <c:pt idx="19">
                  <c:v>-264.49596498596696</c:v>
                </c:pt>
                <c:pt idx="20">
                  <c:v>-261.9784815743057</c:v>
                </c:pt>
                <c:pt idx="21">
                  <c:v>-259.42475869382179</c:v>
                </c:pt>
                <c:pt idx="22">
                  <c:v>-256.86496695166591</c:v>
                </c:pt>
                <c:pt idx="23">
                  <c:v>-254.31104562453365</c:v>
                </c:pt>
                <c:pt idx="24">
                  <c:v>-251.76964852248449</c:v>
                </c:pt>
                <c:pt idx="25">
                  <c:v>-249.24536881763208</c:v>
                </c:pt>
                <c:pt idx="26">
                  <c:v>-246.74180510308346</c:v>
                </c:pt>
                <c:pt idx="27">
                  <c:v>-244.26198128424306</c:v>
                </c:pt>
                <c:pt idx="28">
                  <c:v>-232.30162655753324</c:v>
                </c:pt>
                <c:pt idx="29">
                  <c:v>-221.22619750541449</c:v>
                </c:pt>
                <c:pt idx="30">
                  <c:v>-211.15398741594291</c:v>
                </c:pt>
                <c:pt idx="31">
                  <c:v>-202.11298305837312</c:v>
                </c:pt>
                <c:pt idx="32">
                  <c:v>-194.06875144369994</c:v>
                </c:pt>
                <c:pt idx="33">
                  <c:v>-186.94988100863077</c:v>
                </c:pt>
                <c:pt idx="34">
                  <c:v>-180.66753784213637</c:v>
                </c:pt>
                <c:pt idx="35">
                  <c:v>-175.12854045220794</c:v>
                </c:pt>
                <c:pt idx="36">
                  <c:v>-170.24309214022088</c:v>
                </c:pt>
                <c:pt idx="37">
                  <c:v>-165.92874949941097</c:v>
                </c:pt>
                <c:pt idx="38">
                  <c:v>-162.11200624278297</c:v>
                </c:pt>
                <c:pt idx="39">
                  <c:v>-158.72849490800064</c:v>
                </c:pt>
                <c:pt idx="40">
                  <c:v>-155.72246242887584</c:v>
                </c:pt>
                <c:pt idx="41">
                  <c:v>-153.04591823746421</c:v>
                </c:pt>
                <c:pt idx="42">
                  <c:v>-150.65768214817962</c:v>
                </c:pt>
                <c:pt idx="43">
                  <c:v>-148.522452622636</c:v>
                </c:pt>
                <c:pt idx="44">
                  <c:v>-146.60995296142164</c:v>
                </c:pt>
                <c:pt idx="45">
                  <c:v>-144.89417739809861</c:v>
                </c:pt>
                <c:pt idx="46">
                  <c:v>-143.35274006014205</c:v>
                </c:pt>
                <c:pt idx="47">
                  <c:v>-141.96632037655331</c:v>
                </c:pt>
                <c:pt idx="48">
                  <c:v>-140.71819452848081</c:v>
                </c:pt>
                <c:pt idx="49">
                  <c:v>-139.59384146161776</c:v>
                </c:pt>
                <c:pt idx="50">
                  <c:v>-138.58061237091567</c:v>
                </c:pt>
                <c:pt idx="51">
                  <c:v>-137.66745362454807</c:v>
                </c:pt>
                <c:pt idx="52">
                  <c:v>-136.84467437931795</c:v>
                </c:pt>
                <c:pt idx="53">
                  <c:v>-136.10375142934168</c:v>
                </c:pt>
                <c:pt idx="54">
                  <c:v>-135.43716501779875</c:v>
                </c:pt>
                <c:pt idx="55">
                  <c:v>-134.83826038630068</c:v>
                </c:pt>
                <c:pt idx="56">
                  <c:v>-134.30113073027351</c:v>
                </c:pt>
                <c:pt idx="57">
                  <c:v>-133.82051798039467</c:v>
                </c:pt>
                <c:pt idx="58">
                  <c:v>-133.39172845532352</c:v>
                </c:pt>
                <c:pt idx="59">
                  <c:v>-133.01056094740045</c:v>
                </c:pt>
                <c:pt idx="60">
                  <c:v>-132.67324522781391</c:v>
                </c:pt>
                <c:pt idx="61">
                  <c:v>-132.37638930639667</c:v>
                </c:pt>
                <c:pt idx="62">
                  <c:v>-132.11693406711572</c:v>
                </c:pt>
                <c:pt idx="63">
                  <c:v>-131.89211413476295</c:v>
                </c:pt>
                <c:pt idx="64">
                  <c:v>-131.69942402076089</c:v>
                </c:pt>
                <c:pt idx="65">
                  <c:v>-131.53658875410434</c:v>
                </c:pt>
                <c:pt idx="66">
                  <c:v>-131.40153833360773</c:v>
                </c:pt>
                <c:pt idx="67">
                  <c:v>-131.29238544497213</c:v>
                </c:pt>
                <c:pt idx="68">
                  <c:v>-131.20740597491994</c:v>
                </c:pt>
                <c:pt idx="69">
                  <c:v>-131.14502192816542</c:v>
                </c:pt>
                <c:pt idx="70">
                  <c:v>-131.10378641405569</c:v>
                </c:pt>
                <c:pt idx="71">
                  <c:v>-131.08237042056697</c:v>
                </c:pt>
                <c:pt idx="72">
                  <c:v>-131.07955113579249</c:v>
                </c:pt>
                <c:pt idx="73">
                  <c:v>-131.09420161259283</c:v>
                </c:pt>
                <c:pt idx="74">
                  <c:v>-131.1252816018953</c:v>
                </c:pt>
                <c:pt idx="75">
                  <c:v>-131.17182940521946</c:v>
                </c:pt>
                <c:pt idx="76">
                  <c:v>-131.23295461816778</c:v>
                </c:pt>
                <c:pt idx="77">
                  <c:v>-131.30783165451501</c:v>
                </c:pt>
                <c:pt idx="78">
                  <c:v>-131.39569395570453</c:v>
                </c:pt>
                <c:pt idx="79">
                  <c:v>-131.49582880345187</c:v>
                </c:pt>
                <c:pt idx="80">
                  <c:v>-131.60757266414296</c:v>
                </c:pt>
                <c:pt idx="81">
                  <c:v>-131.73030700309482</c:v>
                </c:pt>
                <c:pt idx="82">
                  <c:v>-131.86345451477632</c:v>
                </c:pt>
                <c:pt idx="83">
                  <c:v>-132.00647572197715</c:v>
                </c:pt>
                <c:pt idx="84">
                  <c:v>-132.15886590283537</c:v>
                </c:pt>
                <c:pt idx="85">
                  <c:v>-132.32015230973974</c:v>
                </c:pt>
                <c:pt idx="86">
                  <c:v>-132.48989164853123</c:v>
                </c:pt>
                <c:pt idx="87">
                  <c:v>-132.66766779024326</c:v>
                </c:pt>
                <c:pt idx="88">
                  <c:v>-132.85308969092893</c:v>
                </c:pt>
                <c:pt idx="89">
                  <c:v>-133.0457894979975</c:v>
                </c:pt>
                <c:pt idx="90">
                  <c:v>-133.24542082398676</c:v>
                </c:pt>
                <c:pt idx="91">
                  <c:v>-133.45165717087934</c:v>
                </c:pt>
                <c:pt idx="92">
                  <c:v>-133.66419048998065</c:v>
                </c:pt>
                <c:pt idx="93">
                  <c:v>-133.8827298640457</c:v>
                </c:pt>
                <c:pt idx="94">
                  <c:v>-134.10700029980745</c:v>
                </c:pt>
                <c:pt idx="95">
                  <c:v>-134.33674162034669</c:v>
                </c:pt>
                <c:pt idx="96">
                  <c:v>-134.57170744787638</c:v>
                </c:pt>
                <c:pt idx="97">
                  <c:v>-134.81166426851246</c:v>
                </c:pt>
                <c:pt idx="98">
                  <c:v>-135.05639057148429</c:v>
                </c:pt>
                <c:pt idx="99">
                  <c:v>-135.30567605601914</c:v>
                </c:pt>
                <c:pt idx="100">
                  <c:v>-135.55932089982451</c:v>
                </c:pt>
                <c:pt idx="101">
                  <c:v>-135.81713508370669</c:v>
                </c:pt>
                <c:pt idx="102">
                  <c:v>-136.0789377674065</c:v>
                </c:pt>
                <c:pt idx="103">
                  <c:v>-136.34455671222003</c:v>
                </c:pt>
                <c:pt idx="104">
                  <c:v>-136.61382774640123</c:v>
                </c:pt>
                <c:pt idx="105">
                  <c:v>-136.88659426973058</c:v>
                </c:pt>
                <c:pt idx="106">
                  <c:v>-137.16270679397712</c:v>
                </c:pt>
                <c:pt idx="107">
                  <c:v>-137.44202251628823</c:v>
                </c:pt>
                <c:pt idx="108">
                  <c:v>-137.72440492281956</c:v>
                </c:pt>
                <c:pt idx="109">
                  <c:v>-138.00972342016189</c:v>
                </c:pt>
                <c:pt idx="110">
                  <c:v>-138.29785299234618</c:v>
                </c:pt>
                <c:pt idx="111">
                  <c:v>-138.58867388140661</c:v>
                </c:pt>
                <c:pt idx="112">
                  <c:v>-138.88207128966104</c:v>
                </c:pt>
                <c:pt idx="113">
                  <c:v>-139.17793510203131</c:v>
                </c:pt>
                <c:pt idx="114">
                  <c:v>-139.47615962687036</c:v>
                </c:pt>
                <c:pt idx="115">
                  <c:v>-139.7766433538969</c:v>
                </c:pt>
                <c:pt idx="116">
                  <c:v>-140.07928872795648</c:v>
                </c:pt>
                <c:pt idx="117">
                  <c:v>-140.38400193743621</c:v>
                </c:pt>
                <c:pt idx="118">
                  <c:v>-140.69069271625881</c:v>
                </c:pt>
                <c:pt idx="119">
                  <c:v>-140.99927415846929</c:v>
                </c:pt>
                <c:pt idx="120">
                  <c:v>-141.30966254451022</c:v>
                </c:pt>
                <c:pt idx="121">
                  <c:v>-141.62177717835186</c:v>
                </c:pt>
                <c:pt idx="122">
                  <c:v>-141.93554023471341</c:v>
                </c:pt>
                <c:pt idx="123">
                  <c:v>-142.25087661567028</c:v>
                </c:pt>
                <c:pt idx="124">
                  <c:v>-142.56771381599759</c:v>
                </c:pt>
                <c:pt idx="125">
                  <c:v>-142.88598179665198</c:v>
                </c:pt>
                <c:pt idx="126">
                  <c:v>-143.20561286583916</c:v>
                </c:pt>
                <c:pt idx="127">
                  <c:v>-143.52654156715582</c:v>
                </c:pt>
                <c:pt idx="128">
                  <c:v>-143.84870457433533</c:v>
                </c:pt>
                <c:pt idx="129">
                  <c:v>-144.17204059215959</c:v>
                </c:pt>
                <c:pt idx="130">
                  <c:v>-144.49649026313355</c:v>
                </c:pt>
                <c:pt idx="131">
                  <c:v>-144.82199607954752</c:v>
                </c:pt>
                <c:pt idx="132">
                  <c:v>-145.14850230057993</c:v>
                </c:pt>
                <c:pt idx="133">
                  <c:v>-145.47595487411857</c:v>
                </c:pt>
                <c:pt idx="134">
                  <c:v>-145.80430136300092</c:v>
                </c:pt>
                <c:pt idx="135">
                  <c:v>-146.13349087539504</c:v>
                </c:pt>
                <c:pt idx="136">
                  <c:v>-146.46347399906321</c:v>
                </c:pt>
                <c:pt idx="137">
                  <c:v>-146.79420273926689</c:v>
                </c:pt>
                <c:pt idx="138">
                  <c:v>-147.12563046008927</c:v>
                </c:pt>
                <c:pt idx="139">
                  <c:v>-147.45771182896655</c:v>
                </c:pt>
                <c:pt idx="140">
                  <c:v>-147.79040276423308</c:v>
                </c:pt>
                <c:pt idx="141">
                  <c:v>-148.12366038549885</c:v>
                </c:pt>
                <c:pt idx="142">
                  <c:v>-148.45744296668974</c:v>
                </c:pt>
                <c:pt idx="143">
                  <c:v>-148.79170989159169</c:v>
                </c:pt>
                <c:pt idx="144">
                  <c:v>-149.12642161175108</c:v>
                </c:pt>
                <c:pt idx="145">
                  <c:v>-149.46153960659294</c:v>
                </c:pt>
                <c:pt idx="146">
                  <c:v>-149.79702634562648</c:v>
                </c:pt>
                <c:pt idx="147">
                  <c:v>-150.13284525261773</c:v>
                </c:pt>
                <c:pt idx="148">
                  <c:v>-150.46896067161452</c:v>
                </c:pt>
                <c:pt idx="149">
                  <c:v>-150.8053378347177</c:v>
                </c:pt>
                <c:pt idx="150">
                  <c:v>-151.14194283149857</c:v>
                </c:pt>
                <c:pt idx="151">
                  <c:v>-151.47874257996844</c:v>
                </c:pt>
                <c:pt idx="152">
                  <c:v>-151.81570479901262</c:v>
                </c:pt>
                <c:pt idx="153">
                  <c:v>-152.15279798220533</c:v>
                </c:pt>
                <c:pt idx="154">
                  <c:v>-152.4899913729289</c:v>
                </c:pt>
                <c:pt idx="155">
                  <c:v>-152.82725494072261</c:v>
                </c:pt>
                <c:pt idx="156">
                  <c:v>-153.16455935879409</c:v>
                </c:pt>
                <c:pt idx="157">
                  <c:v>-153.5018759826269</c:v>
                </c:pt>
                <c:pt idx="158">
                  <c:v>-153.83917682962453</c:v>
                </c:pt>
                <c:pt idx="159">
                  <c:v>-154.17643455973291</c:v>
                </c:pt>
                <c:pt idx="160">
                  <c:v>-154.51362245698689</c:v>
                </c:pt>
                <c:pt idx="161">
                  <c:v>-154.85071441193111</c:v>
                </c:pt>
                <c:pt idx="162">
                  <c:v>-155.18768490486531</c:v>
                </c:pt>
                <c:pt idx="163">
                  <c:v>-155.52450898987013</c:v>
                </c:pt>
                <c:pt idx="164">
                  <c:v>-155.86116227957018</c:v>
                </c:pt>
                <c:pt idx="165">
                  <c:v>-156.19762093059362</c:v>
                </c:pt>
                <c:pt idx="166">
                  <c:v>-156.53386162969068</c:v>
                </c:pt>
                <c:pt idx="167">
                  <c:v>-156.86986158047455</c:v>
                </c:pt>
                <c:pt idx="168">
                  <c:v>-157.20559849075144</c:v>
                </c:pt>
                <c:pt idx="169">
                  <c:v>-157.54105056040623</c:v>
                </c:pt>
                <c:pt idx="170">
                  <c:v>-157.876196469815</c:v>
                </c:pt>
                <c:pt idx="171">
                  <c:v>-158.2110153687544</c:v>
                </c:pt>
                <c:pt idx="172">
                  <c:v>-158.54548686578138</c:v>
                </c:pt>
                <c:pt idx="173">
                  <c:v>-158.87959101805731</c:v>
                </c:pt>
                <c:pt idx="174">
                  <c:v>-159.21330832159225</c:v>
                </c:pt>
                <c:pt idx="175">
                  <c:v>-159.54661970188647</c:v>
                </c:pt>
                <c:pt idx="176">
                  <c:v>-159.87950650494724</c:v>
                </c:pt>
                <c:pt idx="177">
                  <c:v>-160.21195048866082</c:v>
                </c:pt>
                <c:pt idx="178">
                  <c:v>-160.54393381449941</c:v>
                </c:pt>
                <c:pt idx="179">
                  <c:v>-160.87543903954526</c:v>
                </c:pt>
                <c:pt idx="180">
                  <c:v>-161.20644910881427</c:v>
                </c:pt>
                <c:pt idx="181">
                  <c:v>-161.53694734786279</c:v>
                </c:pt>
                <c:pt idx="182">
                  <c:v>-161.86691745566139</c:v>
                </c:pt>
                <c:pt idx="183">
                  <c:v>-162.19634349772176</c:v>
                </c:pt>
                <c:pt idx="184">
                  <c:v>-162.52520989946191</c:v>
                </c:pt>
                <c:pt idx="185">
                  <c:v>-162.85350143979713</c:v>
                </c:pt>
                <c:pt idx="186">
                  <c:v>-163.1812032449433</c:v>
                </c:pt>
                <c:pt idx="187">
                  <c:v>-163.50830078242211</c:v>
                </c:pt>
                <c:pt idx="188">
                  <c:v>-163.83477985525531</c:v>
                </c:pt>
                <c:pt idx="189">
                  <c:v>-164.16062659633897</c:v>
                </c:pt>
                <c:pt idx="190">
                  <c:v>-164.48582746298652</c:v>
                </c:pt>
                <c:pt idx="191">
                  <c:v>-164.81036923163194</c:v>
                </c:pt>
                <c:pt idx="192">
                  <c:v>-165.13423899268369</c:v>
                </c:pt>
                <c:pt idx="193">
                  <c:v>-165.45742414552114</c:v>
                </c:pt>
                <c:pt idx="194">
                  <c:v>-165.77991239362566</c:v>
                </c:pt>
                <c:pt idx="195">
                  <c:v>-166.10169173983812</c:v>
                </c:pt>
                <c:pt idx="196">
                  <c:v>-166.42275048173698</c:v>
                </c:pt>
                <c:pt idx="197">
                  <c:v>-166.74307720712886</c:v>
                </c:pt>
                <c:pt idx="198">
                  <c:v>-167.06266078964634</c:v>
                </c:pt>
                <c:pt idx="199">
                  <c:v>-167.38149038444644</c:v>
                </c:pt>
                <c:pt idx="200">
                  <c:v>-167.69955542400436</c:v>
                </c:pt>
                <c:pt idx="201">
                  <c:v>-168.01684561399713</c:v>
                </c:pt>
                <c:pt idx="202">
                  <c:v>-168.33335092927265</c:v>
                </c:pt>
                <c:pt idx="203">
                  <c:v>-168.64906160989821</c:v>
                </c:pt>
                <c:pt idx="204">
                  <c:v>-168.96396815728573</c:v>
                </c:pt>
                <c:pt idx="205">
                  <c:v>-169.27806133038828</c:v>
                </c:pt>
                <c:pt idx="206">
                  <c:v>-169.5913321419647</c:v>
                </c:pt>
                <c:pt idx="207">
                  <c:v>-169.90377185490848</c:v>
                </c:pt>
                <c:pt idx="208">
                  <c:v>-170.21537197863728</c:v>
                </c:pt>
                <c:pt idx="209">
                  <c:v>-170.52612426554029</c:v>
                </c:pt>
                <c:pt idx="210">
                  <c:v>-170.83602070748032</c:v>
                </c:pt>
                <c:pt idx="211">
                  <c:v>-171.14505353234739</c:v>
                </c:pt>
                <c:pt idx="212">
                  <c:v>-171.45321520066204</c:v>
                </c:pt>
                <c:pt idx="213">
                  <c:v>-171.76049840222507</c:v>
                </c:pt>
                <c:pt idx="214">
                  <c:v>-172.06689605281204</c:v>
                </c:pt>
                <c:pt idx="215">
                  <c:v>-172.37240129091018</c:v>
                </c:pt>
                <c:pt idx="216">
                  <c:v>-172.67700747449575</c:v>
                </c:pt>
                <c:pt idx="217">
                  <c:v>-172.98070817785009</c:v>
                </c:pt>
                <c:pt idx="218">
                  <c:v>-173.28349718841244</c:v>
                </c:pt>
                <c:pt idx="219">
                  <c:v>-173.58536850366869</c:v>
                </c:pt>
                <c:pt idx="220">
                  <c:v>-173.88631632807329</c:v>
                </c:pt>
                <c:pt idx="221">
                  <c:v>-174.18633507000456</c:v>
                </c:pt>
                <c:pt idx="222">
                  <c:v>-174.48541933875086</c:v>
                </c:pt>
                <c:pt idx="223">
                  <c:v>-174.78356394152729</c:v>
                </c:pt>
                <c:pt idx="224">
                  <c:v>-175.08076388052169</c:v>
                </c:pt>
                <c:pt idx="225">
                  <c:v>-175.37701434996856</c:v>
                </c:pt>
                <c:pt idx="226">
                  <c:v>-178.28637253955</c:v>
                </c:pt>
                <c:pt idx="227">
                  <c:v>-181.09681502071399</c:v>
                </c:pt>
                <c:pt idx="228">
                  <c:v>-183.80627359754493</c:v>
                </c:pt>
                <c:pt idx="229">
                  <c:v>-186.41402100777918</c:v>
                </c:pt>
                <c:pt idx="230">
                  <c:v>-188.92044084513213</c:v>
                </c:pt>
                <c:pt idx="231">
                  <c:v>-191.32681945393378</c:v>
                </c:pt>
                <c:pt idx="232">
                  <c:v>-193.63516035027942</c:v>
                </c:pt>
                <c:pt idx="233">
                  <c:v>-195.84802132008429</c:v>
                </c:pt>
                <c:pt idx="234">
                  <c:v>-197.9683737268995</c:v>
                </c:pt>
                <c:pt idx="235">
                  <c:v>-199.99948295944441</c:v>
                </c:pt>
                <c:pt idx="236">
                  <c:v>-201.94480847130166</c:v>
                </c:pt>
                <c:pt idx="237">
                  <c:v>-203.80792154998991</c:v>
                </c:pt>
                <c:pt idx="238">
                  <c:v>-205.59243879436178</c:v>
                </c:pt>
                <c:pt idx="239">
                  <c:v>-207.3019692520549</c:v>
                </c:pt>
                <c:pt idx="240">
                  <c:v>-208.94007323967324</c:v>
                </c:pt>
                <c:pt idx="241">
                  <c:v>-210.51023100545927</c:v>
                </c:pt>
                <c:pt idx="242">
                  <c:v>-212.01581957007102</c:v>
                </c:pt>
                <c:pt idx="243">
                  <c:v>-213.46009627433227</c:v>
                </c:pt>
                <c:pt idx="244">
                  <c:v>-214.8461877580072</c:v>
                </c:pt>
                <c:pt idx="245">
                  <c:v>-216.17708328039689</c:v>
                </c:pt>
                <c:pt idx="246">
                  <c:v>-217.45563146557936</c:v>
                </c:pt>
                <c:pt idx="247">
                  <c:v>-218.68453970915931</c:v>
                </c:pt>
                <c:pt idx="248">
                  <c:v>-219.86637561836466</c:v>
                </c:pt>
                <c:pt idx="249">
                  <c:v>-221.00356997354109</c:v>
                </c:pt>
                <c:pt idx="250">
                  <c:v>-222.0984207977381</c:v>
                </c:pt>
                <c:pt idx="251">
                  <c:v>-223.15309820382413</c:v>
                </c:pt>
                <c:pt idx="252">
                  <c:v>-224.16964975726131</c:v>
                </c:pt>
                <c:pt idx="253">
                  <c:v>-225.15000614920149</c:v>
                </c:pt>
                <c:pt idx="254">
                  <c:v>-226.09598702071156</c:v>
                </c:pt>
                <c:pt idx="255">
                  <c:v>-227.00930681633074</c:v>
                </c:pt>
                <c:pt idx="256">
                  <c:v>-227.89158057525654</c:v>
                </c:pt>
                <c:pt idx="257">
                  <c:v>-228.74432959250655</c:v>
                </c:pt>
                <c:pt idx="258">
                  <c:v>-229.56898690149146</c:v>
                </c:pt>
                <c:pt idx="259">
                  <c:v>-230.36690254447657</c:v>
                </c:pt>
                <c:pt idx="260">
                  <c:v>-231.13934860916174</c:v>
                </c:pt>
                <c:pt idx="261">
                  <c:v>-231.8875240187171</c:v>
                </c:pt>
                <c:pt idx="262">
                  <c:v>-232.61255906958615</c:v>
                </c:pt>
                <c:pt idx="263">
                  <c:v>-233.31551971664763</c:v>
                </c:pt>
                <c:pt idx="264">
                  <c:v>-233.99741160925282</c:v>
                </c:pt>
                <c:pt idx="265">
                  <c:v>-234.65918388451649</c:v>
                </c:pt>
                <c:pt idx="266">
                  <c:v>-235.30173272625817</c:v>
                </c:pt>
                <c:pt idx="267">
                  <c:v>-235.92590469935882</c:v>
                </c:pt>
                <c:pt idx="268">
                  <c:v>-236.53249987015619</c:v>
                </c:pt>
                <c:pt idx="269">
                  <c:v>-237.1222747239708</c:v>
                </c:pt>
                <c:pt idx="270">
                  <c:v>-237.69594489102857</c:v>
                </c:pt>
                <c:pt idx="271">
                  <c:v>-238.25418769199854</c:v>
                </c:pt>
                <c:pt idx="272">
                  <c:v>-238.79764451415204</c:v>
                </c:pt>
                <c:pt idx="273">
                  <c:v>-239.32692302882103</c:v>
                </c:pt>
                <c:pt idx="274">
                  <c:v>-239.84259926042543</c:v>
                </c:pt>
                <c:pt idx="275">
                  <c:v>-240.34521951687415</c:v>
                </c:pt>
                <c:pt idx="276">
                  <c:v>-240.83530219065099</c:v>
                </c:pt>
                <c:pt idx="277">
                  <c:v>-241.31333943938537</c:v>
                </c:pt>
                <c:pt idx="278">
                  <c:v>-241.77979875419408</c:v>
                </c:pt>
                <c:pt idx="279">
                  <c:v>-242.23512442357216</c:v>
                </c:pt>
                <c:pt idx="280">
                  <c:v>-242.67973890011447</c:v>
                </c:pt>
                <c:pt idx="281">
                  <c:v>-243.11404407687303</c:v>
                </c:pt>
                <c:pt idx="282">
                  <c:v>-243.53842247969357</c:v>
                </c:pt>
                <c:pt idx="283">
                  <c:v>-243.95323838144284</c:v>
                </c:pt>
                <c:pt idx="284">
                  <c:v>-244.35883884362173</c:v>
                </c:pt>
                <c:pt idx="285">
                  <c:v>-244.75555469047333</c:v>
                </c:pt>
                <c:pt idx="286">
                  <c:v>-245.14370142032948</c:v>
                </c:pt>
                <c:pt idx="287">
                  <c:v>-245.52358005859659</c:v>
                </c:pt>
                <c:pt idx="288">
                  <c:v>-245.89547795646456</c:v>
                </c:pt>
                <c:pt idx="289">
                  <c:v>-246.25966953912399</c:v>
                </c:pt>
                <c:pt idx="290">
                  <c:v>-246.61641700700096</c:v>
                </c:pt>
                <c:pt idx="291">
                  <c:v>-246.96597099326254</c:v>
                </c:pt>
                <c:pt idx="292">
                  <c:v>-247.30857118060655</c:v>
                </c:pt>
                <c:pt idx="293">
                  <c:v>-247.64444688012946</c:v>
                </c:pt>
                <c:pt idx="294">
                  <c:v>-247.97381757486198</c:v>
                </c:pt>
                <c:pt idx="295">
                  <c:v>-248.29689343037074</c:v>
                </c:pt>
                <c:pt idx="296">
                  <c:v>-248.61387577465217</c:v>
                </c:pt>
                <c:pt idx="297">
                  <c:v>-248.92495754938005</c:v>
                </c:pt>
                <c:pt idx="298">
                  <c:v>-249.23032373442004</c:v>
                </c:pt>
                <c:pt idx="299">
                  <c:v>-249.53015174738567</c:v>
                </c:pt>
                <c:pt idx="300">
                  <c:v>-249.82461181988211</c:v>
                </c:pt>
                <c:pt idx="301">
                  <c:v>-250.11386735196629</c:v>
                </c:pt>
                <c:pt idx="302">
                  <c:v>-250.39807524624149</c:v>
                </c:pt>
                <c:pt idx="303">
                  <c:v>-250.67738622290562</c:v>
                </c:pt>
                <c:pt idx="304">
                  <c:v>-250.95194511697662</c:v>
                </c:pt>
                <c:pt idx="305">
                  <c:v>-251.22189115883344</c:v>
                </c:pt>
                <c:pt idx="306">
                  <c:v>-251.48735823913165</c:v>
                </c:pt>
                <c:pt idx="307">
                  <c:v>-251.74847515907692</c:v>
                </c:pt>
                <c:pt idx="308">
                  <c:v>-252.00536586697413</c:v>
                </c:pt>
                <c:pt idx="309">
                  <c:v>-252.25814968190321</c:v>
                </c:pt>
                <c:pt idx="310">
                  <c:v>-252.50694150531803</c:v>
                </c:pt>
                <c:pt idx="311">
                  <c:v>-252.75185202130709</c:v>
                </c:pt>
                <c:pt idx="312">
                  <c:v>-252.99298788620678</c:v>
                </c:pt>
                <c:pt idx="313">
                  <c:v>-253.23045190821063</c:v>
                </c:pt>
                <c:pt idx="314">
                  <c:v>-253.46434321757476</c:v>
                </c:pt>
                <c:pt idx="315">
                  <c:v>-253.69475742797988</c:v>
                </c:pt>
                <c:pt idx="316">
                  <c:v>-253.92178678957339</c:v>
                </c:pt>
                <c:pt idx="317">
                  <c:v>-254.14552033418022</c:v>
                </c:pt>
                <c:pt idx="318">
                  <c:v>-254.36604401313957</c:v>
                </c:pt>
                <c:pt idx="319">
                  <c:v>-254.58344082819451</c:v>
                </c:pt>
                <c:pt idx="320">
                  <c:v>-254.79779095583422</c:v>
                </c:pt>
                <c:pt idx="321">
                  <c:v>-255.00917186546297</c:v>
                </c:pt>
                <c:pt idx="322">
                  <c:v>-255.21765843174592</c:v>
                </c:pt>
                <c:pt idx="323">
                  <c:v>-255.42332304145975</c:v>
                </c:pt>
                <c:pt idx="324">
                  <c:v>-255.62623569515591</c:v>
                </c:pt>
                <c:pt idx="325">
                  <c:v>-255.82646410392368</c:v>
                </c:pt>
                <c:pt idx="326">
                  <c:v>-256.02407378152429</c:v>
                </c:pt>
                <c:pt idx="327">
                  <c:v>-256.21912813214965</c:v>
                </c:pt>
                <c:pt idx="328">
                  <c:v>-256.41168853404253</c:v>
                </c:pt>
                <c:pt idx="329">
                  <c:v>-256.60181441920366</c:v>
                </c:pt>
                <c:pt idx="330">
                  <c:v>-256.78956334939375</c:v>
                </c:pt>
                <c:pt idx="331">
                  <c:v>-256.97499108862962</c:v>
                </c:pt>
                <c:pt idx="332">
                  <c:v>-257.15815167235854</c:v>
                </c:pt>
                <c:pt idx="333">
                  <c:v>-257.33909747348639</c:v>
                </c:pt>
                <c:pt idx="334">
                  <c:v>-257.51787926542329</c:v>
                </c:pt>
                <c:pt idx="335">
                  <c:v>-257.69454628230216</c:v>
                </c:pt>
                <c:pt idx="336">
                  <c:v>-257.86914627651413</c:v>
                </c:pt>
                <c:pt idx="337">
                  <c:v>-258.04172557370077</c:v>
                </c:pt>
                <c:pt idx="338">
                  <c:v>-258.21232912532918</c:v>
                </c:pt>
                <c:pt idx="339">
                  <c:v>-258.38100055897524</c:v>
                </c:pt>
                <c:pt idx="340">
                  <c:v>-258.54778222642699</c:v>
                </c:pt>
                <c:pt idx="341">
                  <c:v>-258.71271524971894</c:v>
                </c:pt>
                <c:pt idx="342">
                  <c:v>-258.87583956519848</c:v>
                </c:pt>
                <c:pt idx="343">
                  <c:v>-259.03719396572183</c:v>
                </c:pt>
                <c:pt idx="344">
                  <c:v>-259.19681614107031</c:v>
                </c:pt>
                <c:pt idx="345">
                  <c:v>-259.35474271667391</c:v>
                </c:pt>
                <c:pt idx="346">
                  <c:v>-259.51100929072322</c:v>
                </c:pt>
                <c:pt idx="347">
                  <c:v>-259.66565046974745</c:v>
                </c:pt>
                <c:pt idx="348">
                  <c:v>-259.81869990273134</c:v>
                </c:pt>
                <c:pt idx="349">
                  <c:v>-259.97019031383979</c:v>
                </c:pt>
                <c:pt idx="350">
                  <c:v>-260.12015353381628</c:v>
                </c:pt>
                <c:pt idx="351">
                  <c:v>-260.26862053011644</c:v>
                </c:pt>
                <c:pt idx="352">
                  <c:v>-260.41562143583599</c:v>
                </c:pt>
                <c:pt idx="353">
                  <c:v>-260.56118557748806</c:v>
                </c:pt>
                <c:pt idx="354">
                  <c:v>-260.70534150168345</c:v>
                </c:pt>
                <c:pt idx="355">
                  <c:v>-260.84811700076278</c:v>
                </c:pt>
                <c:pt idx="356">
                  <c:v>-260.98953913742912</c:v>
                </c:pt>
                <c:pt idx="357">
                  <c:v>-261.12963426842504</c:v>
                </c:pt>
                <c:pt idx="358">
                  <c:v>-261.26842806729792</c:v>
                </c:pt>
                <c:pt idx="359">
                  <c:v>-261.40594554629257</c:v>
                </c:pt>
                <c:pt idx="360">
                  <c:v>-261.54221107741148</c:v>
                </c:pt>
                <c:pt idx="361">
                  <c:v>-261.67724841267784</c:v>
                </c:pt>
                <c:pt idx="362">
                  <c:v>-261.81108070363683</c:v>
                </c:pt>
                <c:pt idx="363">
                  <c:v>-261.9437305201281</c:v>
                </c:pt>
                <c:pt idx="364">
                  <c:v>-262.0752198683611</c:v>
                </c:pt>
                <c:pt idx="365">
                  <c:v>-262.20557020832246</c:v>
                </c:pt>
                <c:pt idx="366">
                  <c:v>-262.33480247054473</c:v>
                </c:pt>
                <c:pt idx="367">
                  <c:v>-262.46293707226346</c:v>
                </c:pt>
                <c:pt idx="368">
                  <c:v>-262.58999393298757</c:v>
                </c:pt>
                <c:pt idx="369">
                  <c:v>-262.71599248950866</c:v>
                </c:pt>
                <c:pt idx="370">
                  <c:v>-262.84095171037205</c:v>
                </c:pt>
                <c:pt idx="371">
                  <c:v>-262.96489010983191</c:v>
                </c:pt>
                <c:pt idx="372">
                  <c:v>-263.08782576131171</c:v>
                </c:pt>
                <c:pt idx="373">
                  <c:v>-263.20977631039079</c:v>
                </c:pt>
                <c:pt idx="374">
                  <c:v>-263.33075898733534</c:v>
                </c:pt>
                <c:pt idx="375">
                  <c:v>-263.45079061919307</c:v>
                </c:pt>
                <c:pt idx="376">
                  <c:v>-263.56988764146899</c:v>
                </c:pt>
                <c:pt idx="377">
                  <c:v>-263.68806610939879</c:v>
                </c:pt>
                <c:pt idx="378">
                  <c:v>-263.80534170883612</c:v>
                </c:pt>
                <c:pt idx="379">
                  <c:v>-263.92172976676881</c:v>
                </c:pt>
                <c:pt idx="380">
                  <c:v>-264.03724526147926</c:v>
                </c:pt>
                <c:pt idx="381">
                  <c:v>-264.151902832362</c:v>
                </c:pt>
                <c:pt idx="382">
                  <c:v>-264.26571678941241</c:v>
                </c:pt>
                <c:pt idx="383">
                  <c:v>-264.37870112239938</c:v>
                </c:pt>
                <c:pt idx="384">
                  <c:v>-264.49086950973413</c:v>
                </c:pt>
                <c:pt idx="385">
                  <c:v>-264.60223532704578</c:v>
                </c:pt>
                <c:pt idx="386">
                  <c:v>-264.71281165547703</c:v>
                </c:pt>
                <c:pt idx="387">
                  <c:v>-264.82261128970788</c:v>
                </c:pt>
                <c:pt idx="388">
                  <c:v>-264.93164674572017</c:v>
                </c:pt>
                <c:pt idx="389">
                  <c:v>-265.03993026831108</c:v>
                </c:pt>
                <c:pt idx="390">
                  <c:v>-265.14747383836504</c:v>
                </c:pt>
                <c:pt idx="391">
                  <c:v>-265.2542891798945</c:v>
                </c:pt>
                <c:pt idx="392">
                  <c:v>-265.36038776685575</c:v>
                </c:pt>
                <c:pt idx="393">
                  <c:v>-265.46578082975026</c:v>
                </c:pt>
                <c:pt idx="394">
                  <c:v>-265.57047936201815</c:v>
                </c:pt>
                <c:pt idx="395">
                  <c:v>-265.67449412623137</c:v>
                </c:pt>
                <c:pt idx="396">
                  <c:v>-265.77783566009509</c:v>
                </c:pt>
                <c:pt idx="397">
                  <c:v>-265.88051428226203</c:v>
                </c:pt>
                <c:pt idx="398">
                  <c:v>-265.98254009796847</c:v>
                </c:pt>
                <c:pt idx="399">
                  <c:v>-266.08392300449771</c:v>
                </c:pt>
                <c:pt idx="400">
                  <c:v>-266.18467269647596</c:v>
                </c:pt>
                <c:pt idx="401">
                  <c:v>-266.28479867100845</c:v>
                </c:pt>
                <c:pt idx="402">
                  <c:v>-266.38431023266003</c:v>
                </c:pt>
                <c:pt idx="403">
                  <c:v>-266.48321649828625</c:v>
                </c:pt>
                <c:pt idx="404">
                  <c:v>-266.58152640171994</c:v>
                </c:pt>
                <c:pt idx="405">
                  <c:v>-266.67924869831825</c:v>
                </c:pt>
                <c:pt idx="406">
                  <c:v>-266.77639196937525</c:v>
                </c:pt>
                <c:pt idx="407">
                  <c:v>-266.87296462640472</c:v>
                </c:pt>
                <c:pt idx="408">
                  <c:v>-266.96897491529654</c:v>
                </c:pt>
                <c:pt idx="409">
                  <c:v>-267.06443092035295</c:v>
                </c:pt>
                <c:pt idx="410">
                  <c:v>-267.1593405682064</c:v>
                </c:pt>
                <c:pt idx="411">
                  <c:v>-267.25371163162538</c:v>
                </c:pt>
                <c:pt idx="412">
                  <c:v>-267.34755173320957</c:v>
                </c:pt>
                <c:pt idx="413">
                  <c:v>-267.44086834898002</c:v>
                </c:pt>
                <c:pt idx="414">
                  <c:v>-267.53366881186685</c:v>
                </c:pt>
                <c:pt idx="415">
                  <c:v>-267.6259603150977</c:v>
                </c:pt>
                <c:pt idx="416">
                  <c:v>-267.71774991549108</c:v>
                </c:pt>
                <c:pt idx="417">
                  <c:v>-267.80904453665647</c:v>
                </c:pt>
                <c:pt idx="418">
                  <c:v>-267.89985097210558</c:v>
                </c:pt>
                <c:pt idx="419">
                  <c:v>-267.99017588827667</c:v>
                </c:pt>
                <c:pt idx="420">
                  <c:v>-268.08002582747474</c:v>
                </c:pt>
                <c:pt idx="421">
                  <c:v>-268.16940721073155</c:v>
                </c:pt>
                <c:pt idx="422">
                  <c:v>-268.25832634058588</c:v>
                </c:pt>
                <c:pt idx="423">
                  <c:v>-268.34678940378865</c:v>
                </c:pt>
                <c:pt idx="424">
                  <c:v>-268.43480247393421</c:v>
                </c:pt>
                <c:pt idx="425">
                  <c:v>-268.52237151401999</c:v>
                </c:pt>
                <c:pt idx="426">
                  <c:v>-268.60950237893758</c:v>
                </c:pt>
                <c:pt idx="427">
                  <c:v>-268.69620081789651</c:v>
                </c:pt>
                <c:pt idx="428">
                  <c:v>-268.7824724767836</c:v>
                </c:pt>
                <c:pt idx="429">
                  <c:v>-268.8683229004593</c:v>
                </c:pt>
                <c:pt idx="430">
                  <c:v>-268.95375753499286</c:v>
                </c:pt>
                <c:pt idx="431">
                  <c:v>-269.03878172983923</c:v>
                </c:pt>
                <c:pt idx="432">
                  <c:v>-269.12340073995813</c:v>
                </c:pt>
                <c:pt idx="433">
                  <c:v>-269.20761972787795</c:v>
                </c:pt>
                <c:pt idx="434">
                  <c:v>-269.29144376570605</c:v>
                </c:pt>
                <c:pt idx="435">
                  <c:v>-269.37487783708627</c:v>
                </c:pt>
                <c:pt idx="436">
                  <c:v>-269.45792683910707</c:v>
                </c:pt>
                <c:pt idx="437">
                  <c:v>-269.54059558415906</c:v>
                </c:pt>
                <c:pt idx="438">
                  <c:v>-269.6228888017464</c:v>
                </c:pt>
                <c:pt idx="439">
                  <c:v>-269.70481114025102</c:v>
                </c:pt>
                <c:pt idx="440">
                  <c:v>-269.78636716865276</c:v>
                </c:pt>
                <c:pt idx="441">
                  <c:v>-269.86756137820532</c:v>
                </c:pt>
                <c:pt idx="442">
                  <c:v>-269.94839818407064</c:v>
                </c:pt>
                <c:pt idx="443">
                  <c:v>-270.02888192691171</c:v>
                </c:pt>
                <c:pt idx="444">
                  <c:v>-270.10901687444618</c:v>
                </c:pt>
                <c:pt idx="445">
                  <c:v>-270.18880722296103</c:v>
                </c:pt>
                <c:pt idx="446">
                  <c:v>-270.26825709878955</c:v>
                </c:pt>
                <c:pt idx="447">
                  <c:v>-270.34737055975228</c:v>
                </c:pt>
                <c:pt idx="448">
                  <c:v>-270.42615159656242</c:v>
                </c:pt>
                <c:pt idx="449">
                  <c:v>-270.50460413419648</c:v>
                </c:pt>
                <c:pt idx="450">
                  <c:v>-270.58273203323222</c:v>
                </c:pt>
                <c:pt idx="451">
                  <c:v>-270.66053909115351</c:v>
                </c:pt>
                <c:pt idx="452">
                  <c:v>-270.73802904362395</c:v>
                </c:pt>
                <c:pt idx="453">
                  <c:v>-270.81520556572968</c:v>
                </c:pt>
                <c:pt idx="454">
                  <c:v>-270.89207227319264</c:v>
                </c:pt>
                <c:pt idx="455">
                  <c:v>-270.96863272355455</c:v>
                </c:pt>
                <c:pt idx="456">
                  <c:v>-271.04489041733268</c:v>
                </c:pt>
                <c:pt idx="457">
                  <c:v>-271.1208487991488</c:v>
                </c:pt>
                <c:pt idx="458">
                  <c:v>-271.19651125883058</c:v>
                </c:pt>
                <c:pt idx="459">
                  <c:v>-271.27188113248803</c:v>
                </c:pt>
                <c:pt idx="460">
                  <c:v>-271.34696170356392</c:v>
                </c:pt>
                <c:pt idx="461">
                  <c:v>-271.42175620386024</c:v>
                </c:pt>
                <c:pt idx="462">
                  <c:v>-271.49626781454049</c:v>
                </c:pt>
                <c:pt idx="463">
                  <c:v>-271.57049966710906</c:v>
                </c:pt>
                <c:pt idx="464">
                  <c:v>-271.64445484436771</c:v>
                </c:pt>
                <c:pt idx="465">
                  <c:v>-271.71813638135012</c:v>
                </c:pt>
                <c:pt idx="466">
                  <c:v>-271.79154726623528</c:v>
                </c:pt>
                <c:pt idx="467">
                  <c:v>-271.86469044123993</c:v>
                </c:pt>
                <c:pt idx="468">
                  <c:v>-271.93756880349054</c:v>
                </c:pt>
                <c:pt idx="469">
                  <c:v>-272.01018520587576</c:v>
                </c:pt>
                <c:pt idx="470">
                  <c:v>-272.0825424578797</c:v>
                </c:pt>
                <c:pt idx="471">
                  <c:v>-272.15464332639635</c:v>
                </c:pt>
                <c:pt idx="472">
                  <c:v>-272.22649053652572</c:v>
                </c:pt>
                <c:pt idx="473">
                  <c:v>-272.29808677235246</c:v>
                </c:pt>
                <c:pt idx="474">
                  <c:v>-272.36943467770686</c:v>
                </c:pt>
                <c:pt idx="475">
                  <c:v>-272.44053685690955</c:v>
                </c:pt>
                <c:pt idx="476">
                  <c:v>-272.51139587549892</c:v>
                </c:pt>
                <c:pt idx="477">
                  <c:v>-272.58201426094342</c:v>
                </c:pt>
                <c:pt idx="478">
                  <c:v>-272.65239450333786</c:v>
                </c:pt>
                <c:pt idx="479">
                  <c:v>-272.72253905608432</c:v>
                </c:pt>
                <c:pt idx="480">
                  <c:v>-272.79245033655889</c:v>
                </c:pt>
                <c:pt idx="481">
                  <c:v>-272.8621307267631</c:v>
                </c:pt>
                <c:pt idx="482">
                  <c:v>-272.93158257396226</c:v>
                </c:pt>
                <c:pt idx="483">
                  <c:v>-273.00080819130932</c:v>
                </c:pt>
                <c:pt idx="484">
                  <c:v>-273.06980985845559</c:v>
                </c:pt>
                <c:pt idx="485">
                  <c:v>-273.13858982214856</c:v>
                </c:pt>
                <c:pt idx="486">
                  <c:v>-273.20715029681696</c:v>
                </c:pt>
                <c:pt idx="487">
                  <c:v>-273.2754934651432</c:v>
                </c:pt>
                <c:pt idx="488">
                  <c:v>-273.34362147862407</c:v>
                </c:pt>
                <c:pt idx="489">
                  <c:v>-273.4115364581192</c:v>
                </c:pt>
                <c:pt idx="490">
                  <c:v>-273.47924049438836</c:v>
                </c:pt>
                <c:pt idx="491">
                  <c:v>-273.5467356486177</c:v>
                </c:pt>
                <c:pt idx="492">
                  <c:v>-273.61402395293425</c:v>
                </c:pt>
                <c:pt idx="493">
                  <c:v>-273.68110741091056</c:v>
                </c:pt>
                <c:pt idx="494">
                  <c:v>-273.74798799805853</c:v>
                </c:pt>
                <c:pt idx="495">
                  <c:v>-273.81466766231301</c:v>
                </c:pt>
                <c:pt idx="496">
                  <c:v>-273.88114832450577</c:v>
                </c:pt>
                <c:pt idx="497">
                  <c:v>-273.94743187882926</c:v>
                </c:pt>
                <c:pt idx="498">
                  <c:v>-274.01352019329141</c:v>
                </c:pt>
                <c:pt idx="499">
                  <c:v>-274.07941511016077</c:v>
                </c:pt>
                <c:pt idx="500">
                  <c:v>-274.14511844640316</c:v>
                </c:pt>
                <c:pt idx="501">
                  <c:v>-274.21063199410878</c:v>
                </c:pt>
                <c:pt idx="502">
                  <c:v>-274.27595752091116</c:v>
                </c:pt>
                <c:pt idx="503">
                  <c:v>-274.341096770398</c:v>
                </c:pt>
                <c:pt idx="504">
                  <c:v>-274.40605146251289</c:v>
                </c:pt>
                <c:pt idx="505">
                  <c:v>-274.47082329395005</c:v>
                </c:pt>
                <c:pt idx="506">
                  <c:v>-274.53541393854027</c:v>
                </c:pt>
                <c:pt idx="507">
                  <c:v>-274.59982504763019</c:v>
                </c:pt>
                <c:pt idx="508">
                  <c:v>-274.66405825045308</c:v>
                </c:pt>
                <c:pt idx="509">
                  <c:v>-274.72811515449314</c:v>
                </c:pt>
                <c:pt idx="510">
                  <c:v>-274.79199734584222</c:v>
                </c:pt>
                <c:pt idx="511">
                  <c:v>-274.85570638954971</c:v>
                </c:pt>
                <c:pt idx="512">
                  <c:v>-274.91924382996558</c:v>
                </c:pt>
                <c:pt idx="513">
                  <c:v>-274.98261119107673</c:v>
                </c:pt>
                <c:pt idx="514">
                  <c:v>-275.04580997683678</c:v>
                </c:pt>
                <c:pt idx="515">
                  <c:v>-275.10884167148993</c:v>
                </c:pt>
                <c:pt idx="516">
                  <c:v>-275.17170773988778</c:v>
                </c:pt>
                <c:pt idx="517">
                  <c:v>-275.23440962780074</c:v>
                </c:pt>
                <c:pt idx="518">
                  <c:v>-275.29694876222334</c:v>
                </c:pt>
                <c:pt idx="519">
                  <c:v>-275.35932655167358</c:v>
                </c:pt>
                <c:pt idx="520">
                  <c:v>-275.42154438648674</c:v>
                </c:pt>
                <c:pt idx="521">
                  <c:v>-275.48360363910331</c:v>
                </c:pt>
                <c:pt idx="522">
                  <c:v>-275.54550566435211</c:v>
                </c:pt>
                <c:pt idx="523">
                  <c:v>-275.60725179972752</c:v>
                </c:pt>
                <c:pt idx="524">
                  <c:v>-275.66884336566164</c:v>
                </c:pt>
                <c:pt idx="525">
                  <c:v>-275.73028166579161</c:v>
                </c:pt>
                <c:pt idx="526">
                  <c:v>-275.79156798722158</c:v>
                </c:pt>
                <c:pt idx="527">
                  <c:v>-275.85270360077999</c:v>
                </c:pt>
                <c:pt idx="528">
                  <c:v>-275.91368976127228</c:v>
                </c:pt>
                <c:pt idx="529">
                  <c:v>-275.97452770772861</c:v>
                </c:pt>
                <c:pt idx="530">
                  <c:v>-276.03521866364702</c:v>
                </c:pt>
                <c:pt idx="531">
                  <c:v>-276.09576383723248</c:v>
                </c:pt>
                <c:pt idx="532">
                  <c:v>-276.15616442163127</c:v>
                </c:pt>
                <c:pt idx="533">
                  <c:v>-276.21642159516097</c:v>
                </c:pt>
                <c:pt idx="534">
                  <c:v>-276.27653652153674</c:v>
                </c:pt>
                <c:pt idx="535">
                  <c:v>-276.33651035009302</c:v>
                </c:pt>
                <c:pt idx="536">
                  <c:v>-276.39634421600152</c:v>
                </c:pt>
                <c:pt idx="537">
                  <c:v>-276.45603924048487</c:v>
                </c:pt>
                <c:pt idx="538">
                  <c:v>-276.5155965310272</c:v>
                </c:pt>
                <c:pt idx="539">
                  <c:v>-276.57501718158011</c:v>
                </c:pt>
                <c:pt idx="540">
                  <c:v>-276.63430227276547</c:v>
                </c:pt>
                <c:pt idx="541">
                  <c:v>-276.69345287207443</c:v>
                </c:pt>
                <c:pt idx="542">
                  <c:v>-276.75247003406292</c:v>
                </c:pt>
                <c:pt idx="543">
                  <c:v>-276.81135480054371</c:v>
                </c:pt>
                <c:pt idx="544">
                  <c:v>-276.87010820077512</c:v>
                </c:pt>
                <c:pt idx="545">
                  <c:v>-276.92873125164613</c:v>
                </c:pt>
                <c:pt idx="546">
                  <c:v>-276.98722495785887</c:v>
                </c:pt>
                <c:pt idx="547">
                  <c:v>-277.04559031210692</c:v>
                </c:pt>
                <c:pt idx="548">
                  <c:v>-277.10382829525184</c:v>
                </c:pt>
                <c:pt idx="549">
                  <c:v>-277.16193987649518</c:v>
                </c:pt>
                <c:pt idx="550">
                  <c:v>-277.2199260135485</c:v>
                </c:pt>
                <c:pt idx="551">
                  <c:v>-277.27778765280033</c:v>
                </c:pt>
                <c:pt idx="552">
                  <c:v>-277.33552572947963</c:v>
                </c:pt>
                <c:pt idx="553">
                  <c:v>-277.39314116781736</c:v>
                </c:pt>
                <c:pt idx="554">
                  <c:v>-277.45063488120439</c:v>
                </c:pt>
                <c:pt idx="555">
                  <c:v>-277.50800777234736</c:v>
                </c:pt>
                <c:pt idx="556">
                  <c:v>-277.56526073342161</c:v>
                </c:pt>
                <c:pt idx="557">
                  <c:v>-277.62239464622132</c:v>
                </c:pt>
                <c:pt idx="558">
                  <c:v>-277.67941038230765</c:v>
                </c:pt>
                <c:pt idx="559">
                  <c:v>-277.73630880315386</c:v>
                </c:pt>
                <c:pt idx="560">
                  <c:v>-277.79309076028824</c:v>
                </c:pt>
                <c:pt idx="561">
                  <c:v>-277.84975709543426</c:v>
                </c:pt>
                <c:pt idx="562">
                  <c:v>-277.90630864064929</c:v>
                </c:pt>
                <c:pt idx="563">
                  <c:v>-277.96274621845976</c:v>
                </c:pt>
                <c:pt idx="564">
                  <c:v>-278.01907064199509</c:v>
                </c:pt>
                <c:pt idx="565">
                  <c:v>-278.07528271511876</c:v>
                </c:pt>
                <c:pt idx="566">
                  <c:v>-278.13138323255765</c:v>
                </c:pt>
                <c:pt idx="567">
                  <c:v>-278.18737298002873</c:v>
                </c:pt>
                <c:pt idx="568">
                  <c:v>-278.24325273436432</c:v>
                </c:pt>
                <c:pt idx="569">
                  <c:v>-278.29902326363469</c:v>
                </c:pt>
                <c:pt idx="570">
                  <c:v>-278.3546853272689</c:v>
                </c:pt>
                <c:pt idx="571">
                  <c:v>-278.41023967617372</c:v>
                </c:pt>
                <c:pt idx="572">
                  <c:v>-278.46568705285046</c:v>
                </c:pt>
                <c:pt idx="573">
                  <c:v>-278.5210281915102</c:v>
                </c:pt>
                <c:pt idx="574">
                  <c:v>-278.57626381818653</c:v>
                </c:pt>
                <c:pt idx="575">
                  <c:v>-278.63139465084737</c:v>
                </c:pt>
                <c:pt idx="576">
                  <c:v>-278.6864213995039</c:v>
                </c:pt>
                <c:pt idx="577">
                  <c:v>-278.74134476631889</c:v>
                </c:pt>
                <c:pt idx="578">
                  <c:v>-278.79616544571223</c:v>
                </c:pt>
                <c:pt idx="579">
                  <c:v>-278.85088412446567</c:v>
                </c:pt>
                <c:pt idx="580">
                  <c:v>-278.90550148182513</c:v>
                </c:pt>
                <c:pt idx="581">
                  <c:v>-278.96001818960184</c:v>
                </c:pt>
                <c:pt idx="582">
                  <c:v>-279.01443491227201</c:v>
                </c:pt>
                <c:pt idx="583">
                  <c:v>-279.06875230707431</c:v>
                </c:pt>
                <c:pt idx="584">
                  <c:v>-279.12297102410616</c:v>
                </c:pt>
                <c:pt idx="585">
                  <c:v>-279.17709170641893</c:v>
                </c:pt>
                <c:pt idx="586">
                  <c:v>-279.23111499011077</c:v>
                </c:pt>
                <c:pt idx="587">
                  <c:v>-279.28504150441876</c:v>
                </c:pt>
                <c:pt idx="588">
                  <c:v>-279.33887187180892</c:v>
                </c:pt>
                <c:pt idx="589">
                  <c:v>-279.39260670806567</c:v>
                </c:pt>
                <c:pt idx="590">
                  <c:v>-279.44624662237902</c:v>
                </c:pt>
                <c:pt idx="591">
                  <c:v>-279.49979221743109</c:v>
                </c:pt>
                <c:pt idx="592">
                  <c:v>-279.55324408948081</c:v>
                </c:pt>
                <c:pt idx="593">
                  <c:v>-279.60660282844759</c:v>
                </c:pt>
                <c:pt idx="594">
                  <c:v>-279.65986901799363</c:v>
                </c:pt>
                <c:pt idx="595">
                  <c:v>-279.71304323560503</c:v>
                </c:pt>
                <c:pt idx="596">
                  <c:v>-279.76612605267127</c:v>
                </c:pt>
                <c:pt idx="597">
                  <c:v>-279.81911803456433</c:v>
                </c:pt>
                <c:pt idx="598">
                  <c:v>-279.87201974071559</c:v>
                </c:pt>
                <c:pt idx="599">
                  <c:v>-279.9248317246923</c:v>
                </c:pt>
                <c:pt idx="600">
                  <c:v>-279.97755453427237</c:v>
                </c:pt>
                <c:pt idx="601">
                  <c:v>-280.03018871151858</c:v>
                </c:pt>
                <c:pt idx="602">
                  <c:v>-280.08273479285128</c:v>
                </c:pt>
                <c:pt idx="603">
                  <c:v>-280.13519330911993</c:v>
                </c:pt>
                <c:pt idx="604">
                  <c:v>-280.187564785674</c:v>
                </c:pt>
                <c:pt idx="605">
                  <c:v>-280.23984974243228</c:v>
                </c:pt>
                <c:pt idx="606">
                  <c:v>-282.75387798354586</c:v>
                </c:pt>
                <c:pt idx="607">
                  <c:v>-285.1017356612013</c:v>
                </c:pt>
                <c:pt idx="608">
                  <c:v>-287.31567925900345</c:v>
                </c:pt>
                <c:pt idx="609">
                  <c:v>-289.41682869527358</c:v>
                </c:pt>
                <c:pt idx="610">
                  <c:v>-291.4196019306039</c:v>
                </c:pt>
                <c:pt idx="611">
                  <c:v>-293.33423748285026</c:v>
                </c:pt>
                <c:pt idx="612">
                  <c:v>-295.16829480865647</c:v>
                </c:pt>
                <c:pt idx="613">
                  <c:v>-296.92757860031082</c:v>
                </c:pt>
                <c:pt idx="614">
                  <c:v>-298.61672389344125</c:v>
                </c:pt>
                <c:pt idx="615">
                  <c:v>-300.23957413482719</c:v>
                </c:pt>
                <c:pt idx="616">
                  <c:v>-301.79942909603704</c:v>
                </c:pt>
                <c:pt idx="617">
                  <c:v>-303.29920901282185</c:v>
                </c:pt>
                <c:pt idx="618">
                  <c:v>-303.92687256191579</c:v>
                </c:pt>
                <c:pt idx="619">
                  <c:v>-304.54402817489915</c:v>
                </c:pt>
                <c:pt idx="620">
                  <c:v>-305.150912900489</c:v>
                </c:pt>
                <c:pt idx="621">
                  <c:v>-305.74775360569998</c:v>
                </c:pt>
                <c:pt idx="622">
                  <c:v>-306.33476794874531</c:v>
                </c:pt>
                <c:pt idx="623">
                  <c:v>-306.9121652284993</c:v>
                </c:pt>
                <c:pt idx="624">
                  <c:v>-307.4801471270589</c:v>
                </c:pt>
                <c:pt idx="625">
                  <c:v>-308.03890835962159</c:v>
                </c:pt>
                <c:pt idx="626">
                  <c:v>-308.58863724392916</c:v>
                </c:pt>
                <c:pt idx="627">
                  <c:v>-309.12951619984636</c:v>
                </c:pt>
                <c:pt idx="628">
                  <c:v>-309.66172218821259</c:v>
                </c:pt>
                <c:pt idx="629">
                  <c:v>-310.18542709687392</c:v>
                </c:pt>
                <c:pt idx="630">
                  <c:v>-310.70079808075263</c:v>
                </c:pt>
                <c:pt idx="631">
                  <c:v>-311.20799786190236</c:v>
                </c:pt>
                <c:pt idx="632">
                  <c:v>-311.70718499471678</c:v>
                </c:pt>
                <c:pt idx="633">
                  <c:v>-312.19851410078559</c:v>
                </c:pt>
                <c:pt idx="634">
                  <c:v>-312.68213607730684</c:v>
                </c:pt>
                <c:pt idx="635">
                  <c:v>-313.15819828246049</c:v>
                </c:pt>
                <c:pt idx="636">
                  <c:v>-313.62684470070792</c:v>
                </c:pt>
                <c:pt idx="637">
                  <c:v>-314.08821609060243</c:v>
                </c:pt>
                <c:pt idx="638">
                  <c:v>-314.54245011736305</c:v>
                </c:pt>
                <c:pt idx="639">
                  <c:v>-314.98968147217613</c:v>
                </c:pt>
                <c:pt idx="640">
                  <c:v>-315.4300419799377</c:v>
                </c:pt>
                <c:pt idx="641">
                  <c:v>-315.86366069692895</c:v>
                </c:pt>
                <c:pt idx="642">
                  <c:v>-316.29066399972783</c:v>
                </c:pt>
                <c:pt idx="643">
                  <c:v>-316.71117566648991</c:v>
                </c:pt>
                <c:pt idx="644">
                  <c:v>-317.1253169515885</c:v>
                </c:pt>
                <c:pt idx="645">
                  <c:v>-317.53320665447262</c:v>
                </c:pt>
                <c:pt idx="646">
                  <c:v>-317.93496118349367</c:v>
                </c:pt>
                <c:pt idx="647">
                  <c:v>-318.33069461535081</c:v>
                </c:pt>
                <c:pt idx="648">
                  <c:v>-318.72051875072145</c:v>
                </c:pt>
                <c:pt idx="649">
                  <c:v>-319.10454316656836</c:v>
                </c:pt>
                <c:pt idx="650">
                  <c:v>-319.48287526554833</c:v>
                </c:pt>
                <c:pt idx="651">
                  <c:v>-319.85562032289272</c:v>
                </c:pt>
                <c:pt idx="652">
                  <c:v>-320.22288153107752</c:v>
                </c:pt>
                <c:pt idx="653">
                  <c:v>-320.58476004255988</c:v>
                </c:pt>
                <c:pt idx="654">
                  <c:v>-320.94135501081712</c:v>
                </c:pt>
                <c:pt idx="655">
                  <c:v>-321.29276362989424</c:v>
                </c:pt>
                <c:pt idx="656">
                  <c:v>-321.63908117263395</c:v>
                </c:pt>
                <c:pt idx="657">
                  <c:v>-321.98040102774155</c:v>
                </c:pt>
                <c:pt idx="658">
                  <c:v>-322.31681473581091</c:v>
                </c:pt>
                <c:pt idx="659">
                  <c:v>-322.64841202442335</c:v>
                </c:pt>
                <c:pt idx="660">
                  <c:v>-322.97528084241145</c:v>
                </c:pt>
                <c:pt idx="661">
                  <c:v>-323.29750739336725</c:v>
                </c:pt>
                <c:pt idx="662">
                  <c:v>-323.61517616846095</c:v>
                </c:pt>
                <c:pt idx="663">
                  <c:v>-323.92836997862673</c:v>
                </c:pt>
                <c:pt idx="664">
                  <c:v>-324.23716998616283</c:v>
                </c:pt>
                <c:pt idx="665">
                  <c:v>-324.54165573578348</c:v>
                </c:pt>
                <c:pt idx="666">
                  <c:v>-324.84190518515743</c:v>
                </c:pt>
                <c:pt idx="667">
                  <c:v>-325.13799473495772</c:v>
                </c:pt>
              </c:numCache>
            </c:numRef>
          </c:yVal>
          <c:smooth val="0"/>
          <c:extLst>
            <c:ext xmlns:c16="http://schemas.microsoft.com/office/drawing/2014/chart" uri="{C3380CC4-5D6E-409C-BE32-E72D297353CC}">
              <c16:uniqueId val="{00000002-2A10-41EA-A3AE-967165122F16}"/>
            </c:ext>
          </c:extLst>
        </c:ser>
        <c:ser>
          <c:idx val="1"/>
          <c:order val="3"/>
          <c:tx>
            <c:v>Measured Phase</c:v>
          </c:tx>
          <c:spPr>
            <a:ln w="12700">
              <a:solidFill>
                <a:srgbClr val="FF00FF"/>
              </a:solidFill>
              <a:prstDash val="solid"/>
            </a:ln>
          </c:spPr>
          <c:marker>
            <c:symbol val="square"/>
            <c:size val="5"/>
            <c:spPr>
              <a:solidFill>
                <a:srgbClr val="FF00FF"/>
              </a:solidFill>
              <a:ln>
                <a:solidFill>
                  <a:srgbClr val="FF00FF"/>
                </a:solidFill>
                <a:prstDash val="solid"/>
              </a:ln>
            </c:spPr>
          </c:marker>
          <c:xVal>
            <c:numRef>
              <c:f>'Bode Plots Calculations'!$BT$10:$BT$409</c:f>
              <c:numCache>
                <c:formatCode>#0.0#</c:formatCode>
                <c:ptCount val="400"/>
                <c:pt idx="0">
                  <c:v>100</c:v>
                </c:pt>
                <c:pt idx="1">
                  <c:v>102.32899999999999</c:v>
                </c:pt>
                <c:pt idx="2">
                  <c:v>104.71299999999999</c:v>
                </c:pt>
                <c:pt idx="3">
                  <c:v>107.152</c:v>
                </c:pt>
                <c:pt idx="4">
                  <c:v>109.648</c:v>
                </c:pt>
                <c:pt idx="5">
                  <c:v>112.202</c:v>
                </c:pt>
                <c:pt idx="6">
                  <c:v>114.815</c:v>
                </c:pt>
                <c:pt idx="7">
                  <c:v>117.49</c:v>
                </c:pt>
                <c:pt idx="8">
                  <c:v>120.226</c:v>
                </c:pt>
                <c:pt idx="9">
                  <c:v>123.027</c:v>
                </c:pt>
                <c:pt idx="10">
                  <c:v>125.893</c:v>
                </c:pt>
                <c:pt idx="11">
                  <c:v>128.82499999999999</c:v>
                </c:pt>
                <c:pt idx="12">
                  <c:v>131.82599999999999</c:v>
                </c:pt>
                <c:pt idx="13">
                  <c:v>134.89599999999999</c:v>
                </c:pt>
                <c:pt idx="14">
                  <c:v>138.03800000000001</c:v>
                </c:pt>
                <c:pt idx="15">
                  <c:v>141.25399999999999</c:v>
                </c:pt>
                <c:pt idx="16">
                  <c:v>144.54400000000001</c:v>
                </c:pt>
                <c:pt idx="17">
                  <c:v>147.911</c:v>
                </c:pt>
                <c:pt idx="18">
                  <c:v>151.35599999999999</c:v>
                </c:pt>
                <c:pt idx="19">
                  <c:v>154.88200000000001</c:v>
                </c:pt>
                <c:pt idx="20">
                  <c:v>158.489</c:v>
                </c:pt>
                <c:pt idx="21">
                  <c:v>162.18100000000001</c:v>
                </c:pt>
                <c:pt idx="22">
                  <c:v>165.959</c:v>
                </c:pt>
                <c:pt idx="23">
                  <c:v>169.82400000000001</c:v>
                </c:pt>
                <c:pt idx="24">
                  <c:v>173.78</c:v>
                </c:pt>
                <c:pt idx="25">
                  <c:v>177.828</c:v>
                </c:pt>
                <c:pt idx="26">
                  <c:v>181.97</c:v>
                </c:pt>
                <c:pt idx="27">
                  <c:v>186.209</c:v>
                </c:pt>
                <c:pt idx="28">
                  <c:v>190.54599999999999</c:v>
                </c:pt>
                <c:pt idx="29">
                  <c:v>194.98400000000001</c:v>
                </c:pt>
                <c:pt idx="30">
                  <c:v>199.52600000000001</c:v>
                </c:pt>
                <c:pt idx="31">
                  <c:v>204.17400000000001</c:v>
                </c:pt>
                <c:pt idx="32">
                  <c:v>208.93</c:v>
                </c:pt>
                <c:pt idx="33">
                  <c:v>213.79599999999999</c:v>
                </c:pt>
                <c:pt idx="34">
                  <c:v>218.77600000000001</c:v>
                </c:pt>
                <c:pt idx="35">
                  <c:v>223.87200000000001</c:v>
                </c:pt>
                <c:pt idx="36">
                  <c:v>229.08699999999999</c:v>
                </c:pt>
                <c:pt idx="37">
                  <c:v>234.423</c:v>
                </c:pt>
                <c:pt idx="38">
                  <c:v>239.88300000000001</c:v>
                </c:pt>
                <c:pt idx="39">
                  <c:v>245.471</c:v>
                </c:pt>
                <c:pt idx="40">
                  <c:v>251.18899999999999</c:v>
                </c:pt>
                <c:pt idx="41">
                  <c:v>257.04000000000002</c:v>
                </c:pt>
                <c:pt idx="42">
                  <c:v>263.02699999999999</c:v>
                </c:pt>
                <c:pt idx="43">
                  <c:v>269.15300000000002</c:v>
                </c:pt>
                <c:pt idx="44">
                  <c:v>275.423</c:v>
                </c:pt>
                <c:pt idx="45">
                  <c:v>281.83800000000002</c:v>
                </c:pt>
                <c:pt idx="46">
                  <c:v>288.40300000000002</c:v>
                </c:pt>
                <c:pt idx="47">
                  <c:v>295.12099999999998</c:v>
                </c:pt>
                <c:pt idx="48">
                  <c:v>301.995</c:v>
                </c:pt>
                <c:pt idx="49">
                  <c:v>309.02999999999997</c:v>
                </c:pt>
                <c:pt idx="50">
                  <c:v>316.22800000000001</c:v>
                </c:pt>
                <c:pt idx="51">
                  <c:v>323.59399999999999</c:v>
                </c:pt>
                <c:pt idx="52">
                  <c:v>331.13099999999997</c:v>
                </c:pt>
                <c:pt idx="53">
                  <c:v>338.84399999999999</c:v>
                </c:pt>
                <c:pt idx="54">
                  <c:v>346.73700000000002</c:v>
                </c:pt>
                <c:pt idx="55">
                  <c:v>354.81299999999999</c:v>
                </c:pt>
                <c:pt idx="56">
                  <c:v>363.07799999999997</c:v>
                </c:pt>
                <c:pt idx="57">
                  <c:v>371.53500000000003</c:v>
                </c:pt>
                <c:pt idx="58">
                  <c:v>380.18900000000002</c:v>
                </c:pt>
                <c:pt idx="59">
                  <c:v>389.04500000000002</c:v>
                </c:pt>
                <c:pt idx="60">
                  <c:v>398.10700000000003</c:v>
                </c:pt>
                <c:pt idx="61">
                  <c:v>407.38</c:v>
                </c:pt>
                <c:pt idx="62">
                  <c:v>416.86900000000003</c:v>
                </c:pt>
                <c:pt idx="63">
                  <c:v>426.58</c:v>
                </c:pt>
                <c:pt idx="64">
                  <c:v>436.51600000000002</c:v>
                </c:pt>
                <c:pt idx="65">
                  <c:v>446.68400000000003</c:v>
                </c:pt>
                <c:pt idx="66">
                  <c:v>457.08800000000002</c:v>
                </c:pt>
                <c:pt idx="67">
                  <c:v>467.73500000000001</c:v>
                </c:pt>
                <c:pt idx="68">
                  <c:v>478.63</c:v>
                </c:pt>
                <c:pt idx="69">
                  <c:v>489.779</c:v>
                </c:pt>
                <c:pt idx="70">
                  <c:v>501.18700000000001</c:v>
                </c:pt>
                <c:pt idx="71">
                  <c:v>512.86099999999999</c:v>
                </c:pt>
                <c:pt idx="72">
                  <c:v>524.80700000000002</c:v>
                </c:pt>
                <c:pt idx="73">
                  <c:v>537.03200000000004</c:v>
                </c:pt>
                <c:pt idx="74">
                  <c:v>549.54100000000005</c:v>
                </c:pt>
                <c:pt idx="75">
                  <c:v>562.34100000000001</c:v>
                </c:pt>
                <c:pt idx="76">
                  <c:v>575.44000000000005</c:v>
                </c:pt>
                <c:pt idx="77">
                  <c:v>588.84400000000005</c:v>
                </c:pt>
                <c:pt idx="78">
                  <c:v>602.55999999999995</c:v>
                </c:pt>
                <c:pt idx="79">
                  <c:v>616.59500000000003</c:v>
                </c:pt>
                <c:pt idx="80">
                  <c:v>630.95699999999999</c:v>
                </c:pt>
                <c:pt idx="81">
                  <c:v>645.654</c:v>
                </c:pt>
                <c:pt idx="82">
                  <c:v>660.69299999999998</c:v>
                </c:pt>
                <c:pt idx="83">
                  <c:v>676.08299999999997</c:v>
                </c:pt>
                <c:pt idx="84">
                  <c:v>691.83100000000002</c:v>
                </c:pt>
                <c:pt idx="85">
                  <c:v>707.94600000000003</c:v>
                </c:pt>
                <c:pt idx="86">
                  <c:v>724.43600000000004</c:v>
                </c:pt>
                <c:pt idx="87">
                  <c:v>741.31</c:v>
                </c:pt>
                <c:pt idx="88">
                  <c:v>758.57799999999997</c:v>
                </c:pt>
                <c:pt idx="89">
                  <c:v>776.24699999999996</c:v>
                </c:pt>
                <c:pt idx="90">
                  <c:v>794.32799999999997</c:v>
                </c:pt>
                <c:pt idx="91">
                  <c:v>812.83100000000002</c:v>
                </c:pt>
                <c:pt idx="92">
                  <c:v>831.76400000000001</c:v>
                </c:pt>
                <c:pt idx="93">
                  <c:v>851.13800000000003</c:v>
                </c:pt>
                <c:pt idx="94">
                  <c:v>870.96400000000006</c:v>
                </c:pt>
                <c:pt idx="95">
                  <c:v>891.25099999999998</c:v>
                </c:pt>
                <c:pt idx="96">
                  <c:v>912.01099999999997</c:v>
                </c:pt>
                <c:pt idx="97">
                  <c:v>933.25400000000002</c:v>
                </c:pt>
                <c:pt idx="98">
                  <c:v>954.99300000000005</c:v>
                </c:pt>
                <c:pt idx="99">
                  <c:v>977.23699999999997</c:v>
                </c:pt>
                <c:pt idx="100">
                  <c:v>1000</c:v>
                </c:pt>
                <c:pt idx="101">
                  <c:v>1023.293</c:v>
                </c:pt>
                <c:pt idx="102">
                  <c:v>1047.1289999999999</c:v>
                </c:pt>
                <c:pt idx="103">
                  <c:v>1071.519</c:v>
                </c:pt>
                <c:pt idx="104">
                  <c:v>1096.4780000000001</c:v>
                </c:pt>
                <c:pt idx="105">
                  <c:v>1122.018</c:v>
                </c:pt>
                <c:pt idx="106">
                  <c:v>1148.154</c:v>
                </c:pt>
                <c:pt idx="107">
                  <c:v>1174.8979999999999</c:v>
                </c:pt>
                <c:pt idx="108">
                  <c:v>1202.2639999999999</c:v>
                </c:pt>
                <c:pt idx="109">
                  <c:v>1230.269</c:v>
                </c:pt>
                <c:pt idx="110">
                  <c:v>1258.925</c:v>
                </c:pt>
                <c:pt idx="111">
                  <c:v>1288.25</c:v>
                </c:pt>
                <c:pt idx="112">
                  <c:v>1318.2570000000001</c:v>
                </c:pt>
                <c:pt idx="113">
                  <c:v>1348.963</c:v>
                </c:pt>
                <c:pt idx="114">
                  <c:v>1380.384</c:v>
                </c:pt>
                <c:pt idx="115">
                  <c:v>1412.538</c:v>
                </c:pt>
                <c:pt idx="116">
                  <c:v>1445.44</c:v>
                </c:pt>
                <c:pt idx="117">
                  <c:v>1479.1079999999999</c:v>
                </c:pt>
                <c:pt idx="118">
                  <c:v>1513.5609999999999</c:v>
                </c:pt>
                <c:pt idx="119">
                  <c:v>1548.817</c:v>
                </c:pt>
                <c:pt idx="120">
                  <c:v>1584.893</c:v>
                </c:pt>
                <c:pt idx="121">
                  <c:v>1621.81</c:v>
                </c:pt>
                <c:pt idx="122">
                  <c:v>1659.587</c:v>
                </c:pt>
                <c:pt idx="123">
                  <c:v>1698.2439999999999</c:v>
                </c:pt>
                <c:pt idx="124">
                  <c:v>1737.8009999999999</c:v>
                </c:pt>
                <c:pt idx="125">
                  <c:v>1778.279</c:v>
                </c:pt>
                <c:pt idx="126">
                  <c:v>1819.701</c:v>
                </c:pt>
                <c:pt idx="127">
                  <c:v>1862.087</c:v>
                </c:pt>
                <c:pt idx="128">
                  <c:v>1905.461</c:v>
                </c:pt>
                <c:pt idx="129">
                  <c:v>1949.845</c:v>
                </c:pt>
                <c:pt idx="130">
                  <c:v>1995.2619999999999</c:v>
                </c:pt>
                <c:pt idx="131">
                  <c:v>2041.7380000000001</c:v>
                </c:pt>
                <c:pt idx="132">
                  <c:v>2089.2959999999998</c:v>
                </c:pt>
                <c:pt idx="133">
                  <c:v>2137.962</c:v>
                </c:pt>
                <c:pt idx="134">
                  <c:v>2187.7620000000002</c:v>
                </c:pt>
                <c:pt idx="135">
                  <c:v>2238.721</c:v>
                </c:pt>
                <c:pt idx="136">
                  <c:v>2290.8679999999999</c:v>
                </c:pt>
                <c:pt idx="137">
                  <c:v>2344.2289999999998</c:v>
                </c:pt>
                <c:pt idx="138">
                  <c:v>2398.8330000000001</c:v>
                </c:pt>
                <c:pt idx="139">
                  <c:v>2454.7089999999998</c:v>
                </c:pt>
                <c:pt idx="140">
                  <c:v>2511.886</c:v>
                </c:pt>
                <c:pt idx="141">
                  <c:v>2570.3960000000002</c:v>
                </c:pt>
                <c:pt idx="142">
                  <c:v>2630.268</c:v>
                </c:pt>
                <c:pt idx="143">
                  <c:v>2691.5349999999999</c:v>
                </c:pt>
                <c:pt idx="144">
                  <c:v>2754.2289999999998</c:v>
                </c:pt>
                <c:pt idx="145">
                  <c:v>2818.3829999999998</c:v>
                </c:pt>
                <c:pt idx="146">
                  <c:v>2884.0320000000002</c:v>
                </c:pt>
                <c:pt idx="147">
                  <c:v>2951.2089999999998</c:v>
                </c:pt>
                <c:pt idx="148">
                  <c:v>3019.9520000000002</c:v>
                </c:pt>
                <c:pt idx="149">
                  <c:v>3090.2950000000001</c:v>
                </c:pt>
                <c:pt idx="150">
                  <c:v>3162.2779999999998</c:v>
                </c:pt>
                <c:pt idx="151">
                  <c:v>3235.9369999999999</c:v>
                </c:pt>
                <c:pt idx="152">
                  <c:v>3311.3110000000001</c:v>
                </c:pt>
                <c:pt idx="153">
                  <c:v>3388.442</c:v>
                </c:pt>
                <c:pt idx="154">
                  <c:v>3467.3690000000001</c:v>
                </c:pt>
                <c:pt idx="155">
                  <c:v>3548.134</c:v>
                </c:pt>
                <c:pt idx="156">
                  <c:v>3630.7809999999999</c:v>
                </c:pt>
                <c:pt idx="157">
                  <c:v>3715.3519999999999</c:v>
                </c:pt>
                <c:pt idx="158">
                  <c:v>3801.8939999999998</c:v>
                </c:pt>
                <c:pt idx="159">
                  <c:v>3890.451</c:v>
                </c:pt>
                <c:pt idx="160">
                  <c:v>3981.0720000000001</c:v>
                </c:pt>
                <c:pt idx="161">
                  <c:v>4073.8029999999999</c:v>
                </c:pt>
                <c:pt idx="162">
                  <c:v>4168.6940000000004</c:v>
                </c:pt>
                <c:pt idx="163">
                  <c:v>4265.7950000000001</c:v>
                </c:pt>
                <c:pt idx="164">
                  <c:v>4365.1580000000004</c:v>
                </c:pt>
                <c:pt idx="165">
                  <c:v>4466.8360000000002</c:v>
                </c:pt>
                <c:pt idx="166">
                  <c:v>4570.8819999999996</c:v>
                </c:pt>
                <c:pt idx="167">
                  <c:v>4677.3509999999997</c:v>
                </c:pt>
                <c:pt idx="168">
                  <c:v>4786.3010000000004</c:v>
                </c:pt>
                <c:pt idx="169">
                  <c:v>4897.7879999999996</c:v>
                </c:pt>
                <c:pt idx="170">
                  <c:v>5011.8720000000003</c:v>
                </c:pt>
                <c:pt idx="171">
                  <c:v>5128.6139999999996</c:v>
                </c:pt>
                <c:pt idx="172">
                  <c:v>5248.0749999999998</c:v>
                </c:pt>
                <c:pt idx="173">
                  <c:v>5370.3180000000002</c:v>
                </c:pt>
                <c:pt idx="174">
                  <c:v>5495.4089999999997</c:v>
                </c:pt>
                <c:pt idx="175">
                  <c:v>5623.4129999999996</c:v>
                </c:pt>
                <c:pt idx="176">
                  <c:v>5754.3990000000003</c:v>
                </c:pt>
                <c:pt idx="177">
                  <c:v>5888.4369999999999</c:v>
                </c:pt>
                <c:pt idx="178">
                  <c:v>6025.5959999999995</c:v>
                </c:pt>
                <c:pt idx="179">
                  <c:v>6165.95</c:v>
                </c:pt>
                <c:pt idx="180">
                  <c:v>6309.5730000000003</c:v>
                </c:pt>
                <c:pt idx="181">
                  <c:v>6456.5420000000004</c:v>
                </c:pt>
                <c:pt idx="182">
                  <c:v>6606.9340000000002</c:v>
                </c:pt>
                <c:pt idx="183">
                  <c:v>6760.83</c:v>
                </c:pt>
                <c:pt idx="184">
                  <c:v>6918.31</c:v>
                </c:pt>
                <c:pt idx="185">
                  <c:v>7079.4579999999996</c:v>
                </c:pt>
                <c:pt idx="186">
                  <c:v>7244.36</c:v>
                </c:pt>
                <c:pt idx="187">
                  <c:v>7413.1019999999999</c:v>
                </c:pt>
                <c:pt idx="188">
                  <c:v>7585.7759999999998</c:v>
                </c:pt>
                <c:pt idx="189">
                  <c:v>7762.4709999999995</c:v>
                </c:pt>
                <c:pt idx="190">
                  <c:v>7943.2820000000002</c:v>
                </c:pt>
                <c:pt idx="191">
                  <c:v>8128.3050000000003</c:v>
                </c:pt>
                <c:pt idx="192">
                  <c:v>8317.6380000000008</c:v>
                </c:pt>
                <c:pt idx="193">
                  <c:v>8511.3799999999992</c:v>
                </c:pt>
                <c:pt idx="194">
                  <c:v>8709.6360000000004</c:v>
                </c:pt>
                <c:pt idx="195">
                  <c:v>8912.509</c:v>
                </c:pt>
                <c:pt idx="196">
                  <c:v>9120.1080000000002</c:v>
                </c:pt>
                <c:pt idx="197">
                  <c:v>9332.5429999999997</c:v>
                </c:pt>
                <c:pt idx="198">
                  <c:v>9549.9259999999995</c:v>
                </c:pt>
                <c:pt idx="199">
                  <c:v>9772.3719999999994</c:v>
                </c:pt>
                <c:pt idx="200">
                  <c:v>10000</c:v>
                </c:pt>
                <c:pt idx="201">
                  <c:v>10232.93</c:v>
                </c:pt>
                <c:pt idx="202">
                  <c:v>10471.285</c:v>
                </c:pt>
                <c:pt idx="203">
                  <c:v>10715.192999999999</c:v>
                </c:pt>
                <c:pt idx="204">
                  <c:v>10964.781999999999</c:v>
                </c:pt>
                <c:pt idx="205">
                  <c:v>11220.184999999999</c:v>
                </c:pt>
                <c:pt idx="206">
                  <c:v>11481.536</c:v>
                </c:pt>
                <c:pt idx="207">
                  <c:v>11748.976000000001</c:v>
                </c:pt>
                <c:pt idx="208">
                  <c:v>12022.644</c:v>
                </c:pt>
                <c:pt idx="209">
                  <c:v>12302.688</c:v>
                </c:pt>
                <c:pt idx="210">
                  <c:v>12589.254000000001</c:v>
                </c:pt>
                <c:pt idx="211">
                  <c:v>12882.495999999999</c:v>
                </c:pt>
                <c:pt idx="212">
                  <c:v>13182.566999999999</c:v>
                </c:pt>
                <c:pt idx="213">
                  <c:v>13489.629000000001</c:v>
                </c:pt>
                <c:pt idx="214">
                  <c:v>13803.843000000001</c:v>
                </c:pt>
                <c:pt idx="215">
                  <c:v>14125.375</c:v>
                </c:pt>
                <c:pt idx="216">
                  <c:v>14454.397999999999</c:v>
                </c:pt>
                <c:pt idx="217">
                  <c:v>14791.084000000001</c:v>
                </c:pt>
                <c:pt idx="218">
                  <c:v>15135.611999999999</c:v>
                </c:pt>
                <c:pt idx="219">
                  <c:v>15488.165999999999</c:v>
                </c:pt>
                <c:pt idx="220">
                  <c:v>15848.932000000001</c:v>
                </c:pt>
                <c:pt idx="221">
                  <c:v>16218.101000000001</c:v>
                </c:pt>
                <c:pt idx="222">
                  <c:v>16595.868999999999</c:v>
                </c:pt>
                <c:pt idx="223">
                  <c:v>16982.437000000002</c:v>
                </c:pt>
                <c:pt idx="224">
                  <c:v>17378.008000000002</c:v>
                </c:pt>
                <c:pt idx="225">
                  <c:v>17782.794000000002</c:v>
                </c:pt>
                <c:pt idx="226">
                  <c:v>18197.008999999998</c:v>
                </c:pt>
                <c:pt idx="227">
                  <c:v>18620.870999999999</c:v>
                </c:pt>
                <c:pt idx="228">
                  <c:v>19054.607</c:v>
                </c:pt>
                <c:pt idx="229">
                  <c:v>19498.446</c:v>
                </c:pt>
                <c:pt idx="230">
                  <c:v>19952.623</c:v>
                </c:pt>
                <c:pt idx="231">
                  <c:v>20417.379000000001</c:v>
                </c:pt>
                <c:pt idx="232">
                  <c:v>20892.960999999999</c:v>
                </c:pt>
                <c:pt idx="233">
                  <c:v>21379.620999999999</c:v>
                </c:pt>
                <c:pt idx="234">
                  <c:v>21877.616000000002</c:v>
                </c:pt>
                <c:pt idx="235">
                  <c:v>22387.210999999999</c:v>
                </c:pt>
                <c:pt idx="236">
                  <c:v>22908.677</c:v>
                </c:pt>
                <c:pt idx="237">
                  <c:v>23442.288</c:v>
                </c:pt>
                <c:pt idx="238">
                  <c:v>23988.329000000002</c:v>
                </c:pt>
                <c:pt idx="239">
                  <c:v>24547.089</c:v>
                </c:pt>
                <c:pt idx="240">
                  <c:v>25118.864000000001</c:v>
                </c:pt>
                <c:pt idx="241">
                  <c:v>25703.957999999999</c:v>
                </c:pt>
                <c:pt idx="242">
                  <c:v>26302.68</c:v>
                </c:pt>
                <c:pt idx="243">
                  <c:v>26915.348000000002</c:v>
                </c:pt>
                <c:pt idx="244">
                  <c:v>27542.287</c:v>
                </c:pt>
                <c:pt idx="245">
                  <c:v>28183.829000000002</c:v>
                </c:pt>
                <c:pt idx="246">
                  <c:v>28840.314999999999</c:v>
                </c:pt>
                <c:pt idx="247">
                  <c:v>29512.092000000001</c:v>
                </c:pt>
                <c:pt idx="248">
                  <c:v>30199.517</c:v>
                </c:pt>
                <c:pt idx="249">
                  <c:v>30902.954000000002</c:v>
                </c:pt>
                <c:pt idx="250">
                  <c:v>31622.776999999998</c:v>
                </c:pt>
                <c:pt idx="251">
                  <c:v>32359.366000000002</c:v>
                </c:pt>
                <c:pt idx="252">
                  <c:v>33113.112000000001</c:v>
                </c:pt>
                <c:pt idx="253">
                  <c:v>33884.415999999997</c:v>
                </c:pt>
                <c:pt idx="254">
                  <c:v>34673.684999999998</c:v>
                </c:pt>
                <c:pt idx="255">
                  <c:v>35481.339</c:v>
                </c:pt>
                <c:pt idx="256">
                  <c:v>36307.805</c:v>
                </c:pt>
                <c:pt idx="257">
                  <c:v>37153.523000000001</c:v>
                </c:pt>
                <c:pt idx="258">
                  <c:v>38018.94</c:v>
                </c:pt>
                <c:pt idx="259">
                  <c:v>38904.514000000003</c:v>
                </c:pt>
                <c:pt idx="260">
                  <c:v>39810.716999999997</c:v>
                </c:pt>
                <c:pt idx="261">
                  <c:v>40738.027999999998</c:v>
                </c:pt>
                <c:pt idx="262">
                  <c:v>41686.938000000002</c:v>
                </c:pt>
                <c:pt idx="263">
                  <c:v>42657.951999999997</c:v>
                </c:pt>
                <c:pt idx="264">
                  <c:v>43651.582999999999</c:v>
                </c:pt>
                <c:pt idx="265">
                  <c:v>44668.358999999997</c:v>
                </c:pt>
                <c:pt idx="266">
                  <c:v>45708.819000000003</c:v>
                </c:pt>
                <c:pt idx="267">
                  <c:v>46773.514000000003</c:v>
                </c:pt>
                <c:pt idx="268">
                  <c:v>47863.008999999998</c:v>
                </c:pt>
                <c:pt idx="269">
                  <c:v>48977.881999999998</c:v>
                </c:pt>
                <c:pt idx="270">
                  <c:v>50118.722999999998</c:v>
                </c:pt>
                <c:pt idx="271">
                  <c:v>51286.137999999999</c:v>
                </c:pt>
                <c:pt idx="272">
                  <c:v>52480.745999999999</c:v>
                </c:pt>
                <c:pt idx="273">
                  <c:v>53703.18</c:v>
                </c:pt>
                <c:pt idx="274">
                  <c:v>54954.087</c:v>
                </c:pt>
                <c:pt idx="275">
                  <c:v>56234.133000000002</c:v>
                </c:pt>
                <c:pt idx="276">
                  <c:v>57543.993999999999</c:v>
                </c:pt>
                <c:pt idx="277">
                  <c:v>58884.366000000002</c:v>
                </c:pt>
                <c:pt idx="278">
                  <c:v>60255.959000000003</c:v>
                </c:pt>
                <c:pt idx="279">
                  <c:v>61659.5</c:v>
                </c:pt>
                <c:pt idx="280">
                  <c:v>63095.733999999997</c:v>
                </c:pt>
                <c:pt idx="281">
                  <c:v>64565.423000000003</c:v>
                </c:pt>
                <c:pt idx="282">
                  <c:v>66069.345000000001</c:v>
                </c:pt>
                <c:pt idx="283">
                  <c:v>67608.297999999995</c:v>
                </c:pt>
                <c:pt idx="284">
                  <c:v>69183.096999999994</c:v>
                </c:pt>
                <c:pt idx="285">
                  <c:v>70794.577999999994</c:v>
                </c:pt>
                <c:pt idx="286">
                  <c:v>72443.596000000005</c:v>
                </c:pt>
                <c:pt idx="287">
                  <c:v>74131.024000000005</c:v>
                </c:pt>
                <c:pt idx="288">
                  <c:v>75857.758000000002</c:v>
                </c:pt>
                <c:pt idx="289">
                  <c:v>77624.712</c:v>
                </c:pt>
                <c:pt idx="290">
                  <c:v>79432.823000000004</c:v>
                </c:pt>
                <c:pt idx="291">
                  <c:v>81283.051999999996</c:v>
                </c:pt>
                <c:pt idx="292">
                  <c:v>83176.376999999993</c:v>
                </c:pt>
                <c:pt idx="293">
                  <c:v>85113.804000000004</c:v>
                </c:pt>
                <c:pt idx="294">
                  <c:v>87096.358999999997</c:v>
                </c:pt>
                <c:pt idx="295">
                  <c:v>89125.093999999997</c:v>
                </c:pt>
                <c:pt idx="296">
                  <c:v>91201.084000000003</c:v>
                </c:pt>
                <c:pt idx="297">
                  <c:v>93325.43</c:v>
                </c:pt>
                <c:pt idx="298">
                  <c:v>95499.259000000005</c:v>
                </c:pt>
                <c:pt idx="299">
                  <c:v>97723.721999999994</c:v>
                </c:pt>
                <c:pt idx="300">
                  <c:v>100000</c:v>
                </c:pt>
                <c:pt idx="301">
                  <c:v>102329.299</c:v>
                </c:pt>
                <c:pt idx="302">
                  <c:v>104712.855</c:v>
                </c:pt>
                <c:pt idx="303">
                  <c:v>107151.931</c:v>
                </c:pt>
                <c:pt idx="304">
                  <c:v>109647.82</c:v>
                </c:pt>
                <c:pt idx="305">
                  <c:v>112201.845</c:v>
                </c:pt>
                <c:pt idx="306">
                  <c:v>114815.36199999999</c:v>
                </c:pt>
                <c:pt idx="307">
                  <c:v>117489.755</c:v>
                </c:pt>
                <c:pt idx="308">
                  <c:v>120226.443</c:v>
                </c:pt>
                <c:pt idx="309">
                  <c:v>123026.87699999999</c:v>
                </c:pt>
                <c:pt idx="310">
                  <c:v>125892.541</c:v>
                </c:pt>
                <c:pt idx="311">
                  <c:v>128824.955</c:v>
                </c:pt>
                <c:pt idx="312">
                  <c:v>131825.674</c:v>
                </c:pt>
                <c:pt idx="313">
                  <c:v>134896.288</c:v>
                </c:pt>
                <c:pt idx="314">
                  <c:v>138038.42600000001</c:v>
                </c:pt>
                <c:pt idx="315">
                  <c:v>141253.75399999999</c:v>
                </c:pt>
                <c:pt idx="316">
                  <c:v>144543.97700000001</c:v>
                </c:pt>
                <c:pt idx="317">
                  <c:v>147910.83900000001</c:v>
                </c:pt>
                <c:pt idx="318">
                  <c:v>151356.125</c:v>
                </c:pt>
                <c:pt idx="319">
                  <c:v>154881.66200000001</c:v>
                </c:pt>
                <c:pt idx="320">
                  <c:v>158489.31899999999</c:v>
                </c:pt>
                <c:pt idx="321">
                  <c:v>162181.01</c:v>
                </c:pt>
                <c:pt idx="322">
                  <c:v>165958.69099999999</c:v>
                </c:pt>
                <c:pt idx="323">
                  <c:v>169824.36499999999</c:v>
                </c:pt>
                <c:pt idx="324">
                  <c:v>173780.08300000001</c:v>
                </c:pt>
                <c:pt idx="325">
                  <c:v>177827.94099999999</c:v>
                </c:pt>
                <c:pt idx="326">
                  <c:v>181970.08600000001</c:v>
                </c:pt>
                <c:pt idx="327">
                  <c:v>186208.71400000001</c:v>
                </c:pt>
                <c:pt idx="328">
                  <c:v>190546.07199999999</c:v>
                </c:pt>
                <c:pt idx="329">
                  <c:v>194984.46</c:v>
                </c:pt>
                <c:pt idx="330">
                  <c:v>199526.231</c:v>
                </c:pt>
                <c:pt idx="331">
                  <c:v>204173.79399999999</c:v>
                </c:pt>
                <c:pt idx="332">
                  <c:v>208929.61300000001</c:v>
                </c:pt>
                <c:pt idx="333">
                  <c:v>213796.209</c:v>
                </c:pt>
                <c:pt idx="334">
                  <c:v>218776.16200000001</c:v>
                </c:pt>
                <c:pt idx="335">
                  <c:v>223872.114</c:v>
                </c:pt>
                <c:pt idx="336">
                  <c:v>229086.76500000001</c:v>
                </c:pt>
                <c:pt idx="337">
                  <c:v>234422.88200000001</c:v>
                </c:pt>
                <c:pt idx="338">
                  <c:v>239883.29199999999</c:v>
                </c:pt>
                <c:pt idx="339">
                  <c:v>245470.89199999999</c:v>
                </c:pt>
                <c:pt idx="340">
                  <c:v>251188.64300000001</c:v>
                </c:pt>
                <c:pt idx="341">
                  <c:v>257039.57800000001</c:v>
                </c:pt>
                <c:pt idx="342">
                  <c:v>263026.799</c:v>
                </c:pt>
                <c:pt idx="343">
                  <c:v>269153.48</c:v>
                </c:pt>
                <c:pt idx="344">
                  <c:v>275422.87</c:v>
                </c:pt>
                <c:pt idx="345">
                  <c:v>281838.29300000001</c:v>
                </c:pt>
                <c:pt idx="346">
                  <c:v>288403.15000000002</c:v>
                </c:pt>
                <c:pt idx="347">
                  <c:v>295120.92300000001</c:v>
                </c:pt>
                <c:pt idx="348">
                  <c:v>301995.17200000002</c:v>
                </c:pt>
                <c:pt idx="349">
                  <c:v>309029.54300000001</c:v>
                </c:pt>
                <c:pt idx="350">
                  <c:v>316227.766</c:v>
                </c:pt>
                <c:pt idx="351">
                  <c:v>323593.65700000001</c:v>
                </c:pt>
                <c:pt idx="352">
                  <c:v>331131.12099999998</c:v>
                </c:pt>
                <c:pt idx="353">
                  <c:v>338844.15600000002</c:v>
                </c:pt>
                <c:pt idx="354">
                  <c:v>346736.85</c:v>
                </c:pt>
                <c:pt idx="355">
                  <c:v>354813.38900000002</c:v>
                </c:pt>
                <c:pt idx="356">
                  <c:v>363078.05499999999</c:v>
                </c:pt>
                <c:pt idx="357">
                  <c:v>371535.22899999999</c:v>
                </c:pt>
                <c:pt idx="358">
                  <c:v>380189.39600000001</c:v>
                </c:pt>
                <c:pt idx="359">
                  <c:v>389045.14500000002</c:v>
                </c:pt>
                <c:pt idx="360">
                  <c:v>398107.17099999997</c:v>
                </c:pt>
                <c:pt idx="361">
                  <c:v>407380.27799999999</c:v>
                </c:pt>
                <c:pt idx="362">
                  <c:v>416869.38299999997</c:v>
                </c:pt>
                <c:pt idx="363">
                  <c:v>426579.51899999997</c:v>
                </c:pt>
                <c:pt idx="364">
                  <c:v>436515.83199999999</c:v>
                </c:pt>
                <c:pt idx="365">
                  <c:v>446683.592</c:v>
                </c:pt>
                <c:pt idx="366">
                  <c:v>457088.19</c:v>
                </c:pt>
                <c:pt idx="367">
                  <c:v>467735.141</c:v>
                </c:pt>
                <c:pt idx="368">
                  <c:v>478630.092</c:v>
                </c:pt>
                <c:pt idx="369">
                  <c:v>489778.81900000002</c:v>
                </c:pt>
                <c:pt idx="370">
                  <c:v>501187.234</c:v>
                </c:pt>
                <c:pt idx="371">
                  <c:v>512861.38400000002</c:v>
                </c:pt>
                <c:pt idx="372">
                  <c:v>524807.46</c:v>
                </c:pt>
                <c:pt idx="373">
                  <c:v>537031.79599999997</c:v>
                </c:pt>
                <c:pt idx="374">
                  <c:v>549540.87399999995</c:v>
                </c:pt>
                <c:pt idx="375">
                  <c:v>562341.32499999995</c:v>
                </c:pt>
                <c:pt idx="376">
                  <c:v>575439.93700000003</c:v>
                </c:pt>
                <c:pt idx="377">
                  <c:v>588843.65500000003</c:v>
                </c:pt>
                <c:pt idx="378">
                  <c:v>602559.58600000001</c:v>
                </c:pt>
                <c:pt idx="379">
                  <c:v>616595.00199999998</c:v>
                </c:pt>
                <c:pt idx="380">
                  <c:v>630957.34400000004</c:v>
                </c:pt>
                <c:pt idx="381">
                  <c:v>645654.22900000005</c:v>
                </c:pt>
                <c:pt idx="382">
                  <c:v>660693.44799999997</c:v>
                </c:pt>
                <c:pt idx="383">
                  <c:v>676082.97499999998</c:v>
                </c:pt>
                <c:pt idx="384">
                  <c:v>691830.97100000002</c:v>
                </c:pt>
                <c:pt idx="385">
                  <c:v>707945.78399999999</c:v>
                </c:pt>
                <c:pt idx="386">
                  <c:v>724435.96</c:v>
                </c:pt>
                <c:pt idx="387">
                  <c:v>741310.24100000004</c:v>
                </c:pt>
                <c:pt idx="388">
                  <c:v>758577.57499999995</c:v>
                </c:pt>
                <c:pt idx="389">
                  <c:v>776247.11699999997</c:v>
                </c:pt>
                <c:pt idx="390">
                  <c:v>794328.23499999999</c:v>
                </c:pt>
                <c:pt idx="391">
                  <c:v>812830.51599999995</c:v>
                </c:pt>
                <c:pt idx="392">
                  <c:v>831763.77099999995</c:v>
                </c:pt>
                <c:pt idx="393">
                  <c:v>851138.03799999994</c:v>
                </c:pt>
                <c:pt idx="394">
                  <c:v>870963.59</c:v>
                </c:pt>
                <c:pt idx="395">
                  <c:v>891250.93799999997</c:v>
                </c:pt>
                <c:pt idx="396">
                  <c:v>912010.83900000004</c:v>
                </c:pt>
                <c:pt idx="397">
                  <c:v>933254.30099999998</c:v>
                </c:pt>
                <c:pt idx="398">
                  <c:v>954992.58600000001</c:v>
                </c:pt>
                <c:pt idx="399">
                  <c:v>977237.22100000002</c:v>
                </c:pt>
              </c:numCache>
            </c:numRef>
          </c:xVal>
          <c:yVal>
            <c:numRef>
              <c:f>'Bode Plots Calculations'!$BV$10:$BV$409</c:f>
              <c:numCache>
                <c:formatCode>#0.0#</c:formatCode>
                <c:ptCount val="400"/>
                <c:pt idx="0">
                  <c:v>-267.66769999999997</c:v>
                </c:pt>
                <c:pt idx="1">
                  <c:v>-265.91489999999999</c:v>
                </c:pt>
                <c:pt idx="2">
                  <c:v>-264.93219999999997</c:v>
                </c:pt>
                <c:pt idx="3">
                  <c:v>-262.3057</c:v>
                </c:pt>
                <c:pt idx="4">
                  <c:v>-262.76620000000003</c:v>
                </c:pt>
                <c:pt idx="5">
                  <c:v>-267.01279999999997</c:v>
                </c:pt>
                <c:pt idx="6">
                  <c:v>-266.20479999999998</c:v>
                </c:pt>
                <c:pt idx="7">
                  <c:v>-264.9049</c:v>
                </c:pt>
                <c:pt idx="8">
                  <c:v>-269.98079999999999</c:v>
                </c:pt>
                <c:pt idx="9">
                  <c:v>-265.73410000000001</c:v>
                </c:pt>
                <c:pt idx="10">
                  <c:v>-266.37110000000001</c:v>
                </c:pt>
                <c:pt idx="11">
                  <c:v>-268.05959999999999</c:v>
                </c:pt>
                <c:pt idx="12">
                  <c:v>-263.3605</c:v>
                </c:pt>
                <c:pt idx="13">
                  <c:v>-269.46539999999999</c:v>
                </c:pt>
                <c:pt idx="14">
                  <c:v>-267.95069999999998</c:v>
                </c:pt>
                <c:pt idx="15">
                  <c:v>-263.11430000000001</c:v>
                </c:pt>
                <c:pt idx="16">
                  <c:v>-266.2885</c:v>
                </c:pt>
                <c:pt idx="17">
                  <c:v>-266.34629999999999</c:v>
                </c:pt>
                <c:pt idx="18">
                  <c:v>-267.0283</c:v>
                </c:pt>
                <c:pt idx="19">
                  <c:v>-260.69729999999998</c:v>
                </c:pt>
                <c:pt idx="20">
                  <c:v>-259.86900000000003</c:v>
                </c:pt>
                <c:pt idx="21">
                  <c:v>-262.39859999999999</c:v>
                </c:pt>
                <c:pt idx="22">
                  <c:v>-264.8295</c:v>
                </c:pt>
                <c:pt idx="23">
                  <c:v>-267.72770000000003</c:v>
                </c:pt>
                <c:pt idx="24">
                  <c:v>-269.952</c:v>
                </c:pt>
                <c:pt idx="25">
                  <c:v>-271.56010000000003</c:v>
                </c:pt>
                <c:pt idx="26">
                  <c:v>-268.84590000000003</c:v>
                </c:pt>
                <c:pt idx="27">
                  <c:v>-265.37959999999998</c:v>
                </c:pt>
                <c:pt idx="28">
                  <c:v>-265.89449999999999</c:v>
                </c:pt>
                <c:pt idx="29">
                  <c:v>-265.6327</c:v>
                </c:pt>
                <c:pt idx="30">
                  <c:v>-267.80150000000003</c:v>
                </c:pt>
                <c:pt idx="31">
                  <c:v>-264.16840000000002</c:v>
                </c:pt>
                <c:pt idx="32">
                  <c:v>-267.69110000000001</c:v>
                </c:pt>
                <c:pt idx="33">
                  <c:v>-266.9667</c:v>
                </c:pt>
                <c:pt idx="34">
                  <c:v>-263.5369</c:v>
                </c:pt>
                <c:pt idx="35">
                  <c:v>-265.19450000000001</c:v>
                </c:pt>
                <c:pt idx="36">
                  <c:v>-266.75440000000003</c:v>
                </c:pt>
                <c:pt idx="37">
                  <c:v>-266.76120000000003</c:v>
                </c:pt>
                <c:pt idx="38">
                  <c:v>-267.59569999999997</c:v>
                </c:pt>
                <c:pt idx="39">
                  <c:v>-266.80959999999999</c:v>
                </c:pt>
                <c:pt idx="40">
                  <c:v>-265.9205</c:v>
                </c:pt>
                <c:pt idx="41">
                  <c:v>-267.60309999999998</c:v>
                </c:pt>
                <c:pt idx="42">
                  <c:v>-267.3229</c:v>
                </c:pt>
                <c:pt idx="43">
                  <c:v>-265.67700000000002</c:v>
                </c:pt>
                <c:pt idx="44">
                  <c:v>-266.46569999999997</c:v>
                </c:pt>
                <c:pt idx="45">
                  <c:v>-266.67570000000001</c:v>
                </c:pt>
                <c:pt idx="46">
                  <c:v>-268.05989999999997</c:v>
                </c:pt>
                <c:pt idx="47">
                  <c:v>-265.88</c:v>
                </c:pt>
                <c:pt idx="48">
                  <c:v>-267.13580000000002</c:v>
                </c:pt>
                <c:pt idx="49">
                  <c:v>-265.03610000000003</c:v>
                </c:pt>
                <c:pt idx="50">
                  <c:v>-265.21839999999997</c:v>
                </c:pt>
                <c:pt idx="51">
                  <c:v>-266.99490000000003</c:v>
                </c:pt>
                <c:pt idx="52">
                  <c:v>-265.09339999999997</c:v>
                </c:pt>
                <c:pt idx="53">
                  <c:v>-266.42009999999999</c:v>
                </c:pt>
                <c:pt idx="54">
                  <c:v>-265.87940000000003</c:v>
                </c:pt>
                <c:pt idx="55">
                  <c:v>-265.95490000000001</c:v>
                </c:pt>
                <c:pt idx="56">
                  <c:v>-265.39159999999998</c:v>
                </c:pt>
                <c:pt idx="57">
                  <c:v>-265.2439</c:v>
                </c:pt>
                <c:pt idx="58">
                  <c:v>-265.49869999999999</c:v>
                </c:pt>
                <c:pt idx="59">
                  <c:v>-266.06720000000001</c:v>
                </c:pt>
                <c:pt idx="60">
                  <c:v>-265.2319</c:v>
                </c:pt>
                <c:pt idx="61">
                  <c:v>-265.7319</c:v>
                </c:pt>
                <c:pt idx="62">
                  <c:v>-265.24939999999998</c:v>
                </c:pt>
                <c:pt idx="63">
                  <c:v>-265.14060000000001</c:v>
                </c:pt>
                <c:pt idx="64">
                  <c:v>-264.9151</c:v>
                </c:pt>
                <c:pt idx="65">
                  <c:v>-265.3082</c:v>
                </c:pt>
                <c:pt idx="66">
                  <c:v>-265.65139999999997</c:v>
                </c:pt>
                <c:pt idx="67">
                  <c:v>-265.05009999999999</c:v>
                </c:pt>
                <c:pt idx="68">
                  <c:v>-264.35129999999998</c:v>
                </c:pt>
                <c:pt idx="69">
                  <c:v>-263.91079999999999</c:v>
                </c:pt>
                <c:pt idx="70">
                  <c:v>-264.7826</c:v>
                </c:pt>
                <c:pt idx="71">
                  <c:v>-265.04300000000001</c:v>
                </c:pt>
                <c:pt idx="72">
                  <c:v>-263.95569999999998</c:v>
                </c:pt>
                <c:pt idx="73">
                  <c:v>-264.56819999999999</c:v>
                </c:pt>
                <c:pt idx="74">
                  <c:v>-264.47620000000001</c:v>
                </c:pt>
                <c:pt idx="75">
                  <c:v>-264.60399999999998</c:v>
                </c:pt>
                <c:pt idx="76">
                  <c:v>-264.9076</c:v>
                </c:pt>
                <c:pt idx="77">
                  <c:v>-263.88170000000002</c:v>
                </c:pt>
                <c:pt idx="78">
                  <c:v>-264.00260000000003</c:v>
                </c:pt>
                <c:pt idx="79">
                  <c:v>-264.13310000000001</c:v>
                </c:pt>
                <c:pt idx="80">
                  <c:v>-263.74850000000004</c:v>
                </c:pt>
                <c:pt idx="81">
                  <c:v>-263.7636</c:v>
                </c:pt>
                <c:pt idx="82">
                  <c:v>-263.60980000000001</c:v>
                </c:pt>
                <c:pt idx="83">
                  <c:v>-263.3252</c:v>
                </c:pt>
                <c:pt idx="84">
                  <c:v>-263.57819999999998</c:v>
                </c:pt>
                <c:pt idx="85">
                  <c:v>-262.84989999999999</c:v>
                </c:pt>
                <c:pt idx="86">
                  <c:v>-262.81690000000003</c:v>
                </c:pt>
                <c:pt idx="87">
                  <c:v>-262.19720000000001</c:v>
                </c:pt>
                <c:pt idx="88">
                  <c:v>-262.56690000000003</c:v>
                </c:pt>
                <c:pt idx="89">
                  <c:v>-262.71769999999998</c:v>
                </c:pt>
                <c:pt idx="90">
                  <c:v>-262.79380000000003</c:v>
                </c:pt>
                <c:pt idx="91">
                  <c:v>-262.23689999999999</c:v>
                </c:pt>
                <c:pt idx="92">
                  <c:v>-262.34320000000002</c:v>
                </c:pt>
                <c:pt idx="93">
                  <c:v>-262.197</c:v>
                </c:pt>
                <c:pt idx="94">
                  <c:v>-261.76800000000003</c:v>
                </c:pt>
                <c:pt idx="95">
                  <c:v>-261.38310000000001</c:v>
                </c:pt>
                <c:pt idx="96">
                  <c:v>-261.74869999999999</c:v>
                </c:pt>
                <c:pt idx="97">
                  <c:v>-261.20730000000003</c:v>
                </c:pt>
                <c:pt idx="98">
                  <c:v>-261.26609999999999</c:v>
                </c:pt>
                <c:pt idx="99">
                  <c:v>-260.93240000000003</c:v>
                </c:pt>
                <c:pt idx="100">
                  <c:v>-260.5154</c:v>
                </c:pt>
                <c:pt idx="101">
                  <c:v>-261.12389999999999</c:v>
                </c:pt>
                <c:pt idx="102">
                  <c:v>-260.40769999999998</c:v>
                </c:pt>
                <c:pt idx="103">
                  <c:v>-260.5301</c:v>
                </c:pt>
                <c:pt idx="104">
                  <c:v>-260.5471</c:v>
                </c:pt>
                <c:pt idx="105">
                  <c:v>-259.93099999999998</c:v>
                </c:pt>
                <c:pt idx="106">
                  <c:v>-259.94799999999998</c:v>
                </c:pt>
                <c:pt idx="107">
                  <c:v>-260.19870000000003</c:v>
                </c:pt>
                <c:pt idx="108">
                  <c:v>-259.34100000000001</c:v>
                </c:pt>
                <c:pt idx="109">
                  <c:v>-259.55099999999999</c:v>
                </c:pt>
                <c:pt idx="110">
                  <c:v>-259.27199999999999</c:v>
                </c:pt>
                <c:pt idx="111">
                  <c:v>-258.86099999999999</c:v>
                </c:pt>
                <c:pt idx="112">
                  <c:v>-258.68299999999999</c:v>
                </c:pt>
                <c:pt idx="113">
                  <c:v>-258.79700000000003</c:v>
                </c:pt>
                <c:pt idx="114">
                  <c:v>-258.41000000000003</c:v>
                </c:pt>
                <c:pt idx="115">
                  <c:v>-258.13599999999997</c:v>
                </c:pt>
                <c:pt idx="116">
                  <c:v>-257.92899999999997</c:v>
                </c:pt>
                <c:pt idx="117">
                  <c:v>-257.745</c:v>
                </c:pt>
                <c:pt idx="118">
                  <c:v>-257.61</c:v>
                </c:pt>
                <c:pt idx="119">
                  <c:v>-257.471</c:v>
                </c:pt>
                <c:pt idx="120">
                  <c:v>-256.94200000000001</c:v>
                </c:pt>
                <c:pt idx="121">
                  <c:v>-256.75299999999999</c:v>
                </c:pt>
                <c:pt idx="122">
                  <c:v>-256.85699999999997</c:v>
                </c:pt>
                <c:pt idx="123">
                  <c:v>-256.31299999999999</c:v>
                </c:pt>
                <c:pt idx="124">
                  <c:v>-256.37900000000002</c:v>
                </c:pt>
                <c:pt idx="125">
                  <c:v>-256.01499999999999</c:v>
                </c:pt>
                <c:pt idx="126">
                  <c:v>-255.833</c:v>
                </c:pt>
                <c:pt idx="127">
                  <c:v>-255.47</c:v>
                </c:pt>
                <c:pt idx="128">
                  <c:v>-255.059</c:v>
                </c:pt>
                <c:pt idx="129">
                  <c:v>-254.971</c:v>
                </c:pt>
                <c:pt idx="130">
                  <c:v>-254.804</c:v>
                </c:pt>
                <c:pt idx="131">
                  <c:v>-254.411</c:v>
                </c:pt>
                <c:pt idx="132">
                  <c:v>-254.113</c:v>
                </c:pt>
                <c:pt idx="133">
                  <c:v>-254.34</c:v>
                </c:pt>
                <c:pt idx="134">
                  <c:v>-253.785</c:v>
                </c:pt>
                <c:pt idx="135">
                  <c:v>-253.78300000000002</c:v>
                </c:pt>
                <c:pt idx="136">
                  <c:v>-253.62</c:v>
                </c:pt>
                <c:pt idx="137">
                  <c:v>-253.17099999999999</c:v>
                </c:pt>
                <c:pt idx="138">
                  <c:v>-252.65800000000002</c:v>
                </c:pt>
                <c:pt idx="139">
                  <c:v>-251.97399999999999</c:v>
                </c:pt>
                <c:pt idx="140">
                  <c:v>-252.25200000000001</c:v>
                </c:pt>
                <c:pt idx="141">
                  <c:v>-251.702</c:v>
                </c:pt>
                <c:pt idx="142">
                  <c:v>-251.40100000000001</c:v>
                </c:pt>
                <c:pt idx="143">
                  <c:v>-251.244</c:v>
                </c:pt>
                <c:pt idx="144">
                  <c:v>-251.05099999999999</c:v>
                </c:pt>
                <c:pt idx="145">
                  <c:v>-250.48</c:v>
                </c:pt>
                <c:pt idx="146">
                  <c:v>-250.202</c:v>
                </c:pt>
                <c:pt idx="147">
                  <c:v>-249.92599999999999</c:v>
                </c:pt>
                <c:pt idx="148">
                  <c:v>-249.65100000000001</c:v>
                </c:pt>
                <c:pt idx="149">
                  <c:v>-248.41800000000001</c:v>
                </c:pt>
                <c:pt idx="150">
                  <c:v>-248.626</c:v>
                </c:pt>
                <c:pt idx="151">
                  <c:v>-248.57499999999999</c:v>
                </c:pt>
                <c:pt idx="152">
                  <c:v>-247.75799999999998</c:v>
                </c:pt>
                <c:pt idx="153">
                  <c:v>-247.756</c:v>
                </c:pt>
                <c:pt idx="154">
                  <c:v>-247.51300000000001</c:v>
                </c:pt>
                <c:pt idx="155">
                  <c:v>-246.726</c:v>
                </c:pt>
                <c:pt idx="156">
                  <c:v>-246.21199999999999</c:v>
                </c:pt>
                <c:pt idx="157">
                  <c:v>-245.97</c:v>
                </c:pt>
                <c:pt idx="158">
                  <c:v>-245.16899999999998</c:v>
                </c:pt>
                <c:pt idx="159">
                  <c:v>-244.768</c:v>
                </c:pt>
                <c:pt idx="160">
                  <c:v>-244.315</c:v>
                </c:pt>
                <c:pt idx="161">
                  <c:v>-244.142</c:v>
                </c:pt>
                <c:pt idx="162">
                  <c:v>-243.709</c:v>
                </c:pt>
                <c:pt idx="163">
                  <c:v>-243.32400000000001</c:v>
                </c:pt>
                <c:pt idx="164">
                  <c:v>-242.172</c:v>
                </c:pt>
                <c:pt idx="165">
                  <c:v>-240.90300000000002</c:v>
                </c:pt>
                <c:pt idx="166">
                  <c:v>-241.25200000000001</c:v>
                </c:pt>
                <c:pt idx="167">
                  <c:v>-240.63800000000001</c:v>
                </c:pt>
                <c:pt idx="168">
                  <c:v>-240.03100000000001</c:v>
                </c:pt>
                <c:pt idx="169">
                  <c:v>-239.48099999999999</c:v>
                </c:pt>
                <c:pt idx="170">
                  <c:v>-238.50700000000001</c:v>
                </c:pt>
                <c:pt idx="171">
                  <c:v>-237.881</c:v>
                </c:pt>
                <c:pt idx="172">
                  <c:v>-238.28</c:v>
                </c:pt>
                <c:pt idx="173">
                  <c:v>-237.34699999999998</c:v>
                </c:pt>
                <c:pt idx="174">
                  <c:v>-235.61199999999999</c:v>
                </c:pt>
                <c:pt idx="175">
                  <c:v>-235.13800000000001</c:v>
                </c:pt>
                <c:pt idx="176">
                  <c:v>-234.68899999999999</c:v>
                </c:pt>
                <c:pt idx="177">
                  <c:v>-233.95400000000001</c:v>
                </c:pt>
                <c:pt idx="178">
                  <c:v>-234.14699999999999</c:v>
                </c:pt>
                <c:pt idx="179">
                  <c:v>-232.05599999999998</c:v>
                </c:pt>
                <c:pt idx="180">
                  <c:v>-231.369</c:v>
                </c:pt>
                <c:pt idx="181">
                  <c:v>-230.779</c:v>
                </c:pt>
                <c:pt idx="182">
                  <c:v>-229.60900000000001</c:v>
                </c:pt>
                <c:pt idx="183">
                  <c:v>-229.1</c:v>
                </c:pt>
                <c:pt idx="184">
                  <c:v>-228.376</c:v>
                </c:pt>
                <c:pt idx="185">
                  <c:v>-227.04400000000001</c:v>
                </c:pt>
                <c:pt idx="186">
                  <c:v>-226.239</c:v>
                </c:pt>
                <c:pt idx="187">
                  <c:v>-225.834</c:v>
                </c:pt>
                <c:pt idx="188">
                  <c:v>-224.429</c:v>
                </c:pt>
                <c:pt idx="189">
                  <c:v>-223.255</c:v>
                </c:pt>
                <c:pt idx="190">
                  <c:v>-223.13499999999999</c:v>
                </c:pt>
                <c:pt idx="191">
                  <c:v>-221.982</c:v>
                </c:pt>
                <c:pt idx="192">
                  <c:v>-220.93199999999999</c:v>
                </c:pt>
                <c:pt idx="193">
                  <c:v>-219.99600000000001</c:v>
                </c:pt>
                <c:pt idx="194">
                  <c:v>-218.72200000000001</c:v>
                </c:pt>
                <c:pt idx="195">
                  <c:v>-217.619</c:v>
                </c:pt>
                <c:pt idx="196">
                  <c:v>-216.501</c:v>
                </c:pt>
                <c:pt idx="197">
                  <c:v>-215.83600000000001</c:v>
                </c:pt>
                <c:pt idx="198">
                  <c:v>-215.499</c:v>
                </c:pt>
                <c:pt idx="199">
                  <c:v>-212.98699999999999</c:v>
                </c:pt>
                <c:pt idx="200">
                  <c:v>-213.047</c:v>
                </c:pt>
                <c:pt idx="201">
                  <c:v>-211.715</c:v>
                </c:pt>
                <c:pt idx="202">
                  <c:v>-211.89099999999999</c:v>
                </c:pt>
                <c:pt idx="203">
                  <c:v>-209.68</c:v>
                </c:pt>
                <c:pt idx="204">
                  <c:v>-209.52500000000001</c:v>
                </c:pt>
                <c:pt idx="205">
                  <c:v>-207.815</c:v>
                </c:pt>
                <c:pt idx="206">
                  <c:v>-207.916</c:v>
                </c:pt>
                <c:pt idx="207">
                  <c:v>-206.25700000000001</c:v>
                </c:pt>
                <c:pt idx="208">
                  <c:v>-205.79599999999999</c:v>
                </c:pt>
                <c:pt idx="209">
                  <c:v>-205.58</c:v>
                </c:pt>
                <c:pt idx="210">
                  <c:v>-203.78</c:v>
                </c:pt>
                <c:pt idx="211">
                  <c:v>-201.71899999999999</c:v>
                </c:pt>
                <c:pt idx="212">
                  <c:v>-198.27600000000001</c:v>
                </c:pt>
                <c:pt idx="213">
                  <c:v>-197.578</c:v>
                </c:pt>
                <c:pt idx="214">
                  <c:v>-195.64599999999999</c:v>
                </c:pt>
                <c:pt idx="215">
                  <c:v>-192.58199999999999</c:v>
                </c:pt>
                <c:pt idx="216">
                  <c:v>-192.25399999999999</c:v>
                </c:pt>
                <c:pt idx="217">
                  <c:v>-191.02600000000001</c:v>
                </c:pt>
                <c:pt idx="218">
                  <c:v>-189.453</c:v>
                </c:pt>
                <c:pt idx="219">
                  <c:v>-188.48099999999999</c:v>
                </c:pt>
                <c:pt idx="220">
                  <c:v>-186.14400000000001</c:v>
                </c:pt>
                <c:pt idx="221">
                  <c:v>-185.626</c:v>
                </c:pt>
                <c:pt idx="222">
                  <c:v>-184.43100000000001</c:v>
                </c:pt>
                <c:pt idx="223">
                  <c:v>-182.72200000000001</c:v>
                </c:pt>
                <c:pt idx="224">
                  <c:v>-181.726</c:v>
                </c:pt>
                <c:pt idx="225">
                  <c:v>-180.351</c:v>
                </c:pt>
                <c:pt idx="226">
                  <c:v>-179.43</c:v>
                </c:pt>
                <c:pt idx="227">
                  <c:v>-178.09100000000001</c:v>
                </c:pt>
                <c:pt idx="228">
                  <c:v>-176.916</c:v>
                </c:pt>
                <c:pt idx="229">
                  <c:v>-175.511</c:v>
                </c:pt>
                <c:pt idx="230">
                  <c:v>-174.244</c:v>
                </c:pt>
                <c:pt idx="231">
                  <c:v>-173.369</c:v>
                </c:pt>
                <c:pt idx="232">
                  <c:v>-172.084</c:v>
                </c:pt>
                <c:pt idx="233">
                  <c:v>-170.62899999999999</c:v>
                </c:pt>
                <c:pt idx="234">
                  <c:v>-169.465</c:v>
                </c:pt>
                <c:pt idx="235">
                  <c:v>-168.34299999999999</c:v>
                </c:pt>
                <c:pt idx="236">
                  <c:v>-167.03899999999999</c:v>
                </c:pt>
                <c:pt idx="237">
                  <c:v>-165.876</c:v>
                </c:pt>
                <c:pt idx="238">
                  <c:v>-164.703</c:v>
                </c:pt>
                <c:pt idx="239">
                  <c:v>-163.65100000000001</c:v>
                </c:pt>
                <c:pt idx="240">
                  <c:v>-162.52199999999999</c:v>
                </c:pt>
                <c:pt idx="241">
                  <c:v>-161.32599999999999</c:v>
                </c:pt>
                <c:pt idx="242">
                  <c:v>-160.22999999999999</c:v>
                </c:pt>
                <c:pt idx="243">
                  <c:v>-159.27600000000001</c:v>
                </c:pt>
                <c:pt idx="244">
                  <c:v>-158.108</c:v>
                </c:pt>
                <c:pt idx="245">
                  <c:v>-157.06299999999999</c:v>
                </c:pt>
                <c:pt idx="246">
                  <c:v>-156.01</c:v>
                </c:pt>
                <c:pt idx="247">
                  <c:v>-155.03200000000001</c:v>
                </c:pt>
                <c:pt idx="248">
                  <c:v>-154.00200000000001</c:v>
                </c:pt>
                <c:pt idx="249">
                  <c:v>-152.994</c:v>
                </c:pt>
                <c:pt idx="250">
                  <c:v>-152.041</c:v>
                </c:pt>
                <c:pt idx="251">
                  <c:v>-151.05000000000001</c:v>
                </c:pt>
                <c:pt idx="252">
                  <c:v>-150.17400000000001</c:v>
                </c:pt>
                <c:pt idx="253">
                  <c:v>-149.483</c:v>
                </c:pt>
                <c:pt idx="254">
                  <c:v>-148.328</c:v>
                </c:pt>
                <c:pt idx="255">
                  <c:v>-147.47</c:v>
                </c:pt>
                <c:pt idx="256">
                  <c:v>-146.52500000000001</c:v>
                </c:pt>
                <c:pt idx="257">
                  <c:v>-145.744</c:v>
                </c:pt>
                <c:pt idx="258">
                  <c:v>-144.86799999999999</c:v>
                </c:pt>
                <c:pt idx="259">
                  <c:v>-144.06</c:v>
                </c:pt>
                <c:pt idx="260">
                  <c:v>-143.22999999999999</c:v>
                </c:pt>
                <c:pt idx="261">
                  <c:v>-142.31399999999999</c:v>
                </c:pt>
                <c:pt idx="262">
                  <c:v>-141.465</c:v>
                </c:pt>
                <c:pt idx="263">
                  <c:v>-140.39099999999999</c:v>
                </c:pt>
                <c:pt idx="264">
                  <c:v>-139.065</c:v>
                </c:pt>
                <c:pt idx="265">
                  <c:v>-136.58699999999999</c:v>
                </c:pt>
                <c:pt idx="266">
                  <c:v>-135.751</c:v>
                </c:pt>
                <c:pt idx="267">
                  <c:v>-137.57599999999999</c:v>
                </c:pt>
                <c:pt idx="268">
                  <c:v>-138.25</c:v>
                </c:pt>
                <c:pt idx="269">
                  <c:v>-138.07900000000001</c:v>
                </c:pt>
                <c:pt idx="270">
                  <c:v>-137.59100000000001</c:v>
                </c:pt>
                <c:pt idx="271">
                  <c:v>-137.08699999999999</c:v>
                </c:pt>
                <c:pt idx="272">
                  <c:v>-136.553</c:v>
                </c:pt>
                <c:pt idx="273">
                  <c:v>-136.001</c:v>
                </c:pt>
                <c:pt idx="274">
                  <c:v>-135.524</c:v>
                </c:pt>
                <c:pt idx="275">
                  <c:v>-134.983</c:v>
                </c:pt>
                <c:pt idx="276">
                  <c:v>-134.52199999999999</c:v>
                </c:pt>
                <c:pt idx="277">
                  <c:v>-134.059</c:v>
                </c:pt>
                <c:pt idx="278">
                  <c:v>-133.65100000000001</c:v>
                </c:pt>
                <c:pt idx="279">
                  <c:v>-133.24799999999999</c:v>
                </c:pt>
                <c:pt idx="280">
                  <c:v>-132.86600000000001</c:v>
                </c:pt>
                <c:pt idx="281">
                  <c:v>-132.49799999999999</c:v>
                </c:pt>
                <c:pt idx="282">
                  <c:v>-132.279</c:v>
                </c:pt>
                <c:pt idx="283">
                  <c:v>-132.03399999999999</c:v>
                </c:pt>
                <c:pt idx="284">
                  <c:v>-131.40799999999999</c:v>
                </c:pt>
                <c:pt idx="285">
                  <c:v>-131.172</c:v>
                </c:pt>
                <c:pt idx="286">
                  <c:v>-130.929</c:v>
                </c:pt>
                <c:pt idx="287">
                  <c:v>-130.88900000000001</c:v>
                </c:pt>
                <c:pt idx="288">
                  <c:v>-130.62200000000001</c:v>
                </c:pt>
                <c:pt idx="289">
                  <c:v>-130.36099999999999</c:v>
                </c:pt>
                <c:pt idx="290">
                  <c:v>-130.17400000000001</c:v>
                </c:pt>
                <c:pt idx="291">
                  <c:v>-130.05699999999999</c:v>
                </c:pt>
                <c:pt idx="292">
                  <c:v>-130.11600000000001</c:v>
                </c:pt>
                <c:pt idx="293">
                  <c:v>-129.97300000000001</c:v>
                </c:pt>
                <c:pt idx="294">
                  <c:v>-129.96199999999999</c:v>
                </c:pt>
                <c:pt idx="295">
                  <c:v>-129.73099999999999</c:v>
                </c:pt>
                <c:pt idx="296">
                  <c:v>-129.68299999999999</c:v>
                </c:pt>
                <c:pt idx="297">
                  <c:v>-129.64400000000001</c:v>
                </c:pt>
                <c:pt idx="298">
                  <c:v>-129.63</c:v>
                </c:pt>
                <c:pt idx="299">
                  <c:v>-129.62100000000001</c:v>
                </c:pt>
                <c:pt idx="300">
                  <c:v>-129.59</c:v>
                </c:pt>
                <c:pt idx="301">
                  <c:v>-129.61099999999999</c:v>
                </c:pt>
                <c:pt idx="302">
                  <c:v>-129.61699999999999</c:v>
                </c:pt>
                <c:pt idx="303">
                  <c:v>-129.57599999999999</c:v>
                </c:pt>
                <c:pt idx="304">
                  <c:v>-129.52799999999999</c:v>
                </c:pt>
                <c:pt idx="305">
                  <c:v>-129.44300000000001</c:v>
                </c:pt>
                <c:pt idx="306">
                  <c:v>-129.58500000000001</c:v>
                </c:pt>
                <c:pt idx="307">
                  <c:v>-129.61699999999999</c:v>
                </c:pt>
                <c:pt idx="308">
                  <c:v>-129.863</c:v>
                </c:pt>
                <c:pt idx="309">
                  <c:v>-130.31299999999999</c:v>
                </c:pt>
                <c:pt idx="310">
                  <c:v>-130.77099999999999</c:v>
                </c:pt>
                <c:pt idx="311">
                  <c:v>-131.42599999999999</c:v>
                </c:pt>
                <c:pt idx="312">
                  <c:v>-132.06399999999999</c:v>
                </c:pt>
                <c:pt idx="313">
                  <c:v>-132.62899999999999</c:v>
                </c:pt>
                <c:pt idx="314">
                  <c:v>-133.267</c:v>
                </c:pt>
                <c:pt idx="315">
                  <c:v>-133.959</c:v>
                </c:pt>
                <c:pt idx="316">
                  <c:v>-134.75200000000001</c:v>
                </c:pt>
                <c:pt idx="317">
                  <c:v>-135.72399999999999</c:v>
                </c:pt>
                <c:pt idx="318">
                  <c:v>-136.34200000000001</c:v>
                </c:pt>
                <c:pt idx="319">
                  <c:v>-136.816</c:v>
                </c:pt>
                <c:pt idx="320">
                  <c:v>-137.47</c:v>
                </c:pt>
                <c:pt idx="321">
                  <c:v>-137.46899999999999</c:v>
                </c:pt>
                <c:pt idx="322">
                  <c:v>-138.31200000000001</c:v>
                </c:pt>
                <c:pt idx="323">
                  <c:v>-140.114</c:v>
                </c:pt>
                <c:pt idx="324">
                  <c:v>-141.173</c:v>
                </c:pt>
                <c:pt idx="325">
                  <c:v>-141.86199999999999</c:v>
                </c:pt>
                <c:pt idx="326">
                  <c:v>-143.41399999999999</c:v>
                </c:pt>
                <c:pt idx="327">
                  <c:v>-144.279</c:v>
                </c:pt>
                <c:pt idx="328">
                  <c:v>-145.40799999999999</c:v>
                </c:pt>
                <c:pt idx="329">
                  <c:v>-146.886</c:v>
                </c:pt>
                <c:pt idx="330">
                  <c:v>-147.23699999999999</c:v>
                </c:pt>
                <c:pt idx="331">
                  <c:v>-148.923</c:v>
                </c:pt>
                <c:pt idx="332">
                  <c:v>-149.92099999999999</c:v>
                </c:pt>
                <c:pt idx="333">
                  <c:v>-151.101</c:v>
                </c:pt>
                <c:pt idx="334">
                  <c:v>-153.08699999999999</c:v>
                </c:pt>
                <c:pt idx="335">
                  <c:v>-154.70699999999999</c:v>
                </c:pt>
                <c:pt idx="336">
                  <c:v>-156.46</c:v>
                </c:pt>
                <c:pt idx="337">
                  <c:v>-158.77500000000001</c:v>
                </c:pt>
                <c:pt idx="338">
                  <c:v>-161.529</c:v>
                </c:pt>
                <c:pt idx="339">
                  <c:v>-163.59700000000001</c:v>
                </c:pt>
                <c:pt idx="340">
                  <c:v>-165.89599999999999</c:v>
                </c:pt>
                <c:pt idx="341">
                  <c:v>-168.07</c:v>
                </c:pt>
                <c:pt idx="342">
                  <c:v>-170.82400000000001</c:v>
                </c:pt>
                <c:pt idx="343">
                  <c:v>-173.35300000000001</c:v>
                </c:pt>
                <c:pt idx="344">
                  <c:v>-175.80699999999999</c:v>
                </c:pt>
                <c:pt idx="345">
                  <c:v>-177.72399999999999</c:v>
                </c:pt>
                <c:pt idx="346">
                  <c:v>-178.92099999999999</c:v>
                </c:pt>
                <c:pt idx="347">
                  <c:v>-181.99</c:v>
                </c:pt>
                <c:pt idx="348">
                  <c:v>-183.36099999999999</c:v>
                </c:pt>
                <c:pt idx="349">
                  <c:v>-186.209</c:v>
                </c:pt>
                <c:pt idx="350">
                  <c:v>-189.75</c:v>
                </c:pt>
                <c:pt idx="351">
                  <c:v>-192.398</c:v>
                </c:pt>
                <c:pt idx="352">
                  <c:v>-194.60300000000001</c:v>
                </c:pt>
                <c:pt idx="353">
                  <c:v>-197.85300000000001</c:v>
                </c:pt>
                <c:pt idx="354">
                  <c:v>-200.482</c:v>
                </c:pt>
                <c:pt idx="355">
                  <c:v>-203.33199999999999</c:v>
                </c:pt>
                <c:pt idx="356">
                  <c:v>-205.19499999999999</c:v>
                </c:pt>
                <c:pt idx="357">
                  <c:v>-207.41</c:v>
                </c:pt>
                <c:pt idx="358">
                  <c:v>-210.39400000000001</c:v>
                </c:pt>
                <c:pt idx="359">
                  <c:v>-213.04300000000001</c:v>
                </c:pt>
                <c:pt idx="360">
                  <c:v>-214.58500000000001</c:v>
                </c:pt>
                <c:pt idx="361">
                  <c:v>-217.34299999999999</c:v>
                </c:pt>
                <c:pt idx="362">
                  <c:v>-219.017</c:v>
                </c:pt>
                <c:pt idx="363">
                  <c:v>-221.39400000000001</c:v>
                </c:pt>
                <c:pt idx="364">
                  <c:v>-223.214</c:v>
                </c:pt>
                <c:pt idx="365">
                  <c:v>-225.053</c:v>
                </c:pt>
                <c:pt idx="366">
                  <c:v>-226.50200000000001</c:v>
                </c:pt>
                <c:pt idx="367">
                  <c:v>131.81700000000001</c:v>
                </c:pt>
                <c:pt idx="368">
                  <c:v>129.95699999999999</c:v>
                </c:pt>
                <c:pt idx="369">
                  <c:v>126.41800000000001</c:v>
                </c:pt>
                <c:pt idx="370">
                  <c:v>125.40900000000001</c:v>
                </c:pt>
                <c:pt idx="371">
                  <c:v>124.027</c:v>
                </c:pt>
                <c:pt idx="372">
                  <c:v>122.795</c:v>
                </c:pt>
                <c:pt idx="373">
                  <c:v>121.76300000000001</c:v>
                </c:pt>
                <c:pt idx="374">
                  <c:v>121.762</c:v>
                </c:pt>
                <c:pt idx="375">
                  <c:v>119.89400000000001</c:v>
                </c:pt>
                <c:pt idx="376">
                  <c:v>119.196</c:v>
                </c:pt>
                <c:pt idx="377">
                  <c:v>116.889</c:v>
                </c:pt>
                <c:pt idx="378">
                  <c:v>117.324</c:v>
                </c:pt>
                <c:pt idx="379">
                  <c:v>115.142</c:v>
                </c:pt>
                <c:pt idx="380">
                  <c:v>115.247</c:v>
                </c:pt>
                <c:pt idx="381">
                  <c:v>113.164</c:v>
                </c:pt>
                <c:pt idx="382">
                  <c:v>112.872</c:v>
                </c:pt>
                <c:pt idx="383">
                  <c:v>110.592</c:v>
                </c:pt>
                <c:pt idx="384">
                  <c:v>111.01300000000001</c:v>
                </c:pt>
                <c:pt idx="385">
                  <c:v>109.21</c:v>
                </c:pt>
                <c:pt idx="386">
                  <c:v>107.553</c:v>
                </c:pt>
                <c:pt idx="387">
                  <c:v>107.324</c:v>
                </c:pt>
                <c:pt idx="388">
                  <c:v>105.50700000000001</c:v>
                </c:pt>
                <c:pt idx="389">
                  <c:v>105.28700000000001</c:v>
                </c:pt>
                <c:pt idx="390">
                  <c:v>105.286</c:v>
                </c:pt>
                <c:pt idx="391">
                  <c:v>105.187</c:v>
                </c:pt>
                <c:pt idx="392">
                  <c:v>104.541</c:v>
                </c:pt>
                <c:pt idx="393">
                  <c:v>103.205</c:v>
                </c:pt>
                <c:pt idx="394">
                  <c:v>103.91</c:v>
                </c:pt>
                <c:pt idx="395">
                  <c:v>102.337</c:v>
                </c:pt>
                <c:pt idx="396">
                  <c:v>100.33499999999999</c:v>
                </c:pt>
                <c:pt idx="397">
                  <c:v>100.20399999999999</c:v>
                </c:pt>
                <c:pt idx="398">
                  <c:v>99.956599999999995</c:v>
                </c:pt>
                <c:pt idx="399">
                  <c:v>98.699600000000004</c:v>
                </c:pt>
              </c:numCache>
            </c:numRef>
          </c:yVal>
          <c:smooth val="0"/>
          <c:extLst>
            <c:ext xmlns:c16="http://schemas.microsoft.com/office/drawing/2014/chart" uri="{C3380CC4-5D6E-409C-BE32-E72D297353CC}">
              <c16:uniqueId val="{00000003-2A10-41EA-A3AE-967165122F16}"/>
            </c:ext>
          </c:extLst>
        </c:ser>
        <c:dLbls>
          <c:showLegendKey val="0"/>
          <c:showVal val="0"/>
          <c:showCatName val="0"/>
          <c:showSerName val="0"/>
          <c:showPercent val="0"/>
          <c:showBubbleSize val="0"/>
        </c:dLbls>
        <c:axId val="176943488"/>
        <c:axId val="176945024"/>
      </c:scatterChart>
      <c:valAx>
        <c:axId val="176934912"/>
        <c:scaling>
          <c:logBase val="10"/>
          <c:orientation val="minMax"/>
          <c:max val="10000000"/>
          <c:min val="1000"/>
        </c:scaling>
        <c:delete val="0"/>
        <c:axPos val="b"/>
        <c:title>
          <c:tx>
            <c:rich>
              <a:bodyPr/>
              <a:lstStyle/>
              <a:p>
                <a:pPr>
                  <a:defRPr sz="800" b="1" i="0" u="none" strike="noStrike" baseline="0">
                    <a:solidFill>
                      <a:srgbClr val="000000"/>
                    </a:solidFill>
                    <a:latin typeface="Arial"/>
                    <a:ea typeface="Arial"/>
                    <a:cs typeface="Arial"/>
                  </a:defRPr>
                </a:pPr>
                <a:r>
                  <a:rPr lang="en-US"/>
                  <a:t>Frequency (Hz)</a:t>
                </a:r>
              </a:p>
            </c:rich>
          </c:tx>
          <c:layout>
            <c:manualLayout>
              <c:xMode val="edge"/>
              <c:yMode val="edge"/>
              <c:x val="0.43297177526722869"/>
              <c:y val="0.88311797388962088"/>
            </c:manualLayout>
          </c:layout>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7216"/>
        <c:crossesAt val="-80"/>
        <c:crossBetween val="midCat"/>
      </c:valAx>
      <c:valAx>
        <c:axId val="176937216"/>
        <c:scaling>
          <c:orientation val="minMax"/>
          <c:min val="-60"/>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Gain (db)</a:t>
                </a:r>
              </a:p>
            </c:rich>
          </c:tx>
          <c:layout>
            <c:manualLayout>
              <c:xMode val="edge"/>
              <c:yMode val="edge"/>
              <c:x val="3.0797101449275412E-2"/>
              <c:y val="0.441558986944818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34912"/>
        <c:crosses val="autoZero"/>
        <c:crossBetween val="midCat"/>
      </c:valAx>
      <c:valAx>
        <c:axId val="176943488"/>
        <c:scaling>
          <c:logBase val="10"/>
          <c:orientation val="minMax"/>
        </c:scaling>
        <c:delete val="1"/>
        <c:axPos val="b"/>
        <c:numFmt formatCode="General" sourceLinked="1"/>
        <c:majorTickMark val="out"/>
        <c:minorTickMark val="none"/>
        <c:tickLblPos val="none"/>
        <c:crossAx val="176945024"/>
        <c:crosses val="autoZero"/>
        <c:crossBetween val="midCat"/>
      </c:valAx>
      <c:valAx>
        <c:axId val="176945024"/>
        <c:scaling>
          <c:orientation val="minMax"/>
        </c:scaling>
        <c:delete val="0"/>
        <c:axPos val="r"/>
        <c:title>
          <c:tx>
            <c:rich>
              <a:bodyPr/>
              <a:lstStyle/>
              <a:p>
                <a:pPr>
                  <a:defRPr sz="800" b="1" i="0" u="none" strike="noStrike" baseline="0">
                    <a:solidFill>
                      <a:srgbClr val="000000"/>
                    </a:solidFill>
                    <a:latin typeface="Arial"/>
                    <a:ea typeface="Arial"/>
                    <a:cs typeface="Arial"/>
                  </a:defRPr>
                </a:pPr>
                <a:r>
                  <a:rPr lang="en-US"/>
                  <a:t>Phase Margin (Deg)</a:t>
                </a:r>
              </a:p>
            </c:rich>
          </c:tx>
          <c:layout>
            <c:manualLayout>
              <c:xMode val="edge"/>
              <c:yMode val="edge"/>
              <c:x val="0.95471185667010505"/>
              <c:y val="0.36623431162013825"/>
            </c:manualLayout>
          </c:layout>
          <c:overlay val="0"/>
          <c:spPr>
            <a:noFill/>
            <a:ln w="25400">
              <a:noFill/>
            </a:ln>
          </c:spPr>
        </c:title>
        <c:numFmt formatCode="General" sourceLinked="1"/>
        <c:majorTickMark val="cross"/>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76943488"/>
        <c:crosses val="max"/>
        <c:crossBetween val="midCat"/>
      </c:valAx>
      <c:spPr>
        <a:noFill/>
        <a:ln w="12700">
          <a:solidFill>
            <a:srgbClr val="808080"/>
          </a:solidFill>
          <a:prstDash val="solid"/>
        </a:ln>
      </c:spPr>
    </c:plotArea>
    <c:legend>
      <c:legendPos val="t"/>
      <c:layout>
        <c:manualLayout>
          <c:xMode val="edge"/>
          <c:yMode val="edge"/>
          <c:x val="0.70471147628286246"/>
          <c:y val="1.2987012987012988E-2"/>
          <c:w val="0.275362889421434"/>
          <c:h val="0.14545481814773328"/>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25400">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MOSFET Temp Rise</a:t>
            </a:r>
          </a:p>
        </c:rich>
      </c:tx>
      <c:layout>
        <c:manualLayout>
          <c:xMode val="edge"/>
          <c:yMode val="edge"/>
          <c:x val="0.42444773564332877"/>
          <c:y val="5.7239057239057242E-2"/>
        </c:manualLayout>
      </c:layout>
      <c:overlay val="0"/>
      <c:spPr>
        <a:noFill/>
        <a:ln w="25400">
          <a:noFill/>
        </a:ln>
      </c:spPr>
    </c:title>
    <c:autoTitleDeleted val="0"/>
    <c:plotArea>
      <c:layout>
        <c:manualLayout>
          <c:layoutTarget val="inner"/>
          <c:xMode val="edge"/>
          <c:yMode val="edge"/>
          <c:x val="0.13531808670268541"/>
          <c:y val="0.15757606845026306"/>
          <c:w val="0.84573804189178381"/>
          <c:h val="0.71717313204926625"/>
        </c:manualLayout>
      </c:layout>
      <c:scatterChart>
        <c:scatterStyle val="lineMarker"/>
        <c:varyColors val="0"/>
        <c:ser>
          <c:idx val="0"/>
          <c:order val="0"/>
          <c:tx>
            <c:v>Top FET</c:v>
          </c:tx>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Calculations'!$AR$9:$AR$209</c:f>
              <c:numCache>
                <c:formatCode>0.0</c:formatCode>
                <c:ptCount val="201"/>
                <c:pt idx="0">
                  <c:v>0.91121789291141819</c:v>
                </c:pt>
                <c:pt idx="1">
                  <c:v>0.91937929461882106</c:v>
                </c:pt>
                <c:pt idx="2">
                  <c:v>0.92765590695193612</c:v>
                </c:pt>
                <c:pt idx="3">
                  <c:v>0.93604776391345135</c:v>
                </c:pt>
                <c:pt idx="4">
                  <c:v>0.94455489982668461</c:v>
                </c:pt>
                <c:pt idx="5">
                  <c:v>0.95317734933584153</c:v>
                </c:pt>
                <c:pt idx="6">
                  <c:v>0.9619151474062877</c:v>
                </c:pt>
                <c:pt idx="7">
                  <c:v>0.97076832932480772</c:v>
                </c:pt>
                <c:pt idx="8">
                  <c:v>1.0544319380292921</c:v>
                </c:pt>
                <c:pt idx="9">
                  <c:v>1.3843460675502488</c:v>
                </c:pt>
                <c:pt idx="10">
                  <c:v>1.7143785325342924</c:v>
                </c:pt>
                <c:pt idx="11">
                  <c:v>2.0445298122899769</c:v>
                </c:pt>
                <c:pt idx="12">
                  <c:v>2.3748003865802247</c:v>
                </c:pt>
                <c:pt idx="13">
                  <c:v>2.7051907356246696</c:v>
                </c:pt>
                <c:pt idx="14">
                  <c:v>3.0357013401019746</c:v>
                </c:pt>
                <c:pt idx="15">
                  <c:v>3.3663326811521568</c:v>
                </c:pt>
                <c:pt idx="16">
                  <c:v>3.6970852403789465</c:v>
                </c:pt>
                <c:pt idx="17">
                  <c:v>4.0279594998521047</c:v>
                </c:pt>
                <c:pt idx="18">
                  <c:v>4.3589559421097732</c:v>
                </c:pt>
                <c:pt idx="19">
                  <c:v>4.690075050160833</c:v>
                </c:pt>
                <c:pt idx="20">
                  <c:v>5.0213173074872497</c:v>
                </c:pt>
                <c:pt idx="21">
                  <c:v>5.3526831980464245</c:v>
                </c:pt>
                <c:pt idx="22">
                  <c:v>5.6841732062735728</c:v>
                </c:pt>
                <c:pt idx="23">
                  <c:v>6.0157878170840773</c:v>
                </c:pt>
                <c:pt idx="24">
                  <c:v>6.3475275158758544</c:v>
                </c:pt>
                <c:pt idx="25">
                  <c:v>6.6793927885317421</c:v>
                </c:pt>
                <c:pt idx="26">
                  <c:v>7.0113841214218739</c:v>
                </c:pt>
                <c:pt idx="27">
                  <c:v>7.3435020014060495</c:v>
                </c:pt>
                <c:pt idx="28">
                  <c:v>7.6757469158361458</c:v>
                </c:pt>
                <c:pt idx="29">
                  <c:v>8.0081193525584844</c:v>
                </c:pt>
                <c:pt idx="30">
                  <c:v>8.3406197999162455</c:v>
                </c:pt>
                <c:pt idx="31">
                  <c:v>8.4399719083117599</c:v>
                </c:pt>
                <c:pt idx="32">
                  <c:v>8.477072374101148</c:v>
                </c:pt>
                <c:pt idx="33">
                  <c:v>8.5142933511628858</c:v>
                </c:pt>
                <c:pt idx="34">
                  <c:v>8.551634919547789</c:v>
                </c:pt>
                <c:pt idx="35">
                  <c:v>8.5890971596591967</c:v>
                </c:pt>
                <c:pt idx="36">
                  <c:v>8.6266801522534671</c:v>
                </c:pt>
                <c:pt idx="37">
                  <c:v>8.6643839784404992</c:v>
                </c:pt>
                <c:pt idx="38">
                  <c:v>8.702208719684231</c:v>
                </c:pt>
                <c:pt idx="39">
                  <c:v>8.7401544578031629</c:v>
                </c:pt>
                <c:pt idx="40">
                  <c:v>8.7782212749708748</c:v>
                </c:pt>
                <c:pt idx="41">
                  <c:v>8.8164092537165359</c:v>
                </c:pt>
                <c:pt idx="42">
                  <c:v>8.8547184769254361</c:v>
                </c:pt>
                <c:pt idx="43">
                  <c:v>8.8931490278395149</c:v>
                </c:pt>
                <c:pt idx="44">
                  <c:v>8.9317009900578714</c:v>
                </c:pt>
                <c:pt idx="45">
                  <c:v>8.9703744475373153</c:v>
                </c:pt>
                <c:pt idx="46">
                  <c:v>9.0091694845928849</c:v>
                </c:pt>
                <c:pt idx="47">
                  <c:v>9.0480861858983914</c:v>
                </c:pt>
                <c:pt idx="48">
                  <c:v>9.0871246364869549</c:v>
                </c:pt>
                <c:pt idx="49">
                  <c:v>9.1262849217515427</c:v>
                </c:pt>
                <c:pt idx="50">
                  <c:v>9.1655671274455148</c:v>
                </c:pt>
                <c:pt idx="51">
                  <c:v>9.2049713396831745</c:v>
                </c:pt>
                <c:pt idx="52">
                  <c:v>9.2444976449403118</c:v>
                </c:pt>
                <c:pt idx="53">
                  <c:v>9.2841461300547614</c:v>
                </c:pt>
                <c:pt idx="54">
                  <c:v>9.323916882226948</c:v>
                </c:pt>
                <c:pt idx="55">
                  <c:v>9.3638099890204547</c:v>
                </c:pt>
                <c:pt idx="56">
                  <c:v>9.4038255383625806</c:v>
                </c:pt>
                <c:pt idx="57">
                  <c:v>9.4439636185448954</c:v>
                </c:pt>
                <c:pt idx="58">
                  <c:v>9.4842243182238199</c:v>
                </c:pt>
                <c:pt idx="59">
                  <c:v>9.5246077264211824</c:v>
                </c:pt>
                <c:pt idx="60">
                  <c:v>9.5651139325247954</c:v>
                </c:pt>
                <c:pt idx="61">
                  <c:v>9.6057430262890282</c:v>
                </c:pt>
                <c:pt idx="62">
                  <c:v>9.6464950978353858</c:v>
                </c:pt>
                <c:pt idx="63">
                  <c:v>9.6873702376530879</c:v>
                </c:pt>
                <c:pt idx="64">
                  <c:v>9.7283685365996515</c:v>
                </c:pt>
                <c:pt idx="65">
                  <c:v>9.7694900859014808</c:v>
                </c:pt>
                <c:pt idx="66">
                  <c:v>9.810734977154441</c:v>
                </c:pt>
                <c:pt idx="67">
                  <c:v>9.8521033023244726</c:v>
                </c:pt>
                <c:pt idx="68">
                  <c:v>9.8935951537481639</c:v>
                </c:pt>
                <c:pt idx="69">
                  <c:v>9.9352106241333615</c:v>
                </c:pt>
                <c:pt idx="70">
                  <c:v>9.9769498065597642</c:v>
                </c:pt>
                <c:pt idx="71">
                  <c:v>10.018812794479526</c:v>
                </c:pt>
                <c:pt idx="72">
                  <c:v>10.060799681717867</c:v>
                </c:pt>
                <c:pt idx="73">
                  <c:v>10.102910562473673</c:v>
                </c:pt>
                <c:pt idx="74">
                  <c:v>10.145145531320116</c:v>
                </c:pt>
                <c:pt idx="75">
                  <c:v>10.187504683205258</c:v>
                </c:pt>
                <c:pt idx="76">
                  <c:v>10.229988113452686</c:v>
                </c:pt>
                <c:pt idx="77">
                  <c:v>10.272595917762105</c:v>
                </c:pt>
                <c:pt idx="78">
                  <c:v>10.315328192209988</c:v>
                </c:pt>
                <c:pt idx="79">
                  <c:v>10.358185033250187</c:v>
                </c:pt>
                <c:pt idx="80">
                  <c:v>10.401166537714568</c:v>
                </c:pt>
                <c:pt idx="81">
                  <c:v>10.444272802813636</c:v>
                </c:pt>
                <c:pt idx="82">
                  <c:v>10.48750392613718</c:v>
                </c:pt>
                <c:pt idx="83">
                  <c:v>10.530860005654896</c:v>
                </c:pt>
                <c:pt idx="84">
                  <c:v>10.574341139717051</c:v>
                </c:pt>
                <c:pt idx="85">
                  <c:v>10.617947427055098</c:v>
                </c:pt>
                <c:pt idx="86">
                  <c:v>10.661678966782349</c:v>
                </c:pt>
                <c:pt idx="87">
                  <c:v>10.705535858394608</c:v>
                </c:pt>
                <c:pt idx="88">
                  <c:v>10.74951820177083</c:v>
                </c:pt>
                <c:pt idx="89">
                  <c:v>10.79362609717378</c:v>
                </c:pt>
                <c:pt idx="90">
                  <c:v>10.837859645250678</c:v>
                </c:pt>
                <c:pt idx="91">
                  <c:v>10.882218947033884</c:v>
                </c:pt>
                <c:pt idx="92">
                  <c:v>10.926704103941541</c:v>
                </c:pt>
                <c:pt idx="93">
                  <c:v>10.971315217778258</c:v>
                </c:pt>
                <c:pt idx="94">
                  <c:v>11.016052390735767</c:v>
                </c:pt>
                <c:pt idx="95">
                  <c:v>11.060915725393611</c:v>
                </c:pt>
                <c:pt idx="96">
                  <c:v>11.105905324719819</c:v>
                </c:pt>
                <c:pt idx="97">
                  <c:v>11.151021292071574</c:v>
                </c:pt>
                <c:pt idx="98">
                  <c:v>11.196263731195909</c:v>
                </c:pt>
                <c:pt idx="99">
                  <c:v>11.24163274623039</c:v>
                </c:pt>
                <c:pt idx="100">
                  <c:v>11.28712844170381</c:v>
                </c:pt>
                <c:pt idx="101">
                  <c:v>11.332750922536869</c:v>
                </c:pt>
                <c:pt idx="102">
                  <c:v>11.378500294042881</c:v>
                </c:pt>
                <c:pt idx="103">
                  <c:v>11.424376661928473</c:v>
                </c:pt>
                <c:pt idx="104">
                  <c:v>11.470380132294283</c:v>
                </c:pt>
                <c:pt idx="105">
                  <c:v>11.516510811635666</c:v>
                </c:pt>
                <c:pt idx="106">
                  <c:v>11.562768806843399</c:v>
                </c:pt>
                <c:pt idx="107">
                  <c:v>11.609154225204408</c:v>
                </c:pt>
                <c:pt idx="108">
                  <c:v>11.65566717440246</c:v>
                </c:pt>
                <c:pt idx="109">
                  <c:v>11.702307762518902</c:v>
                </c:pt>
                <c:pt idx="110">
                  <c:v>11.749076098033372</c:v>
                </c:pt>
                <c:pt idx="111">
                  <c:v>11.795972289824515</c:v>
                </c:pt>
                <c:pt idx="112">
                  <c:v>11.842996447170737</c:v>
                </c:pt>
                <c:pt idx="113">
                  <c:v>11.890148679750903</c:v>
                </c:pt>
                <c:pt idx="114">
                  <c:v>11.937429097645106</c:v>
                </c:pt>
                <c:pt idx="115">
                  <c:v>11.984837811335368</c:v>
                </c:pt>
                <c:pt idx="116">
                  <c:v>12.032374931706414</c:v>
                </c:pt>
                <c:pt idx="117">
                  <c:v>12.080040570046394</c:v>
                </c:pt>
                <c:pt idx="118">
                  <c:v>12.127834838047638</c:v>
                </c:pt>
                <c:pt idx="119">
                  <c:v>12.175757847807409</c:v>
                </c:pt>
                <c:pt idx="120">
                  <c:v>12.223809711828654</c:v>
                </c:pt>
                <c:pt idx="121">
                  <c:v>12.271990543020756</c:v>
                </c:pt>
                <c:pt idx="122">
                  <c:v>12.320300454700316</c:v>
                </c:pt>
                <c:pt idx="123">
                  <c:v>12.368739560591877</c:v>
                </c:pt>
                <c:pt idx="124">
                  <c:v>12.417307974828734</c:v>
                </c:pt>
                <c:pt idx="125">
                  <c:v>12.466005811953686</c:v>
                </c:pt>
                <c:pt idx="126">
                  <c:v>12.514833186919795</c:v>
                </c:pt>
                <c:pt idx="127">
                  <c:v>12.563790215091194</c:v>
                </c:pt>
                <c:pt idx="128">
                  <c:v>12.612877012243848</c:v>
                </c:pt>
                <c:pt idx="129">
                  <c:v>12.662093694566337</c:v>
                </c:pt>
                <c:pt idx="130">
                  <c:v>12.711440378660651</c:v>
                </c:pt>
                <c:pt idx="131">
                  <c:v>12.760917181542988</c:v>
                </c:pt>
                <c:pt idx="132">
                  <c:v>12.810524220644526</c:v>
                </c:pt>
                <c:pt idx="133">
                  <c:v>12.860261613812241</c:v>
                </c:pt>
                <c:pt idx="134">
                  <c:v>12.91012947930971</c:v>
                </c:pt>
                <c:pt idx="135">
                  <c:v>12.960127935817884</c:v>
                </c:pt>
                <c:pt idx="136">
                  <c:v>13.010257102435943</c:v>
                </c:pt>
                <c:pt idx="137">
                  <c:v>13.060517098682075</c:v>
                </c:pt>
                <c:pt idx="138">
                  <c:v>13.110908044494302</c:v>
                </c:pt>
                <c:pt idx="139">
                  <c:v>13.161430060231293</c:v>
                </c:pt>
                <c:pt idx="140">
                  <c:v>13.212083266673197</c:v>
                </c:pt>
                <c:pt idx="141">
                  <c:v>13.262867785022458</c:v>
                </c:pt>
                <c:pt idx="142">
                  <c:v>13.313783736904655</c:v>
                </c:pt>
                <c:pt idx="143">
                  <c:v>13.364831244369322</c:v>
                </c:pt>
                <c:pt idx="144">
                  <c:v>13.416010429890788</c:v>
                </c:pt>
                <c:pt idx="145">
                  <c:v>13.467321416369026</c:v>
                </c:pt>
                <c:pt idx="146">
                  <c:v>13.518764327130498</c:v>
                </c:pt>
                <c:pt idx="147">
                  <c:v>13.570339285928979</c:v>
                </c:pt>
                <c:pt idx="148">
                  <c:v>13.622046416946432</c:v>
                </c:pt>
                <c:pt idx="149">
                  <c:v>13.673885844793856</c:v>
                </c:pt>
                <c:pt idx="150">
                  <c:v>13.725857694512142</c:v>
                </c:pt>
                <c:pt idx="151">
                  <c:v>13.777962091572924</c:v>
                </c:pt>
                <c:pt idx="152">
                  <c:v>13.830199161879467</c:v>
                </c:pt>
                <c:pt idx="153">
                  <c:v>13.882569031767522</c:v>
                </c:pt>
                <c:pt idx="154">
                  <c:v>13.935071828006196</c:v>
                </c:pt>
                <c:pt idx="155">
                  <c:v>13.987707677798841</c:v>
                </c:pt>
                <c:pt idx="156">
                  <c:v>14.040476708783913</c:v>
                </c:pt>
                <c:pt idx="157">
                  <c:v>14.093379049035887</c:v>
                </c:pt>
                <c:pt idx="158">
                  <c:v>14.146414827066108</c:v>
                </c:pt>
                <c:pt idx="159">
                  <c:v>14.199584171823723</c:v>
                </c:pt>
                <c:pt idx="160">
                  <c:v>14.252887212696525</c:v>
                </c:pt>
                <c:pt idx="161">
                  <c:v>14.306324079511901</c:v>
                </c:pt>
                <c:pt idx="162">
                  <c:v>14.359894902537718</c:v>
                </c:pt>
                <c:pt idx="163">
                  <c:v>14.413599812483202</c:v>
                </c:pt>
                <c:pt idx="164">
                  <c:v>14.467438940499891</c:v>
                </c:pt>
                <c:pt idx="165">
                  <c:v>14.52141241818253</c:v>
                </c:pt>
                <c:pt idx="166">
                  <c:v>14.575520377569978</c:v>
                </c:pt>
                <c:pt idx="167">
                  <c:v>14.629762951146146</c:v>
                </c:pt>
                <c:pt idx="168">
                  <c:v>14.68414027184091</c:v>
                </c:pt>
                <c:pt idx="169">
                  <c:v>14.738652473031049</c:v>
                </c:pt>
                <c:pt idx="170">
                  <c:v>14.793299688541179</c:v>
                </c:pt>
                <c:pt idx="171">
                  <c:v>14.848082052644695</c:v>
                </c:pt>
                <c:pt idx="172">
                  <c:v>14.902999700064679</c:v>
                </c:pt>
                <c:pt idx="173">
                  <c:v>14.958052765974891</c:v>
                </c:pt>
                <c:pt idx="174">
                  <c:v>15.013241386000683</c:v>
                </c:pt>
                <c:pt idx="175">
                  <c:v>15.068565696219984</c:v>
                </c:pt>
                <c:pt idx="176">
                  <c:v>15.124025833164209</c:v>
                </c:pt>
                <c:pt idx="177">
                  <c:v>15.179621933819273</c:v>
                </c:pt>
                <c:pt idx="178">
                  <c:v>15.235354135626523</c:v>
                </c:pt>
                <c:pt idx="179">
                  <c:v>15.29122257648371</c:v>
                </c:pt>
                <c:pt idx="180">
                  <c:v>15.347227394745969</c:v>
                </c:pt>
                <c:pt idx="181">
                  <c:v>15.403368729226798</c:v>
                </c:pt>
                <c:pt idx="182">
                  <c:v>15.459646719199027</c:v>
                </c:pt>
                <c:pt idx="183">
                  <c:v>15.516061504395818</c:v>
                </c:pt>
                <c:pt idx="184">
                  <c:v>15.572613225011626</c:v>
                </c:pt>
                <c:pt idx="185">
                  <c:v>15.629302021703237</c:v>
                </c:pt>
                <c:pt idx="186">
                  <c:v>15.686128035590722</c:v>
                </c:pt>
                <c:pt idx="187">
                  <c:v>15.743091408258458</c:v>
                </c:pt>
                <c:pt idx="188">
                  <c:v>15.800192281756129</c:v>
                </c:pt>
                <c:pt idx="189">
                  <c:v>15.85743079859974</c:v>
                </c:pt>
                <c:pt idx="190">
                  <c:v>15.914807101772627</c:v>
                </c:pt>
                <c:pt idx="191">
                  <c:v>15.972321334726475</c:v>
                </c:pt>
                <c:pt idx="192">
                  <c:v>16.029973641382337</c:v>
                </c:pt>
                <c:pt idx="193">
                  <c:v>16.087764166131663</c:v>
                </c:pt>
                <c:pt idx="194">
                  <c:v>16.145693053837327</c:v>
                </c:pt>
                <c:pt idx="195">
                  <c:v>16.203760449834668</c:v>
                </c:pt>
                <c:pt idx="196">
                  <c:v>16.261966499932527</c:v>
                </c:pt>
                <c:pt idx="197">
                  <c:v>16.320311350414272</c:v>
                </c:pt>
                <c:pt idx="198">
                  <c:v>16.37879514803889</c:v>
                </c:pt>
                <c:pt idx="199">
                  <c:v>16.437418040041972</c:v>
                </c:pt>
                <c:pt idx="200">
                  <c:v>16.496180174136839</c:v>
                </c:pt>
              </c:numCache>
            </c:numRef>
          </c:yVal>
          <c:smooth val="0"/>
          <c:extLst>
            <c:ext xmlns:c16="http://schemas.microsoft.com/office/drawing/2014/chart" uri="{C3380CC4-5D6E-409C-BE32-E72D297353CC}">
              <c16:uniqueId val="{00000000-9EA1-4F4F-9ACD-6AF9DCA0F73F}"/>
            </c:ext>
          </c:extLst>
        </c:ser>
        <c:ser>
          <c:idx val="1"/>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Calculations'!$AS$9:$AS$209</c:f>
              <c:numCache>
                <c:formatCode>0.0</c:formatCode>
                <c:ptCount val="201"/>
                <c:pt idx="0">
                  <c:v>0.43089382105366697</c:v>
                </c:pt>
                <c:pt idx="1">
                  <c:v>0.44329094601187519</c:v>
                </c:pt>
                <c:pt idx="2">
                  <c:v>0.45611420713894169</c:v>
                </c:pt>
                <c:pt idx="3">
                  <c:v>0.4693636508626719</c:v>
                </c:pt>
                <c:pt idx="4">
                  <c:v>0.48303932795720911</c:v>
                </c:pt>
                <c:pt idx="5">
                  <c:v>0.49714129354360936</c:v>
                </c:pt>
                <c:pt idx="6">
                  <c:v>0.51166960709053322</c:v>
                </c:pt>
                <c:pt idx="7">
                  <c:v>0.52662433241504036</c:v>
                </c:pt>
                <c:pt idx="8">
                  <c:v>0.5420055376835009</c:v>
                </c:pt>
                <c:pt idx="9">
                  <c:v>0.55781329541261693</c:v>
                </c:pt>
                <c:pt idx="10">
                  <c:v>0.5740476824705516</c:v>
                </c:pt>
                <c:pt idx="11">
                  <c:v>0.59070878007817418</c:v>
                </c:pt>
                <c:pt idx="12">
                  <c:v>0.60779667381041136</c:v>
                </c:pt>
                <c:pt idx="13">
                  <c:v>0.62531145359771323</c:v>
                </c:pt>
                <c:pt idx="14">
                  <c:v>0.64325321372762745</c:v>
                </c:pt>
                <c:pt idx="15">
                  <c:v>0.6616220528464879</c:v>
                </c:pt>
                <c:pt idx="16">
                  <c:v>0.68041807396121157</c:v>
                </c:pt>
                <c:pt idx="17">
                  <c:v>0.69964138444120794</c:v>
                </c:pt>
                <c:pt idx="18">
                  <c:v>0.71929209602040045</c:v>
                </c:pt>
                <c:pt idx="19">
                  <c:v>0.73937032479935771</c:v>
                </c:pt>
                <c:pt idx="20">
                  <c:v>0.75987619124753858</c:v>
                </c:pt>
                <c:pt idx="21">
                  <c:v>0.78080982020564627</c:v>
                </c:pt>
                <c:pt idx="22">
                  <c:v>0.80217134088809672</c:v>
                </c:pt>
                <c:pt idx="23">
                  <c:v>0.82396088688559654</c:v>
                </c:pt>
                <c:pt idx="24">
                  <c:v>0.84617859616783475</c:v>
                </c:pt>
                <c:pt idx="25">
                  <c:v>0.86882461108628517</c:v>
                </c:pt>
                <c:pt idx="26">
                  <c:v>0.89189907837712246</c:v>
                </c:pt>
                <c:pt idx="27">
                  <c:v>0.915402149164248</c:v>
                </c:pt>
                <c:pt idx="28">
                  <c:v>0.93933397896243165</c:v>
                </c:pt>
                <c:pt idx="29">
                  <c:v>0.96369472768056197</c:v>
                </c:pt>
                <c:pt idx="30">
                  <c:v>0.9884845596250148</c:v>
                </c:pt>
                <c:pt idx="31">
                  <c:v>1.0232819676177376</c:v>
                </c:pt>
                <c:pt idx="32">
                  <c:v>1.0610709925583091</c:v>
                </c:pt>
                <c:pt idx="33">
                  <c:v>1.0992909798153392</c:v>
                </c:pt>
                <c:pt idx="34">
                  <c:v>1.1379421734757149</c:v>
                </c:pt>
                <c:pt idx="35">
                  <c:v>1.1770248220664721</c:v>
                </c:pt>
                <c:pt idx="36">
                  <c:v>1.216539178559902</c:v>
                </c:pt>
                <c:pt idx="37">
                  <c:v>1.2564855003787705</c:v>
                </c:pt>
                <c:pt idx="38">
                  <c:v>1.2968640494016601</c:v>
                </c:pt>
                <c:pt idx="39">
                  <c:v>1.3376750919684159</c:v>
                </c:pt>
                <c:pt idx="40">
                  <c:v>1.3789188988857195</c:v>
                </c:pt>
                <c:pt idx="41">
                  <c:v>1.4205957454327658</c:v>
                </c:pt>
                <c:pt idx="42">
                  <c:v>1.4627059113670668</c:v>
                </c:pt>
                <c:pt idx="43">
                  <c:v>1.5052496809303639</c:v>
                </c:pt>
                <c:pt idx="44">
                  <c:v>1.5482273428546605</c:v>
                </c:pt>
                <c:pt idx="45">
                  <c:v>1.5916391903683689</c:v>
                </c:pt>
                <c:pt idx="46">
                  <c:v>1.635485521202577</c:v>
                </c:pt>
                <c:pt idx="47">
                  <c:v>1.6797666375974276</c:v>
                </c:pt>
                <c:pt idx="48">
                  <c:v>1.7244828463086215</c:v>
                </c:pt>
                <c:pt idx="49">
                  <c:v>1.7696344586140307</c:v>
                </c:pt>
                <c:pt idx="50">
                  <c:v>1.8152217903204371</c:v>
                </c:pt>
                <c:pt idx="51">
                  <c:v>1.8612451617703842</c:v>
                </c:pt>
                <c:pt idx="52">
                  <c:v>1.9077048978491482</c:v>
                </c:pt>
                <c:pt idx="53">
                  <c:v>1.9546013279918313</c:v>
                </c:pt>
                <c:pt idx="54">
                  <c:v>2.0019347861905712</c:v>
                </c:pt>
                <c:pt idx="55">
                  <c:v>2.0497056110018699</c:v>
                </c:pt>
                <c:pt idx="56">
                  <c:v>2.0979141455540433</c:v>
                </c:pt>
                <c:pt idx="57">
                  <c:v>2.1465607375547924</c:v>
                </c:pt>
                <c:pt idx="58">
                  <c:v>2.1956457392988913</c:v>
                </c:pt>
                <c:pt idx="59">
                  <c:v>2.2451695076760028</c:v>
                </c:pt>
                <c:pt idx="60">
                  <c:v>2.2951324041786019</c:v>
                </c:pt>
                <c:pt idx="61">
                  <c:v>2.3455347949100416</c:v>
                </c:pt>
                <c:pt idx="62">
                  <c:v>2.396377050592716</c:v>
                </c:pt>
                <c:pt idx="63">
                  <c:v>2.4476595465763706</c:v>
                </c:pt>
                <c:pt idx="64">
                  <c:v>2.4993826628465126</c:v>
                </c:pt>
                <c:pt idx="65">
                  <c:v>2.5515467840329613</c:v>
                </c:pt>
                <c:pt idx="66">
                  <c:v>2.6041522994185105</c:v>
                </c:pt>
                <c:pt idx="67">
                  <c:v>2.6571996029477263</c:v>
                </c:pt>
                <c:pt idx="68">
                  <c:v>2.7106890932358518</c:v>
                </c:pt>
                <c:pt idx="69">
                  <c:v>2.764621173577857</c:v>
                </c:pt>
                <c:pt idx="70">
                  <c:v>2.8189962519575973</c:v>
                </c:pt>
                <c:pt idx="71">
                  <c:v>2.8738147410571067</c:v>
                </c:pt>
                <c:pt idx="72">
                  <c:v>2.9290770582660097</c:v>
                </c:pt>
                <c:pt idx="73">
                  <c:v>2.9847836256910667</c:v>
                </c:pt>
                <c:pt idx="74">
                  <c:v>3.0409348701658452</c:v>
                </c:pt>
                <c:pt idx="75">
                  <c:v>3.0975312232605088</c:v>
                </c:pt>
                <c:pt idx="76">
                  <c:v>3.1545731212917474</c:v>
                </c:pt>
                <c:pt idx="77">
                  <c:v>3.2120610053328225</c:v>
                </c:pt>
                <c:pt idx="78">
                  <c:v>3.2699953212237558</c:v>
                </c:pt>
                <c:pt idx="79">
                  <c:v>3.3283765195816288</c:v>
                </c:pt>
                <c:pt idx="80">
                  <c:v>3.3872050558110276</c:v>
                </c:pt>
                <c:pt idx="81">
                  <c:v>3.4464813901146076</c:v>
                </c:pt>
                <c:pt idx="82">
                  <c:v>3.5062059875037965</c:v>
                </c:pt>
                <c:pt idx="83">
                  <c:v>3.5663793178096177</c:v>
                </c:pt>
                <c:pt idx="84">
                  <c:v>3.627001855693659</c:v>
                </c:pt>
                <c:pt idx="85">
                  <c:v>3.688074080659153</c:v>
                </c:pt>
                <c:pt idx="86">
                  <c:v>3.7495964770622212</c:v>
                </c:pt>
                <c:pt idx="87">
                  <c:v>3.8115695341232123</c:v>
                </c:pt>
                <c:pt idx="88">
                  <c:v>3.8739937459382077</c:v>
                </c:pt>
                <c:pt idx="89">
                  <c:v>3.9368696114906392</c:v>
                </c:pt>
                <c:pt idx="90">
                  <c:v>4.0001976346630546</c:v>
                </c:pt>
                <c:pt idx="91">
                  <c:v>4.0639783242490051</c:v>
                </c:pt>
                <c:pt idx="92">
                  <c:v>4.128212193965088</c:v>
                </c:pt>
                <c:pt idx="93">
                  <c:v>4.192899762463103</c:v>
                </c:pt>
                <c:pt idx="94">
                  <c:v>4.258041553342359</c:v>
                </c:pt>
                <c:pt idx="95">
                  <c:v>4.3236380951621127</c:v>
                </c:pt>
                <c:pt idx="96">
                  <c:v>4.3896899214541589</c:v>
                </c:pt>
                <c:pt idx="97">
                  <c:v>4.4561975707355286</c:v>
                </c:pt>
                <c:pt idx="98">
                  <c:v>4.5231615865213612</c:v>
                </c:pt>
                <c:pt idx="99">
                  <c:v>4.5905825173378956</c:v>
                </c:pt>
                <c:pt idx="100">
                  <c:v>4.6584609167356064</c:v>
                </c:pt>
                <c:pt idx="101">
                  <c:v>4.7267973433024766</c:v>
                </c:pt>
                <c:pt idx="102">
                  <c:v>4.7955923606774249</c:v>
                </c:pt>
                <c:pt idx="103">
                  <c:v>4.8648465375638628</c:v>
                </c:pt>
                <c:pt idx="104">
                  <c:v>4.9345604477433964</c:v>
                </c:pt>
                <c:pt idx="105">
                  <c:v>5.0047346700896744</c:v>
                </c:pt>
                <c:pt idx="106">
                  <c:v>5.0753697885823827</c:v>
                </c:pt>
                <c:pt idx="107">
                  <c:v>5.1464663923213791</c:v>
                </c:pt>
                <c:pt idx="108">
                  <c:v>5.2180250755409752</c:v>
                </c:pt>
                <c:pt idx="109">
                  <c:v>5.2900464376243592</c:v>
                </c:pt>
                <c:pt idx="110">
                  <c:v>5.3625310831181778</c:v>
                </c:pt>
                <c:pt idx="111">
                  <c:v>5.4354796217472581</c:v>
                </c:pt>
                <c:pt idx="112">
                  <c:v>5.5088926684294677</c:v>
                </c:pt>
                <c:pt idx="113">
                  <c:v>5.582770843290751</c:v>
                </c:pt>
                <c:pt idx="114">
                  <c:v>5.6571147716802859</c:v>
                </c:pt>
                <c:pt idx="115">
                  <c:v>5.7319250841857992</c:v>
                </c:pt>
                <c:pt idx="116">
                  <c:v>5.8072024166490595</c:v>
                </c:pt>
                <c:pt idx="117">
                  <c:v>5.8829474101814725</c:v>
                </c:pt>
                <c:pt idx="118">
                  <c:v>5.9591607111798686</c:v>
                </c:pt>
                <c:pt idx="119">
                  <c:v>6.0358429713424346</c:v>
                </c:pt>
                <c:pt idx="120">
                  <c:v>6.1129948476847948</c:v>
                </c:pt>
                <c:pt idx="121">
                  <c:v>6.1906170025562446</c:v>
                </c:pt>
                <c:pt idx="122">
                  <c:v>6.2687101036561419</c:v>
                </c:pt>
                <c:pt idx="123">
                  <c:v>6.3472748240504639</c:v>
                </c:pt>
                <c:pt idx="124">
                  <c:v>6.4263118421885164</c:v>
                </c:pt>
                <c:pt idx="125">
                  <c:v>6.5058218419197873</c:v>
                </c:pt>
                <c:pt idx="126">
                  <c:v>6.5858055125109782</c:v>
                </c:pt>
                <c:pt idx="127">
                  <c:v>6.6662635486631929</c:v>
                </c:pt>
                <c:pt idx="128">
                  <c:v>6.7471966505292746</c:v>
                </c:pt>
                <c:pt idx="129">
                  <c:v>6.8286055237313112</c:v>
                </c:pt>
                <c:pt idx="130">
                  <c:v>6.9104908793783153</c:v>
                </c:pt>
                <c:pt idx="131">
                  <c:v>6.9928534340840427</c:v>
                </c:pt>
                <c:pt idx="132">
                  <c:v>7.0756939099849969</c:v>
                </c:pt>
                <c:pt idx="133">
                  <c:v>7.1590130347585879</c:v>
                </c:pt>
                <c:pt idx="134">
                  <c:v>7.2428115416414567</c:v>
                </c:pt>
                <c:pt idx="135">
                  <c:v>7.3270901694479722</c:v>
                </c:pt>
                <c:pt idx="136">
                  <c:v>7.4118496625888888</c:v>
                </c:pt>
                <c:pt idx="137">
                  <c:v>7.4970907710901828</c:v>
                </c:pt>
                <c:pt idx="138">
                  <c:v>7.5828142506120439</c:v>
                </c:pt>
                <c:pt idx="139">
                  <c:v>7.6690208624680523</c:v>
                </c:pt>
                <c:pt idx="140">
                  <c:v>7.7557113736445151</c:v>
                </c:pt>
                <c:pt idx="141">
                  <c:v>7.8428865568199893</c:v>
                </c:pt>
                <c:pt idx="142">
                  <c:v>7.9305471903849458</c:v>
                </c:pt>
                <c:pt idx="143">
                  <c:v>8.0186940584616657</c:v>
                </c:pt>
                <c:pt idx="144">
                  <c:v>8.1073279509242546</c:v>
                </c:pt>
                <c:pt idx="145">
                  <c:v>8.1964496634188446</c:v>
                </c:pt>
                <c:pt idx="146">
                  <c:v>8.286059997384033</c:v>
                </c:pt>
                <c:pt idx="147">
                  <c:v>8.3761597600713866</c:v>
                </c:pt>
                <c:pt idx="148">
                  <c:v>8.4667497645662522</c:v>
                </c:pt>
                <c:pt idx="149">
                  <c:v>8.5578308298086387</c:v>
                </c:pt>
                <c:pt idx="150">
                  <c:v>8.6494037806143549</c:v>
                </c:pt>
                <c:pt idx="151">
                  <c:v>8.7414694476962964</c:v>
                </c:pt>
                <c:pt idx="152">
                  <c:v>8.8340286676859225</c:v>
                </c:pt>
                <c:pt idx="153">
                  <c:v>8.9270822831549062</c:v>
                </c:pt>
                <c:pt idx="154">
                  <c:v>9.0206311426370167</c:v>
                </c:pt>
                <c:pt idx="155">
                  <c:v>9.1146761006501116</c:v>
                </c:pt>
                <c:pt idx="156">
                  <c:v>9.2092180177183831</c:v>
                </c:pt>
                <c:pt idx="157">
                  <c:v>9.304257760394778</c:v>
                </c:pt>
                <c:pt idx="158">
                  <c:v>9.3997962012835785</c:v>
                </c:pt>
                <c:pt idx="159">
                  <c:v>9.4958342190632177</c:v>
                </c:pt>
                <c:pt idx="160">
                  <c:v>9.5923726985092479</c:v>
                </c:pt>
                <c:pt idx="161">
                  <c:v>9.6894125305175347</c:v>
                </c:pt>
                <c:pt idx="162">
                  <c:v>9.7869546121276372</c:v>
                </c:pt>
                <c:pt idx="163">
                  <c:v>9.8849998465463642</c:v>
                </c:pt>
                <c:pt idx="164">
                  <c:v>9.9835491431715582</c:v>
                </c:pt>
                <c:pt idx="165">
                  <c:v>10.082603417616056</c:v>
                </c:pt>
                <c:pt idx="166">
                  <c:v>10.182163591731875</c:v>
                </c:pt>
                <c:pt idx="167">
                  <c:v>10.28223059363455</c:v>
                </c:pt>
                <c:pt idx="168">
                  <c:v>10.382805357727745</c:v>
                </c:pt>
                <c:pt idx="169">
                  <c:v>10.483888824727995</c:v>
                </c:pt>
                <c:pt idx="170">
                  <c:v>10.585481941689718</c:v>
                </c:pt>
                <c:pt idx="171">
                  <c:v>10.687585662030385</c:v>
                </c:pt>
                <c:pt idx="172">
                  <c:v>10.790200945555917</c:v>
                </c:pt>
                <c:pt idx="173">
                  <c:v>10.893328758486293</c:v>
                </c:pt>
                <c:pt idx="174">
                  <c:v>10.996970073481382</c:v>
                </c:pt>
                <c:pt idx="175">
                  <c:v>11.10112586966693</c:v>
                </c:pt>
                <c:pt idx="176">
                  <c:v>11.205797132660846</c:v>
                </c:pt>
                <c:pt idx="177">
                  <c:v>11.310984854599623</c:v>
                </c:pt>
                <c:pt idx="178">
                  <c:v>11.416690034165024</c:v>
                </c:pt>
                <c:pt idx="179">
                  <c:v>11.52291367661098</c:v>
                </c:pt>
                <c:pt idx="180">
                  <c:v>11.629656793790671</c:v>
                </c:pt>
                <c:pt idx="181">
                  <c:v>11.736920404183868</c:v>
                </c:pt>
                <c:pt idx="182">
                  <c:v>11.844705532924495</c:v>
                </c:pt>
                <c:pt idx="183">
                  <c:v>11.953013211828376</c:v>
                </c:pt>
                <c:pt idx="184">
                  <c:v>12.061844479421248</c:v>
                </c:pt>
                <c:pt idx="185">
                  <c:v>12.171200380966974</c:v>
                </c:pt>
                <c:pt idx="186">
                  <c:v>12.281081968495997</c:v>
                </c:pt>
                <c:pt idx="187">
                  <c:v>12.391490300834032</c:v>
                </c:pt>
                <c:pt idx="188">
                  <c:v>12.502426443630958</c:v>
                </c:pt>
                <c:pt idx="189">
                  <c:v>12.613891469389957</c:v>
                </c:pt>
                <c:pt idx="190">
                  <c:v>12.725886457496927</c:v>
                </c:pt>
                <c:pt idx="191">
                  <c:v>12.838412494250043</c:v>
                </c:pt>
                <c:pt idx="192">
                  <c:v>12.951470672889641</c:v>
                </c:pt>
                <c:pt idx="193">
                  <c:v>13.065062093628288</c:v>
                </c:pt>
                <c:pt idx="194">
                  <c:v>13.179187863681127</c:v>
                </c:pt>
                <c:pt idx="195">
                  <c:v>13.293849097296418</c:v>
                </c:pt>
                <c:pt idx="196">
                  <c:v>13.409046915786377</c:v>
                </c:pt>
                <c:pt idx="197">
                  <c:v>13.524782447558243</c:v>
                </c:pt>
                <c:pt idx="198">
                  <c:v>13.641056828145532</c:v>
                </c:pt>
                <c:pt idx="199">
                  <c:v>13.757871200239649</c:v>
                </c:pt>
                <c:pt idx="200">
                  <c:v>13.87522671372167</c:v>
                </c:pt>
              </c:numCache>
            </c:numRef>
          </c:yVal>
          <c:smooth val="0"/>
          <c:extLst>
            <c:ext xmlns:c16="http://schemas.microsoft.com/office/drawing/2014/chart" uri="{C3380CC4-5D6E-409C-BE32-E72D297353CC}">
              <c16:uniqueId val="{00000001-9EA1-4F4F-9ACD-6AF9DCA0F73F}"/>
            </c:ext>
          </c:extLst>
        </c:ser>
        <c:dLbls>
          <c:showLegendKey val="0"/>
          <c:showVal val="0"/>
          <c:showCatName val="0"/>
          <c:showSerName val="0"/>
          <c:showPercent val="0"/>
          <c:showBubbleSize val="0"/>
        </c:dLbls>
        <c:axId val="177513600"/>
        <c:axId val="177515520"/>
      </c:scatterChart>
      <c:valAx>
        <c:axId val="177513600"/>
        <c:scaling>
          <c:orientation val="minMax"/>
          <c:min val="0"/>
        </c:scaling>
        <c:delete val="0"/>
        <c:axPos val="b"/>
        <c:majorGridlines/>
        <c:title>
          <c:tx>
            <c:rich>
              <a:bodyPr/>
              <a:lstStyle/>
              <a:p>
                <a:pPr>
                  <a:defRPr sz="925" b="1" i="0" u="none" strike="noStrike" baseline="0">
                    <a:solidFill>
                      <a:srgbClr val="000000"/>
                    </a:solidFill>
                    <a:latin typeface="Arial"/>
                    <a:ea typeface="Arial"/>
                    <a:cs typeface="Arial"/>
                  </a:defRPr>
                </a:pPr>
                <a:r>
                  <a:rPr lang="en-US"/>
                  <a:t>Iout (A)</a:t>
                </a:r>
              </a:p>
            </c:rich>
          </c:tx>
          <c:layout>
            <c:manualLayout>
              <c:xMode val="edge"/>
              <c:yMode val="edge"/>
              <c:x val="0.52774047357748588"/>
              <c:y val="0.9353554442058379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5520"/>
        <c:crosses val="autoZero"/>
        <c:crossBetween val="midCat"/>
      </c:valAx>
      <c:valAx>
        <c:axId val="177515520"/>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Temperature (°C)</a:t>
                </a:r>
              </a:p>
            </c:rich>
          </c:tx>
          <c:layout>
            <c:manualLayout>
              <c:xMode val="edge"/>
              <c:yMode val="edge"/>
              <c:x val="5.5931438881371219E-2"/>
              <c:y val="0.3797988281767809"/>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1" i="0" u="none" strike="noStrike" baseline="0">
                <a:solidFill>
                  <a:srgbClr val="000000"/>
                </a:solidFill>
                <a:latin typeface="Arial"/>
                <a:ea typeface="Arial"/>
                <a:cs typeface="Arial"/>
              </a:defRPr>
            </a:pPr>
            <a:endParaRPr lang="en-US"/>
          </a:p>
        </c:txPr>
        <c:crossAx val="177513600"/>
        <c:crosses val="autoZero"/>
        <c:crossBetween val="midCat"/>
      </c:valAx>
      <c:spPr>
        <a:solidFill>
          <a:srgbClr val="C0C0C0"/>
        </a:solidFill>
        <a:ln w="12700">
          <a:solidFill>
            <a:srgbClr val="808080"/>
          </a:solidFill>
          <a:prstDash val="solid"/>
        </a:ln>
      </c:spPr>
    </c:plotArea>
    <c:legend>
      <c:legendPos val="t"/>
      <c:layout>
        <c:manualLayout>
          <c:xMode val="edge"/>
          <c:yMode val="edge"/>
          <c:x val="0.85385713118742423"/>
          <c:y val="1.0101010101010105E-2"/>
          <c:w val="0.14073085925152451"/>
          <c:h val="8.2828494922983206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25" b="1" i="0" u="none" strike="noStrike" baseline="0">
                <a:solidFill>
                  <a:srgbClr val="000000"/>
                </a:solidFill>
                <a:latin typeface="Arial"/>
                <a:ea typeface="Arial"/>
                <a:cs typeface="Arial"/>
              </a:defRPr>
            </a:pPr>
            <a:r>
              <a:rPr lang="en-US"/>
              <a:t> FET Power Disipation</a:t>
            </a:r>
          </a:p>
        </c:rich>
      </c:tx>
      <c:layout>
        <c:manualLayout>
          <c:xMode val="edge"/>
          <c:yMode val="edge"/>
          <c:x val="0.39872611464968688"/>
          <c:y val="3.0241935483871732E-2"/>
        </c:manualLayout>
      </c:layout>
      <c:overlay val="0"/>
      <c:spPr>
        <a:noFill/>
        <a:ln w="25400">
          <a:noFill/>
        </a:ln>
      </c:spPr>
    </c:title>
    <c:autoTitleDeleted val="0"/>
    <c:plotArea>
      <c:layout>
        <c:manualLayout>
          <c:layoutTarget val="inner"/>
          <c:xMode val="edge"/>
          <c:yMode val="edge"/>
          <c:x val="8.6624203821656268E-2"/>
          <c:y val="0.15927435034411094"/>
          <c:w val="0.8471337579617837"/>
          <c:h val="0.70362972493790654"/>
        </c:manualLayout>
      </c:layout>
      <c:scatterChart>
        <c:scatterStyle val="lineMarker"/>
        <c:varyColors val="0"/>
        <c:ser>
          <c:idx val="2"/>
          <c:order val="0"/>
          <c:tx>
            <c:v>Top FET</c:v>
          </c:tx>
          <c:spPr>
            <a:ln w="254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Calculations'!$AC$9:$AC$209</c:f>
              <c:numCache>
                <c:formatCode>0.0000</c:formatCode>
                <c:ptCount val="201"/>
                <c:pt idx="0">
                  <c:v>1.8224357858228363E-2</c:v>
                </c:pt>
                <c:pt idx="1">
                  <c:v>1.8387585892376421E-2</c:v>
                </c:pt>
                <c:pt idx="2">
                  <c:v>1.8553118139038722E-2</c:v>
                </c:pt>
                <c:pt idx="3">
                  <c:v>1.8720955278269027E-2</c:v>
                </c:pt>
                <c:pt idx="4">
                  <c:v>1.8891097996533691E-2</c:v>
                </c:pt>
                <c:pt idx="5">
                  <c:v>1.906354698671683E-2</c:v>
                </c:pt>
                <c:pt idx="6">
                  <c:v>1.9238302948125754E-2</c:v>
                </c:pt>
                <c:pt idx="7">
                  <c:v>1.9415366586496154E-2</c:v>
                </c:pt>
                <c:pt idx="8">
                  <c:v>2.1088638760585841E-2</c:v>
                </c:pt>
                <c:pt idx="9">
                  <c:v>2.7686921351004975E-2</c:v>
                </c:pt>
                <c:pt idx="10">
                  <c:v>3.4287570650685849E-2</c:v>
                </c:pt>
                <c:pt idx="11">
                  <c:v>4.0890596245799542E-2</c:v>
                </c:pt>
                <c:pt idx="12">
                  <c:v>4.7496007731604499E-2</c:v>
                </c:pt>
                <c:pt idx="13">
                  <c:v>5.4103814712493391E-2</c:v>
                </c:pt>
                <c:pt idx="14">
                  <c:v>6.0714026802039488E-2</c:v>
                </c:pt>
                <c:pt idx="15">
                  <c:v>6.7326653623043131E-2</c:v>
                </c:pt>
                <c:pt idx="16">
                  <c:v>7.3941704807578931E-2</c:v>
                </c:pt>
                <c:pt idx="17">
                  <c:v>8.0559189997042091E-2</c:v>
                </c:pt>
                <c:pt idx="18">
                  <c:v>8.7179118842195466E-2</c:v>
                </c:pt>
                <c:pt idx="19">
                  <c:v>9.3801501003216659E-2</c:v>
                </c:pt>
                <c:pt idx="20">
                  <c:v>0.10042634614974499</c:v>
                </c:pt>
                <c:pt idx="21">
                  <c:v>0.10705366396092848</c:v>
                </c:pt>
                <c:pt idx="22">
                  <c:v>0.11368346412547146</c:v>
                </c:pt>
                <c:pt idx="23">
                  <c:v>0.12031575634168154</c:v>
                </c:pt>
                <c:pt idx="24">
                  <c:v>0.12695055031751709</c:v>
                </c:pt>
                <c:pt idx="25">
                  <c:v>0.13358785577063484</c:v>
                </c:pt>
                <c:pt idx="26">
                  <c:v>0.14022768242843747</c:v>
                </c:pt>
                <c:pt idx="27">
                  <c:v>0.14687004002812099</c:v>
                </c:pt>
                <c:pt idx="28">
                  <c:v>0.15351493831672292</c:v>
                </c:pt>
                <c:pt idx="29">
                  <c:v>0.1601623870511697</c:v>
                </c:pt>
                <c:pt idx="30">
                  <c:v>0.16681239599832492</c:v>
                </c:pt>
                <c:pt idx="31">
                  <c:v>0.16879943816623519</c:v>
                </c:pt>
                <c:pt idx="32">
                  <c:v>0.16954144748202296</c:v>
                </c:pt>
                <c:pt idx="33">
                  <c:v>0.17028586702325771</c:v>
                </c:pt>
                <c:pt idx="34">
                  <c:v>0.17103269839095578</c:v>
                </c:pt>
                <c:pt idx="35">
                  <c:v>0.17178194319318393</c:v>
                </c:pt>
                <c:pt idx="36">
                  <c:v>0.17253360304506934</c:v>
                </c:pt>
                <c:pt idx="37">
                  <c:v>0.17328767956880997</c:v>
                </c:pt>
                <c:pt idx="38">
                  <c:v>0.17404417439368461</c:v>
                </c:pt>
                <c:pt idx="39">
                  <c:v>0.17480308915606327</c:v>
                </c:pt>
                <c:pt idx="40">
                  <c:v>0.1755644254994175</c:v>
                </c:pt>
                <c:pt idx="41">
                  <c:v>0.17632818507433071</c:v>
                </c:pt>
                <c:pt idx="42">
                  <c:v>0.17709436953850874</c:v>
                </c:pt>
                <c:pt idx="43">
                  <c:v>0.17786298055679028</c:v>
                </c:pt>
                <c:pt idx="44">
                  <c:v>0.17863401980115742</c:v>
                </c:pt>
                <c:pt idx="45">
                  <c:v>0.17940748895074629</c:v>
                </c:pt>
                <c:pt idx="46">
                  <c:v>0.18018338969185771</c:v>
                </c:pt>
                <c:pt idx="47">
                  <c:v>0.18096172371796784</c:v>
                </c:pt>
                <c:pt idx="48">
                  <c:v>0.18174249272973911</c:v>
                </c:pt>
                <c:pt idx="49">
                  <c:v>0.18252569843503086</c:v>
                </c:pt>
                <c:pt idx="50">
                  <c:v>0.18331134254891029</c:v>
                </c:pt>
                <c:pt idx="51">
                  <c:v>0.18409942679366351</c:v>
                </c:pt>
                <c:pt idx="52">
                  <c:v>0.18488995289880625</c:v>
                </c:pt>
                <c:pt idx="53">
                  <c:v>0.18568292260109523</c:v>
                </c:pt>
                <c:pt idx="54">
                  <c:v>0.18647833764453894</c:v>
                </c:pt>
                <c:pt idx="55">
                  <c:v>0.1872761997804091</c:v>
                </c:pt>
                <c:pt idx="56">
                  <c:v>0.1880765107672516</c:v>
                </c:pt>
                <c:pt idx="57">
                  <c:v>0.18887927237089791</c:v>
                </c:pt>
                <c:pt idx="58">
                  <c:v>0.18968448636447641</c:v>
                </c:pt>
                <c:pt idx="59">
                  <c:v>0.19049215452842366</c:v>
                </c:pt>
                <c:pt idx="60">
                  <c:v>0.1913022786504959</c:v>
                </c:pt>
                <c:pt idx="61">
                  <c:v>0.19211486052578056</c:v>
                </c:pt>
                <c:pt idx="62">
                  <c:v>0.19292990195670773</c:v>
                </c:pt>
                <c:pt idx="63">
                  <c:v>0.19374740475306176</c:v>
                </c:pt>
                <c:pt idx="64">
                  <c:v>0.19456737073199304</c:v>
                </c:pt>
                <c:pt idx="65">
                  <c:v>0.19538980171802961</c:v>
                </c:pt>
                <c:pt idx="66">
                  <c:v>0.19621469954308882</c:v>
                </c:pt>
                <c:pt idx="67">
                  <c:v>0.19704206604648947</c:v>
                </c:pt>
                <c:pt idx="68">
                  <c:v>0.19787190307496327</c:v>
                </c:pt>
                <c:pt idx="69">
                  <c:v>0.19870421248266723</c:v>
                </c:pt>
                <c:pt idx="70">
                  <c:v>0.19953899613119527</c:v>
                </c:pt>
                <c:pt idx="71">
                  <c:v>0.20037625588959052</c:v>
                </c:pt>
                <c:pt idx="72">
                  <c:v>0.20121599363435735</c:v>
                </c:pt>
                <c:pt idx="73">
                  <c:v>0.20205821124947346</c:v>
                </c:pt>
                <c:pt idx="74">
                  <c:v>0.20290291062640234</c:v>
                </c:pt>
                <c:pt idx="75">
                  <c:v>0.20375009366410518</c:v>
                </c:pt>
                <c:pt idx="76">
                  <c:v>0.20459976226905371</c:v>
                </c:pt>
                <c:pt idx="77">
                  <c:v>0.2054519183552421</c:v>
                </c:pt>
                <c:pt idx="78">
                  <c:v>0.20630656384419976</c:v>
                </c:pt>
                <c:pt idx="79">
                  <c:v>0.20716370066500375</c:v>
                </c:pt>
                <c:pt idx="80">
                  <c:v>0.20802333075429136</c:v>
                </c:pt>
                <c:pt idx="81">
                  <c:v>0.20888545605627273</c:v>
                </c:pt>
                <c:pt idx="82">
                  <c:v>0.2097500785227436</c:v>
                </c:pt>
                <c:pt idx="83">
                  <c:v>0.21061720011309792</c:v>
                </c:pt>
                <c:pt idx="84">
                  <c:v>0.211486822794341</c:v>
                </c:pt>
                <c:pt idx="85">
                  <c:v>0.21235894854110196</c:v>
                </c:pt>
                <c:pt idx="86">
                  <c:v>0.21323357933564699</c:v>
                </c:pt>
                <c:pt idx="87">
                  <c:v>0.21411071716789218</c:v>
                </c:pt>
                <c:pt idx="88">
                  <c:v>0.21499036403541658</c:v>
                </c:pt>
                <c:pt idx="89">
                  <c:v>0.21587252194347559</c:v>
                </c:pt>
                <c:pt idx="90">
                  <c:v>0.21675719290501355</c:v>
                </c:pt>
                <c:pt idx="91">
                  <c:v>0.21764437894067767</c:v>
                </c:pt>
                <c:pt idx="92">
                  <c:v>0.21853408207883082</c:v>
                </c:pt>
                <c:pt idx="93">
                  <c:v>0.21942630435556515</c:v>
                </c:pt>
                <c:pt idx="94">
                  <c:v>0.22032104781471534</c:v>
                </c:pt>
                <c:pt idx="95">
                  <c:v>0.22121831450787224</c:v>
                </c:pt>
                <c:pt idx="96">
                  <c:v>0.22211810649439639</c:v>
                </c:pt>
                <c:pt idx="97">
                  <c:v>0.22302042584143147</c:v>
                </c:pt>
                <c:pt idx="98">
                  <c:v>0.2239252746239182</c:v>
                </c:pt>
                <c:pt idx="99">
                  <c:v>0.2248326549246078</c:v>
                </c:pt>
                <c:pt idx="100">
                  <c:v>0.2257425688340762</c:v>
                </c:pt>
                <c:pt idx="101">
                  <c:v>0.22665501845073738</c:v>
                </c:pt>
                <c:pt idx="102">
                  <c:v>0.22757000588085763</c:v>
                </c:pt>
                <c:pt idx="103">
                  <c:v>0.22848753323856946</c:v>
                </c:pt>
                <c:pt idx="104">
                  <c:v>0.22940760264588567</c:v>
                </c:pt>
                <c:pt idx="105">
                  <c:v>0.23033021623271333</c:v>
                </c:pt>
                <c:pt idx="106">
                  <c:v>0.231255376136868</c:v>
                </c:pt>
                <c:pt idx="107">
                  <c:v>0.23218308450408817</c:v>
                </c:pt>
                <c:pt idx="108">
                  <c:v>0.23311334348804921</c:v>
                </c:pt>
                <c:pt idx="109">
                  <c:v>0.23404615525037806</c:v>
                </c:pt>
                <c:pt idx="110">
                  <c:v>0.23498152196066743</c:v>
                </c:pt>
                <c:pt idx="111">
                  <c:v>0.2359194457964903</c:v>
                </c:pt>
                <c:pt idx="112">
                  <c:v>0.23685992894341473</c:v>
                </c:pt>
                <c:pt idx="113">
                  <c:v>0.23780297359501806</c:v>
                </c:pt>
                <c:pt idx="114">
                  <c:v>0.23874858195290211</c:v>
                </c:pt>
                <c:pt idx="115">
                  <c:v>0.23969675622670736</c:v>
                </c:pt>
                <c:pt idx="116">
                  <c:v>0.24064749863412827</c:v>
                </c:pt>
                <c:pt idx="117">
                  <c:v>0.24160081140092787</c:v>
                </c:pt>
                <c:pt idx="118">
                  <c:v>0.24255669676095276</c:v>
                </c:pt>
                <c:pt idx="119">
                  <c:v>0.2435151569561482</c:v>
                </c:pt>
                <c:pt idx="120">
                  <c:v>0.24447619423657307</c:v>
                </c:pt>
                <c:pt idx="121">
                  <c:v>0.24543981086041514</c:v>
                </c:pt>
                <c:pt idx="122">
                  <c:v>0.24640600909400631</c:v>
                </c:pt>
                <c:pt idx="123">
                  <c:v>0.24737479121183753</c:v>
                </c:pt>
                <c:pt idx="124">
                  <c:v>0.24834615949657468</c:v>
                </c:pt>
                <c:pt idx="125">
                  <c:v>0.24932011623907371</c:v>
                </c:pt>
                <c:pt idx="126">
                  <c:v>0.25029666373839587</c:v>
                </c:pt>
                <c:pt idx="127">
                  <c:v>0.25127580430182389</c:v>
                </c:pt>
                <c:pt idx="128">
                  <c:v>0.25225754024487695</c:v>
                </c:pt>
                <c:pt idx="129">
                  <c:v>0.25324187389132674</c:v>
                </c:pt>
                <c:pt idx="130">
                  <c:v>0.25422880757321303</c:v>
                </c:pt>
                <c:pt idx="131">
                  <c:v>0.25521834363085977</c:v>
                </c:pt>
                <c:pt idx="132">
                  <c:v>0.25621048441289052</c:v>
                </c:pt>
                <c:pt idx="133">
                  <c:v>0.25720523227624481</c:v>
                </c:pt>
                <c:pt idx="134">
                  <c:v>0.25820258958619419</c:v>
                </c:pt>
                <c:pt idx="135">
                  <c:v>0.25920255871635767</c:v>
                </c:pt>
                <c:pt idx="136">
                  <c:v>0.26020514204871886</c:v>
                </c:pt>
                <c:pt idx="137">
                  <c:v>0.26121034197364151</c:v>
                </c:pt>
                <c:pt idx="138">
                  <c:v>0.26221816088988603</c:v>
                </c:pt>
                <c:pt idx="139">
                  <c:v>0.26322860120462588</c:v>
                </c:pt>
                <c:pt idx="140">
                  <c:v>0.26424166533346394</c:v>
                </c:pt>
                <c:pt idx="141">
                  <c:v>0.26525735570044917</c:v>
                </c:pt>
                <c:pt idx="142">
                  <c:v>0.2662756747380931</c:v>
                </c:pt>
                <c:pt idx="143">
                  <c:v>0.26729662488738642</c:v>
                </c:pt>
                <c:pt idx="144">
                  <c:v>0.26832020859781575</c:v>
                </c:pt>
                <c:pt idx="145">
                  <c:v>0.26934642832738054</c:v>
                </c:pt>
                <c:pt idx="146">
                  <c:v>0.27037528654260995</c:v>
                </c:pt>
                <c:pt idx="147">
                  <c:v>0.27140678571857957</c:v>
                </c:pt>
                <c:pt idx="148">
                  <c:v>0.27244092833892863</c:v>
                </c:pt>
                <c:pt idx="149">
                  <c:v>0.27347771689587713</c:v>
                </c:pt>
                <c:pt idx="150">
                  <c:v>0.27451715389024284</c:v>
                </c:pt>
                <c:pt idx="151">
                  <c:v>0.27555924183145847</c:v>
                </c:pt>
                <c:pt idx="152">
                  <c:v>0.27660398323758933</c:v>
                </c:pt>
                <c:pt idx="153">
                  <c:v>0.27765138063535044</c:v>
                </c:pt>
                <c:pt idx="154">
                  <c:v>0.27870143656012392</c:v>
                </c:pt>
                <c:pt idx="155">
                  <c:v>0.27975415355597683</c:v>
                </c:pt>
                <c:pt idx="156">
                  <c:v>0.28080953417567828</c:v>
                </c:pt>
                <c:pt idx="157">
                  <c:v>0.28186758098071774</c:v>
                </c:pt>
                <c:pt idx="158">
                  <c:v>0.28292829654132218</c:v>
                </c:pt>
                <c:pt idx="159">
                  <c:v>0.28399168343647446</c:v>
                </c:pt>
                <c:pt idx="160">
                  <c:v>0.28505774425393049</c:v>
                </c:pt>
                <c:pt idx="161">
                  <c:v>0.28612648159023801</c:v>
                </c:pt>
                <c:pt idx="162">
                  <c:v>0.28719789805075435</c:v>
                </c:pt>
                <c:pt idx="163">
                  <c:v>0.28827199624966404</c:v>
                </c:pt>
                <c:pt idx="164">
                  <c:v>0.28934877880999782</c:v>
                </c:pt>
                <c:pt idx="165">
                  <c:v>0.29042824836365061</c:v>
                </c:pt>
                <c:pt idx="166">
                  <c:v>0.29151040755139956</c:v>
                </c:pt>
                <c:pt idx="167">
                  <c:v>0.29259525902292294</c:v>
                </c:pt>
                <c:pt idx="168">
                  <c:v>0.29368280543681818</c:v>
                </c:pt>
                <c:pt idx="169">
                  <c:v>0.29477304946062099</c:v>
                </c:pt>
                <c:pt idx="170">
                  <c:v>0.29586599377082357</c:v>
                </c:pt>
                <c:pt idx="171">
                  <c:v>0.29696164105289391</c:v>
                </c:pt>
                <c:pt idx="172">
                  <c:v>0.29805999400129357</c:v>
                </c:pt>
                <c:pt idx="173">
                  <c:v>0.29916105531949783</c:v>
                </c:pt>
                <c:pt idx="174">
                  <c:v>0.30026482772001367</c:v>
                </c:pt>
                <c:pt idx="175">
                  <c:v>0.3013713139243997</c:v>
                </c:pt>
                <c:pt idx="176">
                  <c:v>0.30248051666328418</c:v>
                </c:pt>
                <c:pt idx="177">
                  <c:v>0.30359243867638547</c:v>
                </c:pt>
                <c:pt idx="178">
                  <c:v>0.30470708271253044</c:v>
                </c:pt>
                <c:pt idx="179">
                  <c:v>0.30582445152967419</c:v>
                </c:pt>
                <c:pt idx="180">
                  <c:v>0.30694454789491937</c:v>
                </c:pt>
                <c:pt idx="181">
                  <c:v>0.30806737458453598</c:v>
                </c:pt>
                <c:pt idx="182">
                  <c:v>0.30919293438398054</c:v>
                </c:pt>
                <c:pt idx="183">
                  <c:v>0.31032123008791634</c:v>
                </c:pt>
                <c:pt idx="184">
                  <c:v>0.3114522645002325</c:v>
                </c:pt>
                <c:pt idx="185">
                  <c:v>0.31258604043406474</c:v>
                </c:pt>
                <c:pt idx="186">
                  <c:v>0.31372256071181442</c:v>
                </c:pt>
                <c:pt idx="187">
                  <c:v>0.31486182816516917</c:v>
                </c:pt>
                <c:pt idx="188">
                  <c:v>0.31600384563512257</c:v>
                </c:pt>
                <c:pt idx="189">
                  <c:v>0.31714861597199479</c:v>
                </c:pt>
                <c:pt idx="190">
                  <c:v>0.31829614203545253</c:v>
                </c:pt>
                <c:pt idx="191">
                  <c:v>0.3194464266945295</c:v>
                </c:pt>
                <c:pt idx="192">
                  <c:v>0.32059947282764673</c:v>
                </c:pt>
                <c:pt idx="193">
                  <c:v>0.32175528332263326</c:v>
                </c:pt>
                <c:pt idx="194">
                  <c:v>0.32291386107674652</c:v>
                </c:pt>
                <c:pt idx="195">
                  <c:v>0.32407520899669334</c:v>
                </c:pt>
                <c:pt idx="196">
                  <c:v>0.32523932999865052</c:v>
                </c:pt>
                <c:pt idx="197">
                  <c:v>0.32640622700828548</c:v>
                </c:pt>
                <c:pt idx="198">
                  <c:v>0.32757590296077782</c:v>
                </c:pt>
                <c:pt idx="199">
                  <c:v>0.32874836080083947</c:v>
                </c:pt>
                <c:pt idx="200">
                  <c:v>0.3299236034827368</c:v>
                </c:pt>
              </c:numCache>
            </c:numRef>
          </c:yVal>
          <c:smooth val="0"/>
          <c:extLst>
            <c:ext xmlns:c16="http://schemas.microsoft.com/office/drawing/2014/chart" uri="{C3380CC4-5D6E-409C-BE32-E72D297353CC}">
              <c16:uniqueId val="{00000000-224D-4C5D-9638-87D4BF1AF418}"/>
            </c:ext>
          </c:extLst>
        </c:ser>
        <c:ser>
          <c:idx val="3"/>
          <c:order val="1"/>
          <c:tx>
            <c:v>Bottom FET</c:v>
          </c:tx>
          <c:spPr>
            <a:ln w="25400">
              <a:solidFill>
                <a:srgbClr val="FF00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Calculations'!$AG$9:$AG$209</c:f>
              <c:numCache>
                <c:formatCode>0.0000</c:formatCode>
                <c:ptCount val="201"/>
                <c:pt idx="0">
                  <c:v>8.6178764210733394E-3</c:v>
                </c:pt>
                <c:pt idx="1">
                  <c:v>8.8658189202375035E-3</c:v>
                </c:pt>
                <c:pt idx="2">
                  <c:v>9.1222841427788335E-3</c:v>
                </c:pt>
                <c:pt idx="3">
                  <c:v>9.3872730172534381E-3</c:v>
                </c:pt>
                <c:pt idx="4">
                  <c:v>9.6607865591441817E-3</c:v>
                </c:pt>
                <c:pt idx="5">
                  <c:v>9.9428258708721875E-3</c:v>
                </c:pt>
                <c:pt idx="6">
                  <c:v>1.0233392141810665E-2</c:v>
                </c:pt>
                <c:pt idx="7">
                  <c:v>1.0532486648300808E-2</c:v>
                </c:pt>
                <c:pt idx="8">
                  <c:v>1.0840110753670017E-2</c:v>
                </c:pt>
                <c:pt idx="9">
                  <c:v>1.1156265908252338E-2</c:v>
                </c:pt>
                <c:pt idx="10">
                  <c:v>1.1480953649411032E-2</c:v>
                </c:pt>
                <c:pt idx="11">
                  <c:v>1.1814175601563483E-2</c:v>
                </c:pt>
                <c:pt idx="12">
                  <c:v>1.2155933476208226E-2</c:v>
                </c:pt>
                <c:pt idx="13">
                  <c:v>1.2506229071954264E-2</c:v>
                </c:pt>
                <c:pt idx="14">
                  <c:v>1.286506427455255E-2</c:v>
                </c:pt>
                <c:pt idx="15">
                  <c:v>1.3232441056929757E-2</c:v>
                </c:pt>
                <c:pt idx="16">
                  <c:v>1.3608361479224231E-2</c:v>
                </c:pt>
                <c:pt idx="17">
                  <c:v>1.3992827688824159E-2</c:v>
                </c:pt>
                <c:pt idx="18">
                  <c:v>1.4385841920408008E-2</c:v>
                </c:pt>
                <c:pt idx="19">
                  <c:v>1.4787406495987155E-2</c:v>
                </c:pt>
                <c:pt idx="20">
                  <c:v>1.5197523824950772E-2</c:v>
                </c:pt>
                <c:pt idx="21">
                  <c:v>1.5616196404112926E-2</c:v>
                </c:pt>
                <c:pt idx="22">
                  <c:v>1.6043426817761934E-2</c:v>
                </c:pt>
                <c:pt idx="23">
                  <c:v>1.6479217737711931E-2</c:v>
                </c:pt>
                <c:pt idx="24">
                  <c:v>1.6923571923356695E-2</c:v>
                </c:pt>
                <c:pt idx="25">
                  <c:v>1.7376492221725704E-2</c:v>
                </c:pt>
                <c:pt idx="26">
                  <c:v>1.783798156754245E-2</c:v>
                </c:pt>
                <c:pt idx="27">
                  <c:v>1.830804298328496E-2</c:v>
                </c:pt>
                <c:pt idx="28">
                  <c:v>1.8786679579248632E-2</c:v>
                </c:pt>
                <c:pt idx="29">
                  <c:v>1.927389455361124E-2</c:v>
                </c:pt>
                <c:pt idx="30">
                  <c:v>1.9769691192500296E-2</c:v>
                </c:pt>
                <c:pt idx="31">
                  <c:v>2.046563935235475E-2</c:v>
                </c:pt>
                <c:pt idx="32">
                  <c:v>2.1221419851166181E-2</c:v>
                </c:pt>
                <c:pt idx="33">
                  <c:v>2.1985819596306782E-2</c:v>
                </c:pt>
                <c:pt idx="34">
                  <c:v>2.27588434695143E-2</c:v>
                </c:pt>
                <c:pt idx="35">
                  <c:v>2.3540496441329443E-2</c:v>
                </c:pt>
                <c:pt idx="36">
                  <c:v>2.4330783571198038E-2</c:v>
                </c:pt>
                <c:pt idx="37">
                  <c:v>2.5129710007575412E-2</c:v>
                </c:pt>
                <c:pt idx="38">
                  <c:v>2.59372809880332E-2</c:v>
                </c:pt>
                <c:pt idx="39">
                  <c:v>2.6753501839368317E-2</c:v>
                </c:pt>
                <c:pt idx="40">
                  <c:v>2.757837797771439E-2</c:v>
                </c:pt>
                <c:pt idx="41">
                  <c:v>2.8411914908655314E-2</c:v>
                </c:pt>
                <c:pt idx="42">
                  <c:v>2.9254118227341336E-2</c:v>
                </c:pt>
                <c:pt idx="43">
                  <c:v>3.010499361860728E-2</c:v>
                </c:pt>
                <c:pt idx="44">
                  <c:v>3.0964546857093211E-2</c:v>
                </c:pt>
                <c:pt idx="45">
                  <c:v>3.1832783807367378E-2</c:v>
                </c:pt>
                <c:pt idx="46">
                  <c:v>3.270971042405154E-2</c:v>
                </c:pt>
                <c:pt idx="47">
                  <c:v>3.3595332751948551E-2</c:v>
                </c:pt>
                <c:pt idx="48">
                  <c:v>3.4489656926172431E-2</c:v>
                </c:pt>
                <c:pt idx="49">
                  <c:v>3.5392689172280611E-2</c:v>
                </c:pt>
                <c:pt idx="50">
                  <c:v>3.6304435806408741E-2</c:v>
                </c:pt>
                <c:pt idx="51">
                  <c:v>3.7224903235407683E-2</c:v>
                </c:pt>
                <c:pt idx="52">
                  <c:v>3.8154097956982963E-2</c:v>
                </c:pt>
                <c:pt idx="53">
                  <c:v>3.9092026559836623E-2</c:v>
                </c:pt>
                <c:pt idx="54">
                  <c:v>4.0038695723811427E-2</c:v>
                </c:pt>
                <c:pt idx="55">
                  <c:v>4.0994112220037397E-2</c:v>
                </c:pt>
                <c:pt idx="56">
                  <c:v>4.1958282911080863E-2</c:v>
                </c:pt>
                <c:pt idx="57">
                  <c:v>4.2931214751095848E-2</c:v>
                </c:pt>
                <c:pt idx="58">
                  <c:v>4.3912914785977829E-2</c:v>
                </c:pt>
                <c:pt idx="59">
                  <c:v>4.4903390153520052E-2</c:v>
                </c:pt>
                <c:pt idx="60">
                  <c:v>4.5902648083572035E-2</c:v>
                </c:pt>
                <c:pt idx="61">
                  <c:v>4.6910695898200828E-2</c:v>
                </c:pt>
                <c:pt idx="62">
                  <c:v>4.792754101185432E-2</c:v>
                </c:pt>
                <c:pt idx="63">
                  <c:v>4.8953190931527411E-2</c:v>
                </c:pt>
                <c:pt idx="64">
                  <c:v>4.9987653256930248E-2</c:v>
                </c:pt>
                <c:pt idx="65">
                  <c:v>5.1030935680659223E-2</c:v>
                </c:pt>
                <c:pt idx="66">
                  <c:v>5.2083045988370213E-2</c:v>
                </c:pt>
                <c:pt idx="67">
                  <c:v>5.3143992058954523E-2</c:v>
                </c:pt>
                <c:pt idx="68">
                  <c:v>5.4213781864717037E-2</c:v>
                </c:pt>
                <c:pt idx="69">
                  <c:v>5.5292423471557141E-2</c:v>
                </c:pt>
                <c:pt idx="70">
                  <c:v>5.637992503915195E-2</c:v>
                </c:pt>
                <c:pt idx="71">
                  <c:v>5.7476294821142131E-2</c:v>
                </c:pt>
                <c:pt idx="72">
                  <c:v>5.8581541165320196E-2</c:v>
                </c:pt>
                <c:pt idx="73">
                  <c:v>5.9695672513821338E-2</c:v>
                </c:pt>
                <c:pt idx="74">
                  <c:v>6.0818697403316906E-2</c:v>
                </c:pt>
                <c:pt idx="75">
                  <c:v>6.1950624465210179E-2</c:v>
                </c:pt>
                <c:pt idx="76">
                  <c:v>6.3091462425834952E-2</c:v>
                </c:pt>
                <c:pt idx="77">
                  <c:v>6.4241220106656449E-2</c:v>
                </c:pt>
                <c:pt idx="78">
                  <c:v>6.5399906424475115E-2</c:v>
                </c:pt>
                <c:pt idx="79">
                  <c:v>6.6567530391632573E-2</c:v>
                </c:pt>
                <c:pt idx="80">
                  <c:v>6.7744101116220548E-2</c:v>
                </c:pt>
                <c:pt idx="81">
                  <c:v>6.8929627802292157E-2</c:v>
                </c:pt>
                <c:pt idx="82">
                  <c:v>7.0124119750075931E-2</c:v>
                </c:pt>
                <c:pt idx="83">
                  <c:v>7.1327586356192352E-2</c:v>
                </c:pt>
                <c:pt idx="84">
                  <c:v>7.2540037113873176E-2</c:v>
                </c:pt>
                <c:pt idx="85">
                  <c:v>7.3761481613183064E-2</c:v>
                </c:pt>
                <c:pt idx="86">
                  <c:v>7.4991929541244423E-2</c:v>
                </c:pt>
                <c:pt idx="87">
                  <c:v>7.6231390682464248E-2</c:v>
                </c:pt>
                <c:pt idx="88">
                  <c:v>7.7479874918764152E-2</c:v>
                </c:pt>
                <c:pt idx="89">
                  <c:v>7.8737392229812783E-2</c:v>
                </c:pt>
                <c:pt idx="90">
                  <c:v>8.0003952693261091E-2</c:v>
                </c:pt>
                <c:pt idx="91">
                  <c:v>8.1279566484980095E-2</c:v>
                </c:pt>
                <c:pt idx="92">
                  <c:v>8.2564243879301766E-2</c:v>
                </c:pt>
                <c:pt idx="93">
                  <c:v>8.385799524926206E-2</c:v>
                </c:pt>
                <c:pt idx="94">
                  <c:v>8.5160831066847173E-2</c:v>
                </c:pt>
                <c:pt idx="95">
                  <c:v>8.6472761903242254E-2</c:v>
                </c:pt>
                <c:pt idx="96">
                  <c:v>8.7793798429083178E-2</c:v>
                </c:pt>
                <c:pt idx="97">
                  <c:v>8.9123951414710564E-2</c:v>
                </c:pt>
                <c:pt idx="98">
                  <c:v>9.0463231730427224E-2</c:v>
                </c:pt>
                <c:pt idx="99">
                  <c:v>9.1811650346757909E-2</c:v>
                </c:pt>
                <c:pt idx="100">
                  <c:v>9.3169218334712131E-2</c:v>
                </c:pt>
                <c:pt idx="101">
                  <c:v>9.4535946866049533E-2</c:v>
                </c:pt>
                <c:pt idx="102">
                  <c:v>9.5911847213548507E-2</c:v>
                </c:pt>
                <c:pt idx="103">
                  <c:v>9.7296930751277252E-2</c:v>
                </c:pt>
                <c:pt idx="104">
                  <c:v>9.8691208954867923E-2</c:v>
                </c:pt>
                <c:pt idx="105">
                  <c:v>0.10009469340179349</c:v>
                </c:pt>
                <c:pt idx="106">
                  <c:v>0.10150739577164766</c:v>
                </c:pt>
                <c:pt idx="107">
                  <c:v>0.10292932784642758</c:v>
                </c:pt>
                <c:pt idx="108">
                  <c:v>0.10436050151081951</c:v>
                </c:pt>
                <c:pt idx="109">
                  <c:v>0.10580092875248719</c:v>
                </c:pt>
                <c:pt idx="110">
                  <c:v>0.10725062166236356</c:v>
                </c:pt>
                <c:pt idx="111">
                  <c:v>0.10870959243494516</c:v>
                </c:pt>
                <c:pt idx="112">
                  <c:v>0.11017785336858935</c:v>
                </c:pt>
                <c:pt idx="113">
                  <c:v>0.11165541686581502</c:v>
                </c:pt>
                <c:pt idx="114">
                  <c:v>0.11314229543360571</c:v>
                </c:pt>
                <c:pt idx="115">
                  <c:v>0.11463850168371599</c:v>
                </c:pt>
                <c:pt idx="116">
                  <c:v>0.11614404833298118</c:v>
                </c:pt>
                <c:pt idx="117">
                  <c:v>0.11765894820362945</c:v>
                </c:pt>
                <c:pt idx="118">
                  <c:v>0.11918321422359737</c:v>
                </c:pt>
                <c:pt idx="119">
                  <c:v>0.12071685942684869</c:v>
                </c:pt>
                <c:pt idx="120">
                  <c:v>0.12225989695369589</c:v>
                </c:pt>
                <c:pt idx="121">
                  <c:v>0.12381234005112489</c:v>
                </c:pt>
                <c:pt idx="122">
                  <c:v>0.12537420207312283</c:v>
                </c:pt>
                <c:pt idx="123">
                  <c:v>0.12694549648100928</c:v>
                </c:pt>
                <c:pt idx="124">
                  <c:v>0.12852623684377032</c:v>
                </c:pt>
                <c:pt idx="125">
                  <c:v>0.13011643683839574</c:v>
                </c:pt>
                <c:pt idx="126">
                  <c:v>0.13171611025021956</c:v>
                </c:pt>
                <c:pt idx="127">
                  <c:v>0.13332527097326385</c:v>
                </c:pt>
                <c:pt idx="128">
                  <c:v>0.13494393301058549</c:v>
                </c:pt>
                <c:pt idx="129">
                  <c:v>0.13657211047462622</c:v>
                </c:pt>
                <c:pt idx="130">
                  <c:v>0.13820981758756631</c:v>
                </c:pt>
                <c:pt idx="131">
                  <c:v>0.13985706868168085</c:v>
                </c:pt>
                <c:pt idx="132">
                  <c:v>0.14151387819969993</c:v>
                </c:pt>
                <c:pt idx="133">
                  <c:v>0.14318026069517176</c:v>
                </c:pt>
                <c:pt idx="134">
                  <c:v>0.14485623083282914</c:v>
                </c:pt>
                <c:pt idx="135">
                  <c:v>0.14654180338895945</c:v>
                </c:pt>
                <c:pt idx="136">
                  <c:v>0.14823699325177778</c:v>
                </c:pt>
                <c:pt idx="137">
                  <c:v>0.14994181542180365</c:v>
                </c:pt>
                <c:pt idx="138">
                  <c:v>0.15165628501224088</c:v>
                </c:pt>
                <c:pt idx="139">
                  <c:v>0.15338041724936105</c:v>
                </c:pt>
                <c:pt idx="140">
                  <c:v>0.1551142274728903</c:v>
                </c:pt>
                <c:pt idx="141">
                  <c:v>0.15685773113639978</c:v>
                </c:pt>
                <c:pt idx="142">
                  <c:v>0.15861094380769891</c:v>
                </c:pt>
                <c:pt idx="143">
                  <c:v>0.16037388116923332</c:v>
                </c:pt>
                <c:pt idx="144">
                  <c:v>0.1621465590184851</c:v>
                </c:pt>
                <c:pt idx="145">
                  <c:v>0.1639289932683769</c:v>
                </c:pt>
                <c:pt idx="146">
                  <c:v>0.16572119994768064</c:v>
                </c:pt>
                <c:pt idx="147">
                  <c:v>0.16752319520142775</c:v>
                </c:pt>
                <c:pt idx="148">
                  <c:v>0.16933499529132504</c:v>
                </c:pt>
                <c:pt idx="149">
                  <c:v>0.17115661659617276</c:v>
                </c:pt>
                <c:pt idx="150">
                  <c:v>0.1729880756122871</c:v>
                </c:pt>
                <c:pt idx="151">
                  <c:v>0.17482938895392591</c:v>
                </c:pt>
                <c:pt idx="152">
                  <c:v>0.17668057335371845</c:v>
                </c:pt>
                <c:pt idx="153">
                  <c:v>0.17854164566309813</c:v>
                </c:pt>
                <c:pt idx="154">
                  <c:v>0.18041262285274035</c:v>
                </c:pt>
                <c:pt idx="155">
                  <c:v>0.18229352201300222</c:v>
                </c:pt>
                <c:pt idx="156">
                  <c:v>0.18418436035436767</c:v>
                </c:pt>
                <c:pt idx="157">
                  <c:v>0.18608515520789556</c:v>
                </c:pt>
                <c:pt idx="158">
                  <c:v>0.18799592402567158</c:v>
                </c:pt>
                <c:pt idx="159">
                  <c:v>0.18991668438126436</c:v>
                </c:pt>
                <c:pt idx="160">
                  <c:v>0.19184745397018496</c:v>
                </c:pt>
                <c:pt idx="161">
                  <c:v>0.19378825061035068</c:v>
                </c:pt>
                <c:pt idx="162">
                  <c:v>0.19573909224255273</c:v>
                </c:pt>
                <c:pt idx="163">
                  <c:v>0.19769999693092727</c:v>
                </c:pt>
                <c:pt idx="164">
                  <c:v>0.19967098286343116</c:v>
                </c:pt>
                <c:pt idx="165">
                  <c:v>0.20165206835232113</c:v>
                </c:pt>
                <c:pt idx="166">
                  <c:v>0.20364327183463748</c:v>
                </c:pt>
                <c:pt idx="167">
                  <c:v>0.20564461187269101</c:v>
                </c:pt>
                <c:pt idx="168">
                  <c:v>0.2076561071545549</c:v>
                </c:pt>
                <c:pt idx="169">
                  <c:v>0.2096777764945599</c:v>
                </c:pt>
                <c:pt idx="170">
                  <c:v>0.21170963883379434</c:v>
                </c:pt>
                <c:pt idx="171">
                  <c:v>0.21375171324060768</c:v>
                </c:pt>
                <c:pt idx="172">
                  <c:v>0.21580401891111833</c:v>
                </c:pt>
                <c:pt idx="173">
                  <c:v>0.21786657516972585</c:v>
                </c:pt>
                <c:pt idx="174">
                  <c:v>0.21993940146962765</c:v>
                </c:pt>
                <c:pt idx="175">
                  <c:v>0.22202251739333861</c:v>
                </c:pt>
                <c:pt idx="176">
                  <c:v>0.22411594265321694</c:v>
                </c:pt>
                <c:pt idx="177">
                  <c:v>0.22621969709199247</c:v>
                </c:pt>
                <c:pt idx="178">
                  <c:v>0.22833380068330048</c:v>
                </c:pt>
                <c:pt idx="179">
                  <c:v>0.23045827353221959</c:v>
                </c:pt>
                <c:pt idx="180">
                  <c:v>0.23259313587581343</c:v>
                </c:pt>
                <c:pt idx="181">
                  <c:v>0.23473840808367738</c:v>
                </c:pt>
                <c:pt idx="182">
                  <c:v>0.23689411065848989</c:v>
                </c:pt>
                <c:pt idx="183">
                  <c:v>0.23906026423656751</c:v>
                </c:pt>
                <c:pt idx="184">
                  <c:v>0.24123688958842496</c:v>
                </c:pt>
                <c:pt idx="185">
                  <c:v>0.24342400761933949</c:v>
                </c:pt>
                <c:pt idx="186">
                  <c:v>0.24562163936991993</c:v>
                </c:pt>
                <c:pt idx="187">
                  <c:v>0.24782980601668064</c:v>
                </c:pt>
                <c:pt idx="188">
                  <c:v>0.25004852887261914</c:v>
                </c:pt>
                <c:pt idx="189">
                  <c:v>0.25227782938779914</c:v>
                </c:pt>
                <c:pt idx="190">
                  <c:v>0.25451772914993853</c:v>
                </c:pt>
                <c:pt idx="191">
                  <c:v>0.25676824988500085</c:v>
                </c:pt>
                <c:pt idx="192">
                  <c:v>0.25902941345779285</c:v>
                </c:pt>
                <c:pt idx="193">
                  <c:v>0.26130124187256576</c:v>
                </c:pt>
                <c:pt idx="194">
                  <c:v>0.26358375727362254</c:v>
                </c:pt>
                <c:pt idx="195">
                  <c:v>0.26587698194592835</c:v>
                </c:pt>
                <c:pt idx="196">
                  <c:v>0.26818093831572754</c:v>
                </c:pt>
                <c:pt idx="197">
                  <c:v>0.27049564895116485</c:v>
                </c:pt>
                <c:pt idx="198">
                  <c:v>0.27282113656291063</c:v>
                </c:pt>
                <c:pt idx="199">
                  <c:v>0.27515742400479298</c:v>
                </c:pt>
                <c:pt idx="200">
                  <c:v>0.27750453427443339</c:v>
                </c:pt>
              </c:numCache>
            </c:numRef>
          </c:yVal>
          <c:smooth val="0"/>
          <c:extLst>
            <c:ext xmlns:c16="http://schemas.microsoft.com/office/drawing/2014/chart" uri="{C3380CC4-5D6E-409C-BE32-E72D297353CC}">
              <c16:uniqueId val="{00000001-224D-4C5D-9638-87D4BF1AF418}"/>
            </c:ext>
          </c:extLst>
        </c:ser>
        <c:ser>
          <c:idx val="0"/>
          <c:order val="2"/>
          <c:tx>
            <c:v>Inductor Loss</c:v>
          </c:tx>
          <c:spPr>
            <a:ln w="38100">
              <a:solidFill>
                <a:srgbClr val="FF660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Calculations'!$Q$9:$Q$209</c:f>
              <c:numCache>
                <c:formatCode>0.0000</c:formatCode>
                <c:ptCount val="201"/>
                <c:pt idx="0">
                  <c:v>0.20136386589493738</c:v>
                </c:pt>
                <c:pt idx="1">
                  <c:v>0.20136854340398558</c:v>
                </c:pt>
                <c:pt idx="2">
                  <c:v>0.20138222291198479</c:v>
                </c:pt>
                <c:pt idx="3">
                  <c:v>0.20140490447803727</c:v>
                </c:pt>
                <c:pt idx="4">
                  <c:v>0.20143658820013896</c:v>
                </c:pt>
                <c:pt idx="5">
                  <c:v>0.20147727421518066</c:v>
                </c:pt>
                <c:pt idx="6">
                  <c:v>0.20152696269894943</c:v>
                </c:pt>
                <c:pt idx="7">
                  <c:v>0.20158565386613053</c:v>
                </c:pt>
                <c:pt idx="8">
                  <c:v>0.2016533479703097</c:v>
                </c:pt>
                <c:pt idx="9">
                  <c:v>0.20173004530397601</c:v>
                </c:pt>
                <c:pt idx="10">
                  <c:v>0.20181574619852483</c:v>
                </c:pt>
                <c:pt idx="11">
                  <c:v>0.20191045102426161</c:v>
                </c:pt>
                <c:pt idx="12">
                  <c:v>0.20201416019040572</c:v>
                </c:pt>
                <c:pt idx="13">
                  <c:v>0.20212687414509495</c:v>
                </c:pt>
                <c:pt idx="14">
                  <c:v>0.20224859337539036</c:v>
                </c:pt>
                <c:pt idx="15">
                  <c:v>0.20237931840728154</c:v>
                </c:pt>
                <c:pt idx="16">
                  <c:v>0.20251904980569224</c:v>
                </c:pt>
                <c:pt idx="17">
                  <c:v>0.20266778817448652</c:v>
                </c:pt>
                <c:pt idx="18">
                  <c:v>0.20282553415647522</c:v>
                </c:pt>
                <c:pt idx="19">
                  <c:v>0.20299228843342304</c:v>
                </c:pt>
                <c:pt idx="20">
                  <c:v>0.20316805172605573</c:v>
                </c:pt>
                <c:pt idx="21">
                  <c:v>0.20335282479406802</c:v>
                </c:pt>
                <c:pt idx="22">
                  <c:v>0.20354660843613176</c:v>
                </c:pt>
                <c:pt idx="23">
                  <c:v>0.20374940348990458</c:v>
                </c:pt>
                <c:pt idx="24">
                  <c:v>0.20396121083203889</c:v>
                </c:pt>
                <c:pt idx="25">
                  <c:v>0.20418203137819141</c:v>
                </c:pt>
                <c:pt idx="26">
                  <c:v>0.20441186608303313</c:v>
                </c:pt>
                <c:pt idx="27">
                  <c:v>0.20465071594025949</c:v>
                </c:pt>
                <c:pt idx="28">
                  <c:v>0.20489858198260119</c:v>
                </c:pt>
                <c:pt idx="29">
                  <c:v>0.2051554652818354</c:v>
                </c:pt>
                <c:pt idx="30">
                  <c:v>0.20542136694879728</c:v>
                </c:pt>
                <c:pt idx="31">
                  <c:v>0.20569628813339202</c:v>
                </c:pt>
                <c:pt idx="32">
                  <c:v>0.20598023002460733</c:v>
                </c:pt>
                <c:pt idx="33">
                  <c:v>0.2062731938505262</c:v>
                </c:pt>
                <c:pt idx="34">
                  <c:v>0.20657518087834023</c:v>
                </c:pt>
                <c:pt idx="35">
                  <c:v>0.2068861924143634</c:v>
                </c:pt>
                <c:pt idx="36">
                  <c:v>0.20720622980404613</c:v>
                </c:pt>
                <c:pt idx="37">
                  <c:v>0.20753529443198984</c:v>
                </c:pt>
                <c:pt idx="38">
                  <c:v>0.20787338772196198</c:v>
                </c:pt>
                <c:pt idx="39">
                  <c:v>0.20822051113691142</c:v>
                </c:pt>
                <c:pt idx="40">
                  <c:v>0.20857666617898429</c:v>
                </c:pt>
                <c:pt idx="41">
                  <c:v>0.20894185438954016</c:v>
                </c:pt>
                <c:pt idx="42">
                  <c:v>0.20931607734916893</c:v>
                </c:pt>
                <c:pt idx="43">
                  <c:v>0.20969933667770771</c:v>
                </c:pt>
                <c:pt idx="44">
                  <c:v>0.21009163403425854</c:v>
                </c:pt>
                <c:pt idx="45">
                  <c:v>0.2104929711172063</c:v>
                </c:pt>
                <c:pt idx="46">
                  <c:v>0.21090334966423704</c:v>
                </c:pt>
                <c:pt idx="47">
                  <c:v>0.21132277145235695</c:v>
                </c:pt>
                <c:pt idx="48">
                  <c:v>0.21175123829791148</c:v>
                </c:pt>
                <c:pt idx="49">
                  <c:v>0.21218875205660509</c:v>
                </c:pt>
                <c:pt idx="50">
                  <c:v>0.21263531462352142</c:v>
                </c:pt>
                <c:pt idx="51">
                  <c:v>0.21309092793314366</c:v>
                </c:pt>
                <c:pt idx="52">
                  <c:v>0.21355559395937573</c:v>
                </c:pt>
                <c:pt idx="53">
                  <c:v>0.21402931471556358</c:v>
                </c:pt>
                <c:pt idx="54">
                  <c:v>0.21451209225451701</c:v>
                </c:pt>
                <c:pt idx="55">
                  <c:v>0.21500392866853194</c:v>
                </c:pt>
                <c:pt idx="56">
                  <c:v>0.21550482608941321</c:v>
                </c:pt>
                <c:pt idx="57">
                  <c:v>0.21601478668849761</c:v>
                </c:pt>
                <c:pt idx="58">
                  <c:v>0.21653381267667746</c:v>
                </c:pt>
                <c:pt idx="59">
                  <c:v>0.21706190630442462</c:v>
                </c:pt>
                <c:pt idx="60">
                  <c:v>0.21759906986181501</c:v>
                </c:pt>
                <c:pt idx="61">
                  <c:v>0.21814530567855328</c:v>
                </c:pt>
                <c:pt idx="62">
                  <c:v>0.21870061612399833</c:v>
                </c:pt>
                <c:pt idx="63">
                  <c:v>0.2192650036071889</c:v>
                </c:pt>
                <c:pt idx="64">
                  <c:v>0.21983847057686975</c:v>
                </c:pt>
                <c:pt idx="65">
                  <c:v>0.22042101952151844</c:v>
                </c:pt>
                <c:pt idx="66">
                  <c:v>0.22101265296937214</c:v>
                </c:pt>
                <c:pt idx="67">
                  <c:v>0.22161337348845531</c:v>
                </c:pt>
                <c:pt idx="68">
                  <c:v>0.22222318368660743</c:v>
                </c:pt>
                <c:pt idx="69">
                  <c:v>0.22284208621151164</c:v>
                </c:pt>
                <c:pt idx="70">
                  <c:v>0.22347008375072322</c:v>
                </c:pt>
                <c:pt idx="71">
                  <c:v>0.22410717903169908</c:v>
                </c:pt>
                <c:pt idx="72">
                  <c:v>0.22475337482182733</c:v>
                </c:pt>
                <c:pt idx="73">
                  <c:v>0.22540867392845745</c:v>
                </c:pt>
                <c:pt idx="74">
                  <c:v>0.22607307919893077</c:v>
                </c:pt>
                <c:pt idx="75">
                  <c:v>0.22674659352061161</c:v>
                </c:pt>
                <c:pt idx="76">
                  <c:v>0.2274292198209186</c:v>
                </c:pt>
                <c:pt idx="77">
                  <c:v>0.22812096106735669</c:v>
                </c:pt>
                <c:pt idx="78">
                  <c:v>0.22882182026754938</c:v>
                </c:pt>
                <c:pt idx="79">
                  <c:v>0.22953180046927163</c:v>
                </c:pt>
                <c:pt idx="80">
                  <c:v>0.23025090476048291</c:v>
                </c:pt>
                <c:pt idx="81">
                  <c:v>0.23097913626936106</c:v>
                </c:pt>
                <c:pt idx="82">
                  <c:v>0.23171649816433637</c:v>
                </c:pt>
                <c:pt idx="83">
                  <c:v>0.23246299365412601</c:v>
                </c:pt>
                <c:pt idx="84">
                  <c:v>0.23321862598776921</c:v>
                </c:pt>
                <c:pt idx="85">
                  <c:v>0.23398339845466271</c:v>
                </c:pt>
                <c:pt idx="86">
                  <c:v>0.23475731438459657</c:v>
                </c:pt>
                <c:pt idx="87">
                  <c:v>0.23554037714779061</c:v>
                </c:pt>
                <c:pt idx="88">
                  <c:v>0.2363325901549313</c:v>
                </c:pt>
                <c:pt idx="89">
                  <c:v>0.23713395685720884</c:v>
                </c:pt>
                <c:pt idx="90">
                  <c:v>0.23794448074635516</c:v>
                </c:pt>
                <c:pt idx="91">
                  <c:v>0.23876416535468181</c:v>
                </c:pt>
                <c:pt idx="92">
                  <c:v>0.23959301425511878</c:v>
                </c:pt>
                <c:pt idx="93">
                  <c:v>0.24043103106125349</c:v>
                </c:pt>
                <c:pt idx="94">
                  <c:v>0.24127821942737043</c:v>
                </c:pt>
                <c:pt idx="95">
                  <c:v>0.24213458304849106</c:v>
                </c:pt>
                <c:pt idx="96">
                  <c:v>0.24300012566041435</c:v>
                </c:pt>
                <c:pt idx="97">
                  <c:v>0.24387485103975759</c:v>
                </c:pt>
                <c:pt idx="98">
                  <c:v>0.24475876300399793</c:v>
                </c:pt>
                <c:pt idx="99">
                  <c:v>0.24565186541151401</c:v>
                </c:pt>
                <c:pt idx="100">
                  <c:v>0.24655416216162851</c:v>
                </c:pt>
                <c:pt idx="101">
                  <c:v>0.24746565719465063</c:v>
                </c:pt>
                <c:pt idx="102">
                  <c:v>0.24838635449191948</c:v>
                </c:pt>
                <c:pt idx="103">
                  <c:v>0.24931625807584779</c:v>
                </c:pt>
                <c:pt idx="104">
                  <c:v>0.25025537200996595</c:v>
                </c:pt>
                <c:pt idx="105">
                  <c:v>0.25120370039896667</c:v>
                </c:pt>
                <c:pt idx="106">
                  <c:v>0.25216124738875001</c:v>
                </c:pt>
                <c:pt idx="107">
                  <c:v>0.25312801716646915</c:v>
                </c:pt>
                <c:pt idx="108">
                  <c:v>0.25410401396057619</c:v>
                </c:pt>
                <c:pt idx="109">
                  <c:v>0.25508924204086852</c:v>
                </c:pt>
                <c:pt idx="110">
                  <c:v>0.25608370571853611</c:v>
                </c:pt>
                <c:pt idx="111">
                  <c:v>0.25708740934620877</c:v>
                </c:pt>
                <c:pt idx="112">
                  <c:v>0.25810035731800396</c:v>
                </c:pt>
                <c:pt idx="113">
                  <c:v>0.25912255406957529</c:v>
                </c:pt>
                <c:pt idx="114">
                  <c:v>0.26015400407816136</c:v>
                </c:pt>
                <c:pt idx="115">
                  <c:v>0.26119471186263504</c:v>
                </c:pt>
                <c:pt idx="116">
                  <c:v>0.26224468198355322</c:v>
                </c:pt>
                <c:pt idx="117">
                  <c:v>0.26330391904320721</c:v>
                </c:pt>
                <c:pt idx="118">
                  <c:v>0.26437242768567343</c:v>
                </c:pt>
                <c:pt idx="119">
                  <c:v>0.26545021259686452</c:v>
                </c:pt>
                <c:pt idx="120">
                  <c:v>0.2665372785045812</c:v>
                </c:pt>
                <c:pt idx="121">
                  <c:v>0.26763363017856473</c:v>
                </c:pt>
                <c:pt idx="122">
                  <c:v>0.26873927243054879</c:v>
                </c:pt>
                <c:pt idx="123">
                  <c:v>0.26985421011431343</c:v>
                </c:pt>
                <c:pt idx="124">
                  <c:v>0.27097844812573846</c:v>
                </c:pt>
                <c:pt idx="125">
                  <c:v>0.27211199140285747</c:v>
                </c:pt>
                <c:pt idx="126">
                  <c:v>0.27325484492591234</c:v>
                </c:pt>
                <c:pt idx="127">
                  <c:v>0.27440701371740883</c:v>
                </c:pt>
                <c:pt idx="128">
                  <c:v>0.27556850284217166</c:v>
                </c:pt>
                <c:pt idx="129">
                  <c:v>0.27673931740740088</c:v>
                </c:pt>
                <c:pt idx="130">
                  <c:v>0.27791946256272837</c:v>
                </c:pt>
                <c:pt idx="131">
                  <c:v>0.27910894350027482</c:v>
                </c:pt>
                <c:pt idx="132">
                  <c:v>0.28030776545470748</c:v>
                </c:pt>
                <c:pt idx="133">
                  <c:v>0.28151593370329803</c:v>
                </c:pt>
                <c:pt idx="134">
                  <c:v>0.28273345356598134</c:v>
                </c:pt>
                <c:pt idx="135">
                  <c:v>0.28396033040541424</c:v>
                </c:pt>
                <c:pt idx="136">
                  <c:v>0.28519656962703527</c:v>
                </c:pt>
                <c:pt idx="137">
                  <c:v>0.2864421766791248</c:v>
                </c:pt>
                <c:pt idx="138">
                  <c:v>0.2876971570528653</c:v>
                </c:pt>
                <c:pt idx="139">
                  <c:v>0.28896151628240274</c:v>
                </c:pt>
                <c:pt idx="140">
                  <c:v>0.29023525994490773</c:v>
                </c:pt>
                <c:pt idx="141">
                  <c:v>0.29151839366063814</c:v>
                </c:pt>
                <c:pt idx="142">
                  <c:v>0.29281092309300105</c:v>
                </c:pt>
                <c:pt idx="143">
                  <c:v>0.2941128539486163</c:v>
                </c:pt>
                <c:pt idx="144">
                  <c:v>0.29542419197737979</c:v>
                </c:pt>
                <c:pt idx="145">
                  <c:v>0.29674494297252774</c:v>
                </c:pt>
                <c:pt idx="146">
                  <c:v>0.29807511277070137</c:v>
                </c:pt>
                <c:pt idx="147">
                  <c:v>0.29941470725201158</c:v>
                </c:pt>
                <c:pt idx="148">
                  <c:v>0.30076373234010512</c:v>
                </c:pt>
                <c:pt idx="149">
                  <c:v>0.30212219400223056</c:v>
                </c:pt>
                <c:pt idx="150">
                  <c:v>0.30349009824930473</c:v>
                </c:pt>
                <c:pt idx="151">
                  <c:v>0.30486745113598024</c:v>
                </c:pt>
                <c:pt idx="152">
                  <c:v>0.30625425876071299</c:v>
                </c:pt>
                <c:pt idx="153">
                  <c:v>0.30765052726583031</c:v>
                </c:pt>
                <c:pt idx="154">
                  <c:v>0.30905626283760013</c:v>
                </c:pt>
                <c:pt idx="155">
                  <c:v>0.31047147170629963</c:v>
                </c:pt>
                <c:pt idx="156">
                  <c:v>0.31189616014628563</c:v>
                </c:pt>
                <c:pt idx="157">
                  <c:v>0.31333033447606468</c:v>
                </c:pt>
                <c:pt idx="158">
                  <c:v>0.31477400105836362</c:v>
                </c:pt>
                <c:pt idx="159">
                  <c:v>0.31622716630020165</c:v>
                </c:pt>
                <c:pt idx="160">
                  <c:v>0.31768983665296141</c:v>
                </c:pt>
                <c:pt idx="161">
                  <c:v>0.31916201861246207</c:v>
                </c:pt>
                <c:pt idx="162">
                  <c:v>0.3206437187190323</c:v>
                </c:pt>
                <c:pt idx="163">
                  <c:v>0.32213494355758332</c:v>
                </c:pt>
                <c:pt idx="164">
                  <c:v>0.32363569975768336</c:v>
                </c:pt>
                <c:pt idx="165">
                  <c:v>0.3251459939936322</c:v>
                </c:pt>
                <c:pt idx="166">
                  <c:v>0.32666583298453611</c:v>
                </c:pt>
                <c:pt idx="167">
                  <c:v>0.32819522349438368</c:v>
                </c:pt>
                <c:pt idx="168">
                  <c:v>0.32973417233212243</c:v>
                </c:pt>
                <c:pt idx="169">
                  <c:v>0.33128268635173463</c:v>
                </c:pt>
                <c:pt idx="170">
                  <c:v>0.33284077245231553</c:v>
                </c:pt>
                <c:pt idx="171">
                  <c:v>0.33440843757815086</c:v>
                </c:pt>
                <c:pt idx="172">
                  <c:v>0.33598568871879525</c:v>
                </c:pt>
                <c:pt idx="173">
                  <c:v>0.33757253290915118</c:v>
                </c:pt>
                <c:pt idx="174">
                  <c:v>0.33916897722954875</c:v>
                </c:pt>
                <c:pt idx="175">
                  <c:v>0.34077502880582544</c:v>
                </c:pt>
                <c:pt idx="176">
                  <c:v>0.34239069480940676</c:v>
                </c:pt>
                <c:pt idx="177">
                  <c:v>0.34401598245738785</c:v>
                </c:pt>
                <c:pt idx="178">
                  <c:v>0.34565089901261487</c:v>
                </c:pt>
                <c:pt idx="179">
                  <c:v>0.34729545178376736</c:v>
                </c:pt>
                <c:pt idx="180">
                  <c:v>0.34894964812544138</c:v>
                </c:pt>
                <c:pt idx="181">
                  <c:v>0.35061349543823245</c:v>
                </c:pt>
                <c:pt idx="182">
                  <c:v>0.35228700116882028</c:v>
                </c:pt>
                <c:pt idx="183">
                  <c:v>0.35397017281005283</c:v>
                </c:pt>
                <c:pt idx="184">
                  <c:v>0.35566301790103166</c:v>
                </c:pt>
                <c:pt idx="185">
                  <c:v>0.35736554402719756</c:v>
                </c:pt>
                <c:pt idx="186">
                  <c:v>0.35907775882041704</c:v>
                </c:pt>
                <c:pt idx="187">
                  <c:v>0.3607996699590692</c:v>
                </c:pt>
                <c:pt idx="188">
                  <c:v>0.36253128516813304</c:v>
                </c:pt>
                <c:pt idx="189">
                  <c:v>0.36427261221927554</c:v>
                </c:pt>
                <c:pt idx="190">
                  <c:v>0.36602365893094058</c:v>
                </c:pt>
                <c:pt idx="191">
                  <c:v>0.36778443316843767</c:v>
                </c:pt>
                <c:pt idx="192">
                  <c:v>0.3695549428440324</c:v>
                </c:pt>
                <c:pt idx="193">
                  <c:v>0.37133519591703612</c:v>
                </c:pt>
                <c:pt idx="194">
                  <c:v>0.37312520039389757</c:v>
                </c:pt>
                <c:pt idx="195">
                  <c:v>0.3749249643282937</c:v>
                </c:pt>
                <c:pt idx="196">
                  <c:v>0.37673449582122287</c:v>
                </c:pt>
                <c:pt idx="197">
                  <c:v>0.37855380302109687</c:v>
                </c:pt>
                <c:pt idx="198">
                  <c:v>0.38038289412383419</c:v>
                </c:pt>
                <c:pt idx="199">
                  <c:v>0.38222177737295465</c:v>
                </c:pt>
                <c:pt idx="200">
                  <c:v>0.38407046105967363</c:v>
                </c:pt>
              </c:numCache>
            </c:numRef>
          </c:yVal>
          <c:smooth val="0"/>
          <c:extLst>
            <c:ext xmlns:c16="http://schemas.microsoft.com/office/drawing/2014/chart" uri="{C3380CC4-5D6E-409C-BE32-E72D297353CC}">
              <c16:uniqueId val="{00000002-224D-4C5D-9638-87D4BF1AF418}"/>
            </c:ext>
          </c:extLst>
        </c:ser>
        <c:dLbls>
          <c:showLegendKey val="0"/>
          <c:showVal val="0"/>
          <c:showCatName val="0"/>
          <c:showSerName val="0"/>
          <c:showPercent val="0"/>
          <c:showBubbleSize val="0"/>
        </c:dLbls>
        <c:axId val="177296512"/>
        <c:axId val="177298432"/>
      </c:scatterChart>
      <c:valAx>
        <c:axId val="177296512"/>
        <c:scaling>
          <c:orientation val="minMax"/>
          <c:min val="0"/>
        </c:scaling>
        <c:delete val="0"/>
        <c:axPos val="b"/>
        <c:majorGridlines/>
        <c:title>
          <c:tx>
            <c:rich>
              <a:bodyPr/>
              <a:lstStyle/>
              <a:p>
                <a:pPr>
                  <a:defRPr sz="975" b="1" i="0" u="none" strike="noStrike" baseline="0">
                    <a:solidFill>
                      <a:srgbClr val="000000"/>
                    </a:solidFill>
                    <a:latin typeface="Arial"/>
                    <a:ea typeface="Arial"/>
                    <a:cs typeface="Arial"/>
                  </a:defRPr>
                </a:pPr>
                <a:r>
                  <a:rPr lang="en-US"/>
                  <a:t>Iout (A)</a:t>
                </a:r>
              </a:p>
            </c:rich>
          </c:tx>
          <c:layout>
            <c:manualLayout>
              <c:xMode val="edge"/>
              <c:yMode val="edge"/>
              <c:x val="0.47898089171975411"/>
              <c:y val="0.92540407247481904"/>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8432"/>
        <c:crosses val="autoZero"/>
        <c:crossBetween val="midCat"/>
      </c:valAx>
      <c:valAx>
        <c:axId val="177298432"/>
        <c:scaling>
          <c:orientation val="minMax"/>
        </c:scaling>
        <c:delete val="0"/>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rPr lang="en-US"/>
                  <a:t>Power Disipation (W)</a:t>
                </a:r>
              </a:p>
            </c:rich>
          </c:tx>
          <c:layout>
            <c:manualLayout>
              <c:xMode val="edge"/>
              <c:yMode val="edge"/>
              <c:x val="1.9108280254777267E-2"/>
              <c:y val="0.37298429430192653"/>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75" b="1" i="0" u="none" strike="noStrike" baseline="0">
                <a:solidFill>
                  <a:srgbClr val="000000"/>
                </a:solidFill>
                <a:latin typeface="Arial"/>
                <a:ea typeface="Arial"/>
                <a:cs typeface="Arial"/>
              </a:defRPr>
            </a:pPr>
            <a:endParaRPr lang="en-US"/>
          </a:p>
        </c:txPr>
        <c:crossAx val="177296512"/>
        <c:crosses val="autoZero"/>
        <c:crossBetween val="midCat"/>
      </c:valAx>
      <c:spPr>
        <a:solidFill>
          <a:srgbClr val="C0C0C0"/>
        </a:solidFill>
        <a:ln w="12700">
          <a:solidFill>
            <a:srgbClr val="808080"/>
          </a:solidFill>
          <a:prstDash val="solid"/>
        </a:ln>
      </c:spPr>
    </c:plotArea>
    <c:legend>
      <c:legendPos val="r"/>
      <c:layout>
        <c:manualLayout>
          <c:xMode val="edge"/>
          <c:yMode val="edge"/>
          <c:x val="0.84585987261148066"/>
          <c:y val="1.0080645161290319E-2"/>
          <c:w val="0.14904458598726408"/>
          <c:h val="0.1290324697316062"/>
        </c:manualLayout>
      </c:layout>
      <c:overlay val="0"/>
      <c:spPr>
        <a:solidFill>
          <a:srgbClr val="FFFFFF"/>
        </a:solidFill>
        <a:ln w="3175">
          <a:solidFill>
            <a:srgbClr val="000000"/>
          </a:solidFill>
          <a:prstDash val="solid"/>
        </a:ln>
      </c:spPr>
      <c:txPr>
        <a:bodyPr/>
        <a:lstStyle/>
        <a:p>
          <a:pPr>
            <a:defRPr sz="82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 Overall Efficiency</a:t>
            </a:r>
          </a:p>
        </c:rich>
      </c:tx>
      <c:layout>
        <c:manualLayout>
          <c:xMode val="edge"/>
          <c:yMode val="edge"/>
          <c:x val="0.41192468827576079"/>
          <c:y val="3.0241935483871732E-2"/>
        </c:manualLayout>
      </c:layout>
      <c:overlay val="0"/>
      <c:spPr>
        <a:noFill/>
        <a:ln w="25400">
          <a:noFill/>
        </a:ln>
      </c:spPr>
    </c:title>
    <c:autoTitleDeleted val="0"/>
    <c:plotArea>
      <c:layout>
        <c:manualLayout>
          <c:layoutTarget val="inner"/>
          <c:xMode val="edge"/>
          <c:yMode val="edge"/>
          <c:x val="0.12330639622818776"/>
          <c:y val="0.15927435034411094"/>
          <c:w val="0.80758914452747144"/>
          <c:h val="0.72983942815909986"/>
        </c:manualLayout>
      </c:layout>
      <c:scatterChart>
        <c:scatterStyle val="lineMarker"/>
        <c:varyColors val="0"/>
        <c:ser>
          <c:idx val="0"/>
          <c:order val="0"/>
          <c:spPr>
            <a:ln w="38100">
              <a:solidFill>
                <a:srgbClr val="000080"/>
              </a:solidFill>
              <a:prstDash val="solid"/>
            </a:ln>
          </c:spPr>
          <c:marker>
            <c:symbol val="none"/>
          </c:marker>
          <c:xVal>
            <c:numRef>
              <c:f>'Power Calculations'!$H$9:$H$209</c:f>
              <c:numCache>
                <c:formatCode>General</c:formatCode>
                <c:ptCount val="201"/>
                <c:pt idx="0">
                  <c:v>0</c:v>
                </c:pt>
                <c:pt idx="1">
                  <c:v>0.03</c:v>
                </c:pt>
                <c:pt idx="2">
                  <c:v>0.06</c:v>
                </c:pt>
                <c:pt idx="3">
                  <c:v>0.09</c:v>
                </c:pt>
                <c:pt idx="4">
                  <c:v>0.12</c:v>
                </c:pt>
                <c:pt idx="5">
                  <c:v>0.15000000000000002</c:v>
                </c:pt>
                <c:pt idx="6">
                  <c:v>0.18</c:v>
                </c:pt>
                <c:pt idx="7">
                  <c:v>0.21000000000000002</c:v>
                </c:pt>
                <c:pt idx="8">
                  <c:v>0.24</c:v>
                </c:pt>
                <c:pt idx="9">
                  <c:v>0.27</c:v>
                </c:pt>
                <c:pt idx="10">
                  <c:v>0.30000000000000004</c:v>
                </c:pt>
                <c:pt idx="11">
                  <c:v>0.33</c:v>
                </c:pt>
                <c:pt idx="12">
                  <c:v>0.36</c:v>
                </c:pt>
                <c:pt idx="13">
                  <c:v>0.39</c:v>
                </c:pt>
                <c:pt idx="14">
                  <c:v>0.42000000000000004</c:v>
                </c:pt>
                <c:pt idx="15">
                  <c:v>0.44999999999999996</c:v>
                </c:pt>
                <c:pt idx="16">
                  <c:v>0.48</c:v>
                </c:pt>
                <c:pt idx="17">
                  <c:v>0.51</c:v>
                </c:pt>
                <c:pt idx="18">
                  <c:v>0.54</c:v>
                </c:pt>
                <c:pt idx="19">
                  <c:v>0.57000000000000006</c:v>
                </c:pt>
                <c:pt idx="20">
                  <c:v>0.60000000000000009</c:v>
                </c:pt>
                <c:pt idx="21">
                  <c:v>0.63</c:v>
                </c:pt>
                <c:pt idx="22">
                  <c:v>0.66</c:v>
                </c:pt>
                <c:pt idx="23">
                  <c:v>0.69000000000000006</c:v>
                </c:pt>
                <c:pt idx="24">
                  <c:v>0.72</c:v>
                </c:pt>
                <c:pt idx="25">
                  <c:v>0.75</c:v>
                </c:pt>
                <c:pt idx="26">
                  <c:v>0.78</c:v>
                </c:pt>
                <c:pt idx="27">
                  <c:v>0.81</c:v>
                </c:pt>
                <c:pt idx="28">
                  <c:v>0.84000000000000008</c:v>
                </c:pt>
                <c:pt idx="29">
                  <c:v>0.86999999999999988</c:v>
                </c:pt>
                <c:pt idx="30">
                  <c:v>0.89999999999999991</c:v>
                </c:pt>
                <c:pt idx="31">
                  <c:v>0.92999999999999994</c:v>
                </c:pt>
                <c:pt idx="32">
                  <c:v>0.96</c:v>
                </c:pt>
                <c:pt idx="33">
                  <c:v>0.99</c:v>
                </c:pt>
                <c:pt idx="34">
                  <c:v>1.02</c:v>
                </c:pt>
                <c:pt idx="35">
                  <c:v>1.0499999999999998</c:v>
                </c:pt>
                <c:pt idx="36">
                  <c:v>1.08</c:v>
                </c:pt>
                <c:pt idx="37">
                  <c:v>1.1099999999999999</c:v>
                </c:pt>
                <c:pt idx="38">
                  <c:v>1.1400000000000001</c:v>
                </c:pt>
                <c:pt idx="39">
                  <c:v>1.17</c:v>
                </c:pt>
                <c:pt idx="40">
                  <c:v>1.2000000000000002</c:v>
                </c:pt>
                <c:pt idx="41">
                  <c:v>1.23</c:v>
                </c:pt>
                <c:pt idx="42">
                  <c:v>1.26</c:v>
                </c:pt>
                <c:pt idx="43">
                  <c:v>1.29</c:v>
                </c:pt>
                <c:pt idx="44">
                  <c:v>1.32</c:v>
                </c:pt>
                <c:pt idx="45">
                  <c:v>1.35</c:v>
                </c:pt>
                <c:pt idx="46">
                  <c:v>1.3800000000000001</c:v>
                </c:pt>
                <c:pt idx="47">
                  <c:v>1.41</c:v>
                </c:pt>
                <c:pt idx="48">
                  <c:v>1.44</c:v>
                </c:pt>
                <c:pt idx="49">
                  <c:v>1.47</c:v>
                </c:pt>
                <c:pt idx="50">
                  <c:v>1.5</c:v>
                </c:pt>
                <c:pt idx="51">
                  <c:v>1.53</c:v>
                </c:pt>
                <c:pt idx="52">
                  <c:v>1.56</c:v>
                </c:pt>
                <c:pt idx="53">
                  <c:v>1.59</c:v>
                </c:pt>
                <c:pt idx="54">
                  <c:v>1.62</c:v>
                </c:pt>
                <c:pt idx="55">
                  <c:v>1.6500000000000001</c:v>
                </c:pt>
                <c:pt idx="56">
                  <c:v>1.6800000000000002</c:v>
                </c:pt>
                <c:pt idx="57">
                  <c:v>1.71</c:v>
                </c:pt>
                <c:pt idx="58">
                  <c:v>1.7399999999999998</c:v>
                </c:pt>
                <c:pt idx="59">
                  <c:v>1.77</c:v>
                </c:pt>
                <c:pt idx="60">
                  <c:v>1.7999999999999998</c:v>
                </c:pt>
                <c:pt idx="61">
                  <c:v>1.83</c:v>
                </c:pt>
                <c:pt idx="62">
                  <c:v>1.8599999999999999</c:v>
                </c:pt>
                <c:pt idx="63">
                  <c:v>1.8900000000000001</c:v>
                </c:pt>
                <c:pt idx="64">
                  <c:v>1.92</c:v>
                </c:pt>
                <c:pt idx="65">
                  <c:v>1.9500000000000002</c:v>
                </c:pt>
                <c:pt idx="66">
                  <c:v>1.98</c:v>
                </c:pt>
                <c:pt idx="67">
                  <c:v>2.0100000000000002</c:v>
                </c:pt>
                <c:pt idx="68">
                  <c:v>2.04</c:v>
                </c:pt>
                <c:pt idx="69">
                  <c:v>2.0699999999999998</c:v>
                </c:pt>
                <c:pt idx="70">
                  <c:v>2.0999999999999996</c:v>
                </c:pt>
                <c:pt idx="71">
                  <c:v>2.13</c:v>
                </c:pt>
                <c:pt idx="72">
                  <c:v>2.16</c:v>
                </c:pt>
                <c:pt idx="73">
                  <c:v>2.19</c:v>
                </c:pt>
                <c:pt idx="74">
                  <c:v>2.2199999999999998</c:v>
                </c:pt>
                <c:pt idx="75">
                  <c:v>2.25</c:v>
                </c:pt>
                <c:pt idx="76">
                  <c:v>2.2800000000000002</c:v>
                </c:pt>
                <c:pt idx="77">
                  <c:v>2.31</c:v>
                </c:pt>
                <c:pt idx="78">
                  <c:v>2.34</c:v>
                </c:pt>
                <c:pt idx="79">
                  <c:v>2.37</c:v>
                </c:pt>
                <c:pt idx="80">
                  <c:v>2.4000000000000004</c:v>
                </c:pt>
                <c:pt idx="81">
                  <c:v>2.4300000000000002</c:v>
                </c:pt>
                <c:pt idx="82">
                  <c:v>2.46</c:v>
                </c:pt>
                <c:pt idx="83">
                  <c:v>2.4899999999999998</c:v>
                </c:pt>
                <c:pt idx="84">
                  <c:v>2.52</c:v>
                </c:pt>
                <c:pt idx="85">
                  <c:v>2.5499999999999998</c:v>
                </c:pt>
                <c:pt idx="86">
                  <c:v>2.58</c:v>
                </c:pt>
                <c:pt idx="87">
                  <c:v>2.61</c:v>
                </c:pt>
                <c:pt idx="88">
                  <c:v>2.64</c:v>
                </c:pt>
                <c:pt idx="89">
                  <c:v>2.67</c:v>
                </c:pt>
                <c:pt idx="90">
                  <c:v>2.7</c:v>
                </c:pt>
                <c:pt idx="91">
                  <c:v>2.73</c:v>
                </c:pt>
                <c:pt idx="92">
                  <c:v>2.7600000000000002</c:v>
                </c:pt>
                <c:pt idx="93">
                  <c:v>2.79</c:v>
                </c:pt>
                <c:pt idx="94">
                  <c:v>2.82</c:v>
                </c:pt>
                <c:pt idx="95">
                  <c:v>2.8499999999999996</c:v>
                </c:pt>
                <c:pt idx="96">
                  <c:v>2.88</c:v>
                </c:pt>
                <c:pt idx="97">
                  <c:v>2.91</c:v>
                </c:pt>
                <c:pt idx="98">
                  <c:v>2.94</c:v>
                </c:pt>
                <c:pt idx="99">
                  <c:v>2.9699999999999998</c:v>
                </c:pt>
                <c:pt idx="100">
                  <c:v>3</c:v>
                </c:pt>
                <c:pt idx="101">
                  <c:v>3.0300000000000002</c:v>
                </c:pt>
                <c:pt idx="102">
                  <c:v>3.06</c:v>
                </c:pt>
                <c:pt idx="103">
                  <c:v>3.09</c:v>
                </c:pt>
                <c:pt idx="104">
                  <c:v>3.12</c:v>
                </c:pt>
                <c:pt idx="105">
                  <c:v>3.1500000000000004</c:v>
                </c:pt>
                <c:pt idx="106">
                  <c:v>3.18</c:v>
                </c:pt>
                <c:pt idx="107">
                  <c:v>3.21</c:v>
                </c:pt>
                <c:pt idx="108">
                  <c:v>3.24</c:v>
                </c:pt>
                <c:pt idx="109">
                  <c:v>3.2700000000000005</c:v>
                </c:pt>
                <c:pt idx="110">
                  <c:v>3.3000000000000003</c:v>
                </c:pt>
                <c:pt idx="111">
                  <c:v>3.33</c:v>
                </c:pt>
                <c:pt idx="112">
                  <c:v>3.3600000000000003</c:v>
                </c:pt>
                <c:pt idx="113">
                  <c:v>3.3899999999999997</c:v>
                </c:pt>
                <c:pt idx="114">
                  <c:v>3.42</c:v>
                </c:pt>
                <c:pt idx="115">
                  <c:v>3.4499999999999997</c:v>
                </c:pt>
                <c:pt idx="116">
                  <c:v>3.4799999999999995</c:v>
                </c:pt>
                <c:pt idx="117">
                  <c:v>3.51</c:v>
                </c:pt>
                <c:pt idx="118">
                  <c:v>3.54</c:v>
                </c:pt>
                <c:pt idx="119">
                  <c:v>3.57</c:v>
                </c:pt>
                <c:pt idx="120">
                  <c:v>3.5999999999999996</c:v>
                </c:pt>
                <c:pt idx="121">
                  <c:v>3.63</c:v>
                </c:pt>
                <c:pt idx="122">
                  <c:v>3.66</c:v>
                </c:pt>
                <c:pt idx="123">
                  <c:v>3.69</c:v>
                </c:pt>
                <c:pt idx="124">
                  <c:v>3.7199999999999998</c:v>
                </c:pt>
                <c:pt idx="125">
                  <c:v>3.75</c:v>
                </c:pt>
                <c:pt idx="126">
                  <c:v>3.7800000000000002</c:v>
                </c:pt>
                <c:pt idx="127">
                  <c:v>3.81</c:v>
                </c:pt>
                <c:pt idx="128">
                  <c:v>3.84</c:v>
                </c:pt>
                <c:pt idx="129">
                  <c:v>3.87</c:v>
                </c:pt>
                <c:pt idx="130">
                  <c:v>3.9000000000000004</c:v>
                </c:pt>
                <c:pt idx="131">
                  <c:v>3.93</c:v>
                </c:pt>
                <c:pt idx="132">
                  <c:v>3.96</c:v>
                </c:pt>
                <c:pt idx="133">
                  <c:v>3.99</c:v>
                </c:pt>
                <c:pt idx="134">
                  <c:v>4.0200000000000005</c:v>
                </c:pt>
                <c:pt idx="135">
                  <c:v>4.0500000000000007</c:v>
                </c:pt>
                <c:pt idx="136">
                  <c:v>4.08</c:v>
                </c:pt>
                <c:pt idx="137">
                  <c:v>4.1100000000000003</c:v>
                </c:pt>
                <c:pt idx="138">
                  <c:v>4.1399999999999997</c:v>
                </c:pt>
                <c:pt idx="139">
                  <c:v>4.17</c:v>
                </c:pt>
                <c:pt idx="140">
                  <c:v>4.1999999999999993</c:v>
                </c:pt>
                <c:pt idx="141">
                  <c:v>4.2299999999999995</c:v>
                </c:pt>
                <c:pt idx="142">
                  <c:v>4.26</c:v>
                </c:pt>
                <c:pt idx="143">
                  <c:v>4.29</c:v>
                </c:pt>
                <c:pt idx="144">
                  <c:v>4.32</c:v>
                </c:pt>
                <c:pt idx="145">
                  <c:v>4.3499999999999996</c:v>
                </c:pt>
                <c:pt idx="146">
                  <c:v>4.38</c:v>
                </c:pt>
                <c:pt idx="147">
                  <c:v>4.41</c:v>
                </c:pt>
                <c:pt idx="148">
                  <c:v>4.4399999999999995</c:v>
                </c:pt>
                <c:pt idx="149">
                  <c:v>4.47</c:v>
                </c:pt>
                <c:pt idx="150">
                  <c:v>4.5</c:v>
                </c:pt>
                <c:pt idx="151">
                  <c:v>4.53</c:v>
                </c:pt>
                <c:pt idx="152">
                  <c:v>4.5600000000000005</c:v>
                </c:pt>
                <c:pt idx="153">
                  <c:v>4.59</c:v>
                </c:pt>
                <c:pt idx="154">
                  <c:v>4.62</c:v>
                </c:pt>
                <c:pt idx="155">
                  <c:v>4.6500000000000004</c:v>
                </c:pt>
                <c:pt idx="156">
                  <c:v>4.68</c:v>
                </c:pt>
                <c:pt idx="157">
                  <c:v>4.71</c:v>
                </c:pt>
                <c:pt idx="158">
                  <c:v>4.74</c:v>
                </c:pt>
                <c:pt idx="159">
                  <c:v>4.7700000000000005</c:v>
                </c:pt>
                <c:pt idx="160">
                  <c:v>4.8000000000000007</c:v>
                </c:pt>
                <c:pt idx="161">
                  <c:v>4.83</c:v>
                </c:pt>
                <c:pt idx="162">
                  <c:v>4.8600000000000003</c:v>
                </c:pt>
                <c:pt idx="163">
                  <c:v>4.8899999999999997</c:v>
                </c:pt>
                <c:pt idx="164">
                  <c:v>4.92</c:v>
                </c:pt>
                <c:pt idx="165">
                  <c:v>4.9499999999999993</c:v>
                </c:pt>
                <c:pt idx="166">
                  <c:v>4.9799999999999995</c:v>
                </c:pt>
                <c:pt idx="167">
                  <c:v>5.01</c:v>
                </c:pt>
                <c:pt idx="168">
                  <c:v>5.04</c:v>
                </c:pt>
                <c:pt idx="169">
                  <c:v>5.07</c:v>
                </c:pt>
                <c:pt idx="170">
                  <c:v>5.0999999999999996</c:v>
                </c:pt>
                <c:pt idx="171">
                  <c:v>5.13</c:v>
                </c:pt>
                <c:pt idx="172">
                  <c:v>5.16</c:v>
                </c:pt>
                <c:pt idx="173">
                  <c:v>5.1899999999999995</c:v>
                </c:pt>
                <c:pt idx="174">
                  <c:v>5.22</c:v>
                </c:pt>
                <c:pt idx="175">
                  <c:v>5.25</c:v>
                </c:pt>
                <c:pt idx="176">
                  <c:v>5.28</c:v>
                </c:pt>
                <c:pt idx="177">
                  <c:v>5.3100000000000005</c:v>
                </c:pt>
                <c:pt idx="178">
                  <c:v>5.34</c:v>
                </c:pt>
                <c:pt idx="179">
                  <c:v>5.37</c:v>
                </c:pt>
                <c:pt idx="180">
                  <c:v>5.4</c:v>
                </c:pt>
                <c:pt idx="181">
                  <c:v>5.43</c:v>
                </c:pt>
                <c:pt idx="182">
                  <c:v>5.46</c:v>
                </c:pt>
                <c:pt idx="183">
                  <c:v>5.49</c:v>
                </c:pt>
                <c:pt idx="184">
                  <c:v>5.5200000000000005</c:v>
                </c:pt>
                <c:pt idx="185">
                  <c:v>5.5500000000000007</c:v>
                </c:pt>
                <c:pt idx="186">
                  <c:v>5.58</c:v>
                </c:pt>
                <c:pt idx="187">
                  <c:v>5.61</c:v>
                </c:pt>
                <c:pt idx="188">
                  <c:v>5.64</c:v>
                </c:pt>
                <c:pt idx="189">
                  <c:v>5.67</c:v>
                </c:pt>
                <c:pt idx="190">
                  <c:v>5.6999999999999993</c:v>
                </c:pt>
                <c:pt idx="191">
                  <c:v>5.7299999999999995</c:v>
                </c:pt>
                <c:pt idx="192">
                  <c:v>5.76</c:v>
                </c:pt>
                <c:pt idx="193">
                  <c:v>5.79</c:v>
                </c:pt>
                <c:pt idx="194">
                  <c:v>5.82</c:v>
                </c:pt>
                <c:pt idx="195">
                  <c:v>5.85</c:v>
                </c:pt>
                <c:pt idx="196">
                  <c:v>5.88</c:v>
                </c:pt>
                <c:pt idx="197">
                  <c:v>5.91</c:v>
                </c:pt>
                <c:pt idx="198">
                  <c:v>5.9399999999999995</c:v>
                </c:pt>
                <c:pt idx="199">
                  <c:v>5.97</c:v>
                </c:pt>
                <c:pt idx="200">
                  <c:v>6</c:v>
                </c:pt>
              </c:numCache>
            </c:numRef>
          </c:xVal>
          <c:yVal>
            <c:numRef>
              <c:f>'Power Calculations'!$AQ$9:$AQ$209</c:f>
              <c:numCache>
                <c:formatCode>0.00%</c:formatCode>
                <c:ptCount val="201"/>
                <c:pt idx="0">
                  <c:v>0</c:v>
                </c:pt>
                <c:pt idx="1">
                  <c:v>0.16314559127200043</c:v>
                </c:pt>
                <c:pt idx="2">
                  <c:v>0.28041328271162019</c:v>
                </c:pt>
                <c:pt idx="3">
                  <c:v>0.36876330666335982</c:v>
                </c:pt>
                <c:pt idx="4">
                  <c:v>0.43771318536923309</c:v>
                </c:pt>
                <c:pt idx="5">
                  <c:v>0.49301674631784587</c:v>
                </c:pt>
                <c:pt idx="6">
                  <c:v>0.5383571794634151</c:v>
                </c:pt>
                <c:pt idx="7">
                  <c:v>0.57620160723032454</c:v>
                </c:pt>
                <c:pt idx="8">
                  <c:v>0.60781346327144659</c:v>
                </c:pt>
                <c:pt idx="9">
                  <c:v>0.63346158110337847</c:v>
                </c:pt>
                <c:pt idx="10">
                  <c:v>0.65558720538147186</c:v>
                </c:pt>
                <c:pt idx="11">
                  <c:v>0.67486784189606919</c:v>
                </c:pt>
                <c:pt idx="12">
                  <c:v>0.69181771795594438</c:v>
                </c:pt>
                <c:pt idx="13">
                  <c:v>0.70683417475958088</c:v>
                </c:pt>
                <c:pt idx="14">
                  <c:v>0.72022909251970524</c:v>
                </c:pt>
                <c:pt idx="15">
                  <c:v>0.73225069445263813</c:v>
                </c:pt>
                <c:pt idx="16">
                  <c:v>0.74309899933797041</c:v>
                </c:pt>
                <c:pt idx="17">
                  <c:v>0.75293698121506158</c:v>
                </c:pt>
                <c:pt idx="18">
                  <c:v>0.76189876600798445</c:v>
                </c:pt>
                <c:pt idx="19">
                  <c:v>0.77009574404704917</c:v>
                </c:pt>
                <c:pt idx="20">
                  <c:v>0.77762119158336107</c:v>
                </c:pt>
                <c:pt idx="21">
                  <c:v>0.78455380903253635</c:v>
                </c:pt>
                <c:pt idx="22">
                  <c:v>0.79096046104503204</c:v>
                </c:pt>
                <c:pt idx="23">
                  <c:v>0.7968983208562862</c:v>
                </c:pt>
                <c:pt idx="24">
                  <c:v>0.80241656473476564</c:v>
                </c:pt>
                <c:pt idx="25">
                  <c:v>0.80755772293246553</c:v>
                </c:pt>
                <c:pt idx="26">
                  <c:v>0.81235876572200671</c:v>
                </c:pt>
                <c:pt idx="27">
                  <c:v>0.81685198320821517</c:v>
                </c:pt>
                <c:pt idx="28">
                  <c:v>0.82106570319905336</c:v>
                </c:pt>
                <c:pt idx="29">
                  <c:v>0.82502488087599568</c:v>
                </c:pt>
                <c:pt idx="30">
                  <c:v>0.82875158620220202</c:v>
                </c:pt>
                <c:pt idx="31">
                  <c:v>0.83291929924521713</c:v>
                </c:pt>
                <c:pt idx="32">
                  <c:v>0.83703294965469799</c:v>
                </c:pt>
                <c:pt idx="33">
                  <c:v>0.84093155817429721</c:v>
                </c:pt>
                <c:pt idx="34">
                  <c:v>0.8446313014824276</c:v>
                </c:pt>
                <c:pt idx="35">
                  <c:v>0.84814677333713684</c:v>
                </c:pt>
                <c:pt idx="36">
                  <c:v>0.85149117356529969</c:v>
                </c:pt>
                <c:pt idx="37">
                  <c:v>0.85467647060655538</c:v>
                </c:pt>
                <c:pt idx="38">
                  <c:v>0.85771354183083914</c:v>
                </c:pt>
                <c:pt idx="39">
                  <c:v>0.860612295096294</c:v>
                </c:pt>
                <c:pt idx="40">
                  <c:v>0.86338177440984709</c:v>
                </c:pt>
                <c:pt idx="41">
                  <c:v>0.86603025206426809</c:v>
                </c:pt>
                <c:pt idx="42">
                  <c:v>0.8685653092288913</c:v>
                </c:pt>
                <c:pt idx="43">
                  <c:v>0.87099390664757437</c:v>
                </c:pt>
                <c:pt idx="44">
                  <c:v>0.87332244683225213</c:v>
                </c:pt>
                <c:pt idx="45">
                  <c:v>0.87555682892214182</c:v>
                </c:pt>
                <c:pt idx="46">
                  <c:v>0.87770249719822668</c:v>
                </c:pt>
                <c:pt idx="47">
                  <c:v>0.87976448409292407</c:v>
                </c:pt>
                <c:pt idx="48">
                  <c:v>0.88174744841013186</c:v>
                </c:pt>
                <c:pt idx="49">
                  <c:v>0.88365570936659199</c:v>
                </c:pt>
                <c:pt idx="50">
                  <c:v>0.88549327697804059</c:v>
                </c:pt>
                <c:pt idx="51">
                  <c:v>0.88726387923998729</c:v>
                </c:pt>
                <c:pt idx="52">
                  <c:v>0.88897098649079243</c:v>
                </c:pt>
                <c:pt idx="53">
                  <c:v>0.89061783329203403</c:v>
                </c:pt>
                <c:pt idx="54">
                  <c:v>0.89220743811640157</c:v>
                </c:pt>
                <c:pt idx="55">
                  <c:v>0.89374262109521219</c:v>
                </c:pt>
                <c:pt idx="56">
                  <c:v>0.89522602004505791</c:v>
                </c:pt>
                <c:pt idx="57">
                  <c:v>0.8966601049651548</c:v>
                </c:pt>
                <c:pt idx="58">
                  <c:v>0.89804719117298615</c:v>
                </c:pt>
                <c:pt idx="59">
                  <c:v>0.89938945122515157</c:v>
                </c:pt>
                <c:pt idx="60">
                  <c:v>0.90068892575250814</c:v>
                </c:pt>
                <c:pt idx="61">
                  <c:v>0.90194753332323696</c:v>
                </c:pt>
                <c:pt idx="62">
                  <c:v>0.90316707943408348</c:v>
                </c:pt>
                <c:pt idx="63">
                  <c:v>0.90434926471837151</c:v>
                </c:pt>
                <c:pt idx="64">
                  <c:v>0.90549569244925143</c:v>
                </c:pt>
                <c:pt idx="65">
                  <c:v>0.90660787540778387</c:v>
                </c:pt>
                <c:pt idx="66">
                  <c:v>0.90768724217771712</c:v>
                </c:pt>
                <c:pt idx="67">
                  <c:v>0.90873514292202273</c:v>
                </c:pt>
                <c:pt idx="68">
                  <c:v>0.90975285469029388</c:v>
                </c:pt>
                <c:pt idx="69">
                  <c:v>0.91074158630086244</c:v>
                </c:pt>
                <c:pt idx="70">
                  <c:v>0.91170248283687039</c:v>
                </c:pt>
                <c:pt idx="71">
                  <c:v>0.91263662979144267</c:v>
                </c:pt>
                <c:pt idx="72">
                  <c:v>0.91354505689350418</c:v>
                </c:pt>
                <c:pt idx="73">
                  <c:v>0.91442874164258181</c:v>
                </c:pt>
                <c:pt idx="74">
                  <c:v>0.91528861257809113</c:v>
                </c:pt>
                <c:pt idx="75">
                  <c:v>0.9161255523060915</c:v>
                </c:pt>
                <c:pt idx="76">
                  <c:v>0.91694040030424273</c:v>
                </c:pt>
                <c:pt idx="77">
                  <c:v>0.9177339555236953</c:v>
                </c:pt>
                <c:pt idx="78">
                  <c:v>0.91850697880486354</c:v>
                </c:pt>
                <c:pt idx="79">
                  <c:v>0.9192601951224284</c:v>
                </c:pt>
                <c:pt idx="80">
                  <c:v>0.91999429567349089</c:v>
                </c:pt>
                <c:pt idx="81">
                  <c:v>0.92070993982151417</c:v>
                </c:pt>
                <c:pt idx="82">
                  <c:v>0.9214077569075394</c:v>
                </c:pt>
                <c:pt idx="83">
                  <c:v>0.92208834793913119</c:v>
                </c:pt>
                <c:pt idx="84">
                  <c:v>0.92275228716657398</c:v>
                </c:pt>
                <c:pt idx="85">
                  <c:v>0.92340012355500523</c:v>
                </c:pt>
                <c:pt idx="86">
                  <c:v>0.92403238216041095</c:v>
                </c:pt>
                <c:pt idx="87">
                  <c:v>0.92464956541673327</c:v>
                </c:pt>
                <c:pt idx="88">
                  <c:v>0.92525215434071417</c:v>
                </c:pt>
                <c:pt idx="89">
                  <c:v>0.92584060966054715</c:v>
                </c:pt>
                <c:pt idx="90">
                  <c:v>0.92641537287389797</c:v>
                </c:pt>
                <c:pt idx="91">
                  <c:v>0.92697686724039985</c:v>
                </c:pt>
                <c:pt idx="92">
                  <c:v>0.92752549871330581</c:v>
                </c:pt>
                <c:pt idx="93">
                  <c:v>0.9280616568146105</c:v>
                </c:pt>
                <c:pt idx="94">
                  <c:v>0.9285857154575986</c:v>
                </c:pt>
                <c:pt idx="95">
                  <c:v>0.92909803372047073</c:v>
                </c:pt>
                <c:pt idx="96">
                  <c:v>0.92959895657440772</c:v>
                </c:pt>
                <c:pt idx="97">
                  <c:v>0.93008881556917344</c:v>
                </c:pt>
                <c:pt idx="98">
                  <c:v>0.93056792947911515</c:v>
                </c:pt>
                <c:pt idx="99">
                  <c:v>0.93103660491220985</c:v>
                </c:pt>
                <c:pt idx="100">
                  <c:v>0.93149513688459429</c:v>
                </c:pt>
                <c:pt idx="101">
                  <c:v>0.93194380936284171</c:v>
                </c:pt>
                <c:pt idx="102">
                  <c:v>0.93238289577607936</c:v>
                </c:pt>
                <c:pt idx="103">
                  <c:v>0.93281265949988323</c:v>
                </c:pt>
                <c:pt idx="104">
                  <c:v>0.93323335431374965</c:v>
                </c:pt>
                <c:pt idx="105">
                  <c:v>0.93364522483381085</c:v>
                </c:pt>
                <c:pt idx="106">
                  <c:v>0.93404850692234542</c:v>
                </c:pt>
                <c:pt idx="107">
                  <c:v>0.93444342807551983</c:v>
                </c:pt>
                <c:pt idx="108">
                  <c:v>0.93483020779070103</c:v>
                </c:pt>
                <c:pt idx="109">
                  <c:v>0.93520905791458497</c:v>
                </c:pt>
                <c:pt idx="110">
                  <c:v>0.93558018297329881</c:v>
                </c:pt>
                <c:pt idx="111">
                  <c:v>0.9359437804855576</c:v>
                </c:pt>
                <c:pt idx="112">
                  <c:v>0.93630004125988031</c:v>
                </c:pt>
                <c:pt idx="113">
                  <c:v>0.9366491496768059</c:v>
                </c:pt>
                <c:pt idx="114">
                  <c:v>0.93699128395698295</c:v>
                </c:pt>
                <c:pt idx="115">
                  <c:v>0.93732661641595316</c:v>
                </c:pt>
                <c:pt idx="116">
                  <c:v>0.93765531370639099</c:v>
                </c:pt>
                <c:pt idx="117">
                  <c:v>0.93797753704851572</c:v>
                </c:pt>
                <c:pt idx="118">
                  <c:v>0.93829344244934187</c:v>
                </c:pt>
                <c:pt idx="119">
                  <c:v>0.93860318091139772</c:v>
                </c:pt>
                <c:pt idx="120">
                  <c:v>0.93890689863149268</c:v>
                </c:pt>
                <c:pt idx="121">
                  <c:v>0.93920473719008624</c:v>
                </c:pt>
                <c:pt idx="122">
                  <c:v>0.93949683373177184</c:v>
                </c:pt>
                <c:pt idx="123">
                  <c:v>0.93978332113735674</c:v>
                </c:pt>
                <c:pt idx="124">
                  <c:v>0.94006432818799379</c:v>
                </c:pt>
                <c:pt idx="125">
                  <c:v>0.94033997972178707</c:v>
                </c:pt>
                <c:pt idx="126">
                  <c:v>0.94061039678327374</c:v>
                </c:pt>
                <c:pt idx="127">
                  <c:v>0.94087569676615579</c:v>
                </c:pt>
                <c:pt idx="128">
                  <c:v>0.94113599354963295</c:v>
                </c:pt>
                <c:pt idx="129">
                  <c:v>0.94139139762867408</c:v>
                </c:pt>
                <c:pt idx="130">
                  <c:v>0.94164201623853272</c:v>
                </c:pt>
                <c:pt idx="131">
                  <c:v>0.94188795347380738</c:v>
                </c:pt>
                <c:pt idx="132">
                  <c:v>0.94212931040231762</c:v>
                </c:pt>
                <c:pt idx="133">
                  <c:v>0.94236618517406268</c:v>
                </c:pt>
                <c:pt idx="134">
                  <c:v>0.94259867312550483</c:v>
                </c:pt>
                <c:pt idx="135">
                  <c:v>0.94282686687941175</c:v>
                </c:pt>
                <c:pt idx="136">
                  <c:v>0.94305085644047582</c:v>
                </c:pt>
                <c:pt idx="137">
                  <c:v>0.94327072928691891</c:v>
                </c:pt>
                <c:pt idx="138">
                  <c:v>0.94348657045827566</c:v>
                </c:pt>
                <c:pt idx="139">
                  <c:v>0.9436984626395426</c:v>
                </c:pt>
                <c:pt idx="140">
                  <c:v>0.94390648624186424</c:v>
                </c:pt>
                <c:pt idx="141">
                  <c:v>0.94411071947992475</c:v>
                </c:pt>
                <c:pt idx="142">
                  <c:v>0.94431123844619846</c:v>
                </c:pt>
                <c:pt idx="143">
                  <c:v>0.94450811718220806</c:v>
                </c:pt>
                <c:pt idx="144">
                  <c:v>0.94470142774692978</c:v>
                </c:pt>
                <c:pt idx="145">
                  <c:v>0.94489124028247862</c:v>
                </c:pt>
                <c:pt idx="146">
                  <c:v>0.94507762307719778</c:v>
                </c:pt>
                <c:pt idx="147">
                  <c:v>0.94526064262627307</c:v>
                </c:pt>
                <c:pt idx="148">
                  <c:v>0.9454403636899823</c:v>
                </c:pt>
                <c:pt idx="149">
                  <c:v>0.94561684934968881</c:v>
                </c:pt>
                <c:pt idx="150">
                  <c:v>0.94579016106167968</c:v>
                </c:pt>
                <c:pt idx="151">
                  <c:v>0.9459603587089439</c:v>
                </c:pt>
                <c:pt idx="152">
                  <c:v>0.94612750065098372</c:v>
                </c:pt>
                <c:pt idx="153">
                  <c:v>0.94629164377174368</c:v>
                </c:pt>
                <c:pt idx="154">
                  <c:v>0.94645284352574122</c:v>
                </c:pt>
                <c:pt idx="155">
                  <c:v>0.94661115398247708</c:v>
                </c:pt>
                <c:pt idx="156">
                  <c:v>0.94676662786919907</c:v>
                </c:pt>
                <c:pt idx="157">
                  <c:v>0.94691931661208995</c:v>
                </c:pt>
                <c:pt idx="158">
                  <c:v>0.94706927037594835</c:v>
                </c:pt>
                <c:pt idx="159">
                  <c:v>0.94721653810242457</c:v>
                </c:pt>
                <c:pt idx="160">
                  <c:v>0.94736116754687349</c:v>
                </c:pt>
                <c:pt idx="161">
                  <c:v>0.94750320531388221</c:v>
                </c:pt>
                <c:pt idx="162">
                  <c:v>0.94764269689152869</c:v>
                </c:pt>
                <c:pt idx="163">
                  <c:v>0.94777968668442081</c:v>
                </c:pt>
                <c:pt idx="164">
                  <c:v>0.94791421804557174</c:v>
                </c:pt>
                <c:pt idx="165">
                  <c:v>0.94804633330715204</c:v>
                </c:pt>
                <c:pt idx="166">
                  <c:v>0.94817607381017188</c:v>
                </c:pt>
                <c:pt idx="167">
                  <c:v>0.94830347993313036</c:v>
                </c:pt>
                <c:pt idx="168">
                  <c:v>0.94842859111967692</c:v>
                </c:pt>
                <c:pt idx="169">
                  <c:v>0.9485514459053237</c:v>
                </c:pt>
                <c:pt idx="170">
                  <c:v>0.94867208194324659</c:v>
                </c:pt>
                <c:pt idx="171">
                  <c:v>0.94879053602921004</c:v>
                </c:pt>
                <c:pt idx="172">
                  <c:v>0.9489068441256524</c:v>
                </c:pt>
                <c:pt idx="173">
                  <c:v>0.94902104138496202</c:v>
                </c:pt>
                <c:pt idx="174">
                  <c:v>0.94913316217197696</c:v>
                </c:pt>
                <c:pt idx="175">
                  <c:v>0.94924324008573946</c:v>
                </c:pt>
                <c:pt idx="176">
                  <c:v>0.94935130798053069</c:v>
                </c:pt>
                <c:pt idx="177">
                  <c:v>0.94945739798621664</c:v>
                </c:pt>
                <c:pt idx="178">
                  <c:v>0.94956154152792971</c:v>
                </c:pt>
                <c:pt idx="179">
                  <c:v>0.94966376934511076</c:v>
                </c:pt>
                <c:pt idx="180">
                  <c:v>0.94976411150993723</c:v>
                </c:pt>
                <c:pt idx="181">
                  <c:v>0.949862597445159</c:v>
                </c:pt>
                <c:pt idx="182">
                  <c:v>0.94995925594136421</c:v>
                </c:pt>
                <c:pt idx="183">
                  <c:v>0.95005411517369742</c:v>
                </c:pt>
                <c:pt idx="184">
                  <c:v>0.9501472027180482</c:v>
                </c:pt>
                <c:pt idx="185">
                  <c:v>0.95023854556673171</c:v>
                </c:pt>
                <c:pt idx="186">
                  <c:v>0.9503281701436781</c:v>
                </c:pt>
                <c:pt idx="187">
                  <c:v>0.95041610231914941</c:v>
                </c:pt>
                <c:pt idx="188">
                  <c:v>0.95050236742400129</c:v>
                </c:pt>
                <c:pt idx="189">
                  <c:v>0.95058699026350513</c:v>
                </c:pt>
                <c:pt idx="190">
                  <c:v>0.95066999513074624</c:v>
                </c:pt>
                <c:pt idx="191">
                  <c:v>0.9507514058196147</c:v>
                </c:pt>
                <c:pt idx="192">
                  <c:v>0.95083124563740118</c:v>
                </c:pt>
                <c:pt idx="193">
                  <c:v>0.95090953741701278</c:v>
                </c:pt>
                <c:pt idx="194">
                  <c:v>0.9509863035288223</c:v>
                </c:pt>
                <c:pt idx="195">
                  <c:v>0.95106156589216373</c:v>
                </c:pt>
                <c:pt idx="196">
                  <c:v>0.95113534598648464</c:v>
                </c:pt>
                <c:pt idx="197">
                  <c:v>0.95120766486217012</c:v>
                </c:pt>
                <c:pt idx="198">
                  <c:v>0.95127854315104743</c:v>
                </c:pt>
                <c:pt idx="199">
                  <c:v>0.95134800107658224</c:v>
                </c:pt>
                <c:pt idx="200">
                  <c:v>0.95141605846377919</c:v>
                </c:pt>
              </c:numCache>
            </c:numRef>
          </c:yVal>
          <c:smooth val="0"/>
          <c:extLst>
            <c:ext xmlns:c16="http://schemas.microsoft.com/office/drawing/2014/chart" uri="{C3380CC4-5D6E-409C-BE32-E72D297353CC}">
              <c16:uniqueId val="{00000000-63C5-4D6A-B9BD-1C49DB4002EC}"/>
            </c:ext>
          </c:extLst>
        </c:ser>
        <c:dLbls>
          <c:showLegendKey val="0"/>
          <c:showVal val="0"/>
          <c:showCatName val="0"/>
          <c:showSerName val="0"/>
          <c:showPercent val="0"/>
          <c:showBubbleSize val="0"/>
        </c:dLbls>
        <c:axId val="177307008"/>
        <c:axId val="177313280"/>
      </c:scatterChart>
      <c:valAx>
        <c:axId val="177307008"/>
        <c:scaling>
          <c:orientation val="minMax"/>
          <c:min val="0"/>
        </c:scaling>
        <c:delete val="0"/>
        <c:axPos val="b"/>
        <c:majorGridlines/>
        <c:title>
          <c:tx>
            <c:rich>
              <a:bodyPr/>
              <a:lstStyle/>
              <a:p>
                <a:pPr>
                  <a:defRPr sz="1025" b="1" i="0" u="none" strike="noStrike" baseline="0">
                    <a:solidFill>
                      <a:srgbClr val="000000"/>
                    </a:solidFill>
                    <a:latin typeface="Arial"/>
                    <a:ea typeface="Arial"/>
                    <a:cs typeface="Arial"/>
                  </a:defRPr>
                </a:pPr>
                <a:r>
                  <a:rPr lang="en-US"/>
                  <a:t>Iout (A)</a:t>
                </a:r>
              </a:p>
            </c:rich>
          </c:tx>
          <c:layout>
            <c:manualLayout>
              <c:xMode val="edge"/>
              <c:yMode val="edge"/>
              <c:x val="0.49051561644225661"/>
              <c:y val="0.94354923376513999"/>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13280"/>
        <c:crosses val="autoZero"/>
        <c:crossBetween val="midCat"/>
      </c:valAx>
      <c:valAx>
        <c:axId val="177313280"/>
        <c:scaling>
          <c:orientation val="minMax"/>
          <c:min val="0.5"/>
        </c:scaling>
        <c:delete val="0"/>
        <c:axPos val="l"/>
        <c:majorGridlines>
          <c:spPr>
            <a:ln w="3175">
              <a:solidFill>
                <a:srgbClr val="000000"/>
              </a:solidFill>
              <a:prstDash val="solid"/>
            </a:ln>
          </c:spPr>
        </c:majorGridlines>
        <c:title>
          <c:tx>
            <c:rich>
              <a:bodyPr/>
              <a:lstStyle/>
              <a:p>
                <a:pPr>
                  <a:defRPr sz="1025" b="1" i="0" u="none" strike="noStrike" baseline="0">
                    <a:solidFill>
                      <a:srgbClr val="000000"/>
                    </a:solidFill>
                    <a:latin typeface="Arial"/>
                    <a:ea typeface="Arial"/>
                    <a:cs typeface="Arial"/>
                  </a:defRPr>
                </a:pPr>
                <a:r>
                  <a:rPr lang="en-US"/>
                  <a:t>Efficiency (%)</a:t>
                </a:r>
              </a:p>
            </c:rich>
          </c:tx>
          <c:layout>
            <c:manualLayout>
              <c:xMode val="edge"/>
              <c:yMode val="edge"/>
              <c:x val="6.7750677506775965E-3"/>
              <c:y val="0.42741977817289623"/>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25" b="1" i="0" u="none" strike="noStrike" baseline="0">
                <a:solidFill>
                  <a:srgbClr val="000000"/>
                </a:solidFill>
                <a:latin typeface="Arial"/>
                <a:ea typeface="Arial"/>
                <a:cs typeface="Arial"/>
              </a:defRPr>
            </a:pPr>
            <a:endParaRPr lang="en-US"/>
          </a:p>
        </c:txPr>
        <c:crossAx val="177307008"/>
        <c:crosses val="autoZero"/>
        <c:crossBetween val="midCat"/>
      </c:valAx>
      <c:spPr>
        <a:solidFill>
          <a:srgbClr val="C0C0C0"/>
        </a:solidFill>
        <a:ln w="12700">
          <a:solidFill>
            <a:srgbClr val="808080"/>
          </a:solidFill>
          <a:prstDash val="solid"/>
        </a:ln>
      </c:spPr>
    </c:plotArea>
    <c:legend>
      <c:legendPos val="r"/>
      <c:layout>
        <c:manualLayout>
          <c:xMode val="edge"/>
          <c:yMode val="edge"/>
          <c:x val="0.85636970175475957"/>
          <c:y val="3.6290322580645677E-2"/>
          <c:w val="0.11788632112042907"/>
          <c:h val="4.2338709677419352E-2"/>
        </c:manualLayout>
      </c:layout>
      <c:overlay val="0"/>
      <c:spPr>
        <a:solidFill>
          <a:srgbClr val="FFFFFF"/>
        </a:solidFill>
        <a:ln w="3175">
          <a:solidFill>
            <a:srgbClr val="000000"/>
          </a:solidFill>
          <a:prstDash val="solid"/>
        </a:ln>
      </c:spPr>
      <c:txPr>
        <a:bodyPr/>
        <a:lstStyle/>
        <a:p>
          <a:pPr>
            <a:defRPr sz="7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en-US"/>
    </a:p>
  </c:txPr>
  <c:printSettings>
    <c:headerFooter alignWithMargins="0"/>
    <c:pageMargins b="1" l="0.750000000000006" r="0.750000000000006"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22" fmlaRange="$1:$1048576" noThreeD="1" sel="0"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Spin" dx="16" fmlaLink="$E$61" max="150" min="10" page="10" val="30"/>
</file>

<file path=xl/ctrlProps/ctrlProp5.xml><?xml version="1.0" encoding="utf-8"?>
<formControlPr xmlns="http://schemas.microsoft.com/office/spreadsheetml/2009/9/main" objectType="Spin" dx="16" fmlaLink="$E$67" max="100" min="1" page="10" val="3"/>
</file>

<file path=xl/ctrlProps/ctrlProp6.xml><?xml version="1.0" encoding="utf-8"?>
<formControlPr xmlns="http://schemas.microsoft.com/office/spreadsheetml/2009/9/main" objectType="Spin" dx="16" fmlaLink="$E$68" max="100" min="1" page="10" val="4"/>
</file>

<file path=xl/ctrlProps/ctrlProp7.xml><?xml version="1.0" encoding="utf-8"?>
<formControlPr xmlns="http://schemas.microsoft.com/office/spreadsheetml/2009/9/main" objectType="Spin" dx="16" fmlaLink="$E$69" inc="10" max="1000" min="100" page="10" val="120"/>
</file>

<file path=xl/ctrlProps/ctrlProp8.xml><?xml version="1.0" encoding="utf-8"?>
<formControlPr xmlns="http://schemas.microsoft.com/office/spreadsheetml/2009/9/main" objectType="Spin" dx="16" fmlaLink="$E$70" inc="10" max="1000" min="100" page="10" val="150"/>
</file>

<file path=xl/ctrlProps/ctrlProp9.xml><?xml version="1.0" encoding="utf-8"?>
<formControlPr xmlns="http://schemas.microsoft.com/office/spreadsheetml/2009/9/main" objectType="Drop" dropLines="2" dropStyle="combo" dx="16" fmlaLink="'Variable Management'!$M$56" fmlaRange="'Variable Management'!$L$54:$L$55" noThreeD="1" sel="1" val="0"/>
</file>

<file path=xl/ctrlProps/ctrlProp10.xml><?xml version="1.0" encoding="utf-8"?>
<formControlPr xmlns="http://schemas.microsoft.com/office/spreadsheetml/2009/9/main" objectType="Drop" dropLines="5" dropStyle="combo" dx="16" fmlaLink="'Variable Management'!$V$12" fmlaRange="'Variable Management'!$U$7:$U$11" noThreeD="1" sel="3" val="0"/>
</file>

<file path=xl/ctrlProps/ctrlProp11.xml><?xml version="1.0" encoding="utf-8"?>
<formControlPr xmlns="http://schemas.microsoft.com/office/spreadsheetml/2009/9/main" objectType="Drop" dropLines="2" dropStyle="combo" dx="16" fmlaLink="'Variable Management'!$V$21" fmlaRange="'Variable Management'!$U$19:$U$20" noThreeD="1" sel="1" val="0"/>
</file>

<file path=xl/ctrlProps/ctrlProp12.xml><?xml version="1.0" encoding="utf-8"?>
<formControlPr xmlns="http://schemas.microsoft.com/office/spreadsheetml/2009/9/main" objectType="Drop" dropLines="4" dropStyle="combo" dx="16" fmlaLink="'Schematic &amp; BOM'!$Q$49" fmlaRange="'Variable Management'!$L$48:$L$51" noThreeD="1" sel="1" val="0"/>
</file>

<file path=xl/ctrlProps/ctrlProp13.xml><?xml version="1.0" encoding="utf-8"?>
<formControlPr xmlns="http://schemas.microsoft.com/office/spreadsheetml/2009/9/main" objectType="Drop" dropStyle="combo" dx="16" fmlaLink="$Q$50" fmlaRange="'Variable Management'!$L$48:$L$51" noThreeD="1" sel="1" val="0"/>
</file>

<file path=xl/ctrlProps/ctrlProp14.xml><?xml version="1.0" encoding="utf-8"?>
<formControlPr xmlns="http://schemas.microsoft.com/office/spreadsheetml/2009/9/main" objectType="Drop" dropLines="3" dropStyle="combo" dx="16" fmlaLink="$Q$38" fmlaRange="'Variable Management'!$L$69:$L$71" noThreeD="1" sel="2" val="0"/>
</file>

<file path=xl/ctrlProps/ctrlProp15.xml><?xml version="1.0" encoding="utf-8"?>
<formControlPr xmlns="http://schemas.microsoft.com/office/spreadsheetml/2009/9/main" objectType="Drop" dropLines="3" dropStyle="combo" dx="16" fmlaLink="$Q$39" fmlaRange="'Variable Management'!$L$69:$L$71" noThreeD="1" sel="1" val="0"/>
</file>

<file path=xl/ctrlProps/ctrlProp16.xml><?xml version="1.0" encoding="utf-8"?>
<formControlPr xmlns="http://schemas.microsoft.com/office/spreadsheetml/2009/9/main" objectType="Drop" dropLines="3" dropStyle="combo" dx="16" fmlaLink="$Q$40" fmlaRange="'Variable Management'!$L$69:$L$71" noThreeD="1" sel="1" val="0"/>
</file>

<file path=xl/ctrlProps/ctrlProp17.xml><?xml version="1.0" encoding="utf-8"?>
<formControlPr xmlns="http://schemas.microsoft.com/office/spreadsheetml/2009/9/main" objectType="Drop" dropLines="3" dropStyle="combo" dx="16" fmlaLink="$Q$41" fmlaRange="'Variable Management'!$L$69:$L$71" noThreeD="1" sel="1" val="0"/>
</file>

<file path=xl/ctrlProps/ctrlProp18.xml><?xml version="1.0" encoding="utf-8"?>
<formControlPr xmlns="http://schemas.microsoft.com/office/spreadsheetml/2009/9/main" objectType="Drop" dropLines="3" dropStyle="combo" dx="16" fmlaLink="$Q$42" fmlaRange="'Variable Management'!$L$69:$L$71" noThreeD="1" sel="2" val="0"/>
</file>

<file path=xl/ctrlProps/ctrlProp19.xml><?xml version="1.0" encoding="utf-8"?>
<formControlPr xmlns="http://schemas.microsoft.com/office/spreadsheetml/2009/9/main" objectType="Drop" dropLines="3" dropStyle="combo" dx="16" fmlaLink="$Q$45" fmlaRange="'Variable Management'!$L$69:$L$71" noThreeD="1" sel="2" val="0"/>
</file>

<file path=xl/ctrlProps/ctrlProp20.xml><?xml version="1.0" encoding="utf-8"?>
<formControlPr xmlns="http://schemas.microsoft.com/office/spreadsheetml/2009/9/main" objectType="Drop" dropLines="3" dropStyle="combo" dx="16" fmlaLink="$Q$46" fmlaRange="'Variable Management'!$L$69:$L$71" noThreeD="1" sel="3" val="0"/>
</file>

<file path=xl/ctrlProps/ctrlProp21.xml><?xml version="1.0" encoding="utf-8"?>
<formControlPr xmlns="http://schemas.microsoft.com/office/spreadsheetml/2009/9/main" objectType="Drop" dropLines="3" dropStyle="combo" dx="16" fmlaLink="$Q$47" fmlaRange="'Variable Management'!$L$69:$L$71" noThreeD="1" sel="2" val="0"/>
</file>

<file path=xl/ctrlProps/ctrlProp22.xml><?xml version="1.0" encoding="utf-8"?>
<formControlPr xmlns="http://schemas.microsoft.com/office/spreadsheetml/2009/9/main" objectType="Drop" dropLines="3" dropStyle="combo" dx="16" fmlaLink="$Q$52" fmlaRange="'Variable Management'!$L$69:$L$71" noThreeD="1" sel="1" val="0"/>
</file>

<file path=xl/ctrlProps/ctrlProp23.xml><?xml version="1.0" encoding="utf-8"?>
<formControlPr xmlns="http://schemas.microsoft.com/office/spreadsheetml/2009/9/main" objectType="Drop" dropLines="3" dropStyle="combo" dx="16" fmlaLink="$Q$53" fmlaRange="'Variable Management'!$L$69:$L$71" noThreeD="1" sel="1" val="0"/>
</file>

<file path=xl/ctrlProps/ctrlProp24.xml><?xml version="1.0" encoding="utf-8"?>
<formControlPr xmlns="http://schemas.microsoft.com/office/spreadsheetml/2009/9/main" objectType="Drop" dropLines="3" dropStyle="combo" dx="16" fmlaLink="$Q$54" fmlaRange="'Variable Management'!$L$69:$L$71" noThreeD="1" sel="3" val="0"/>
</file>

<file path=xl/ctrlProps/ctrlProp25.xml><?xml version="1.0" encoding="utf-8"?>
<formControlPr xmlns="http://schemas.microsoft.com/office/spreadsheetml/2009/9/main" objectType="Drop" dropLines="3" dropStyle="combo" dx="16" fmlaLink="$Q$55" fmlaRange="'Variable Management'!$L$69:$L$71" noThreeD="1" sel="1" val="0"/>
</file>

<file path=xl/ctrlProps/ctrlProp26.xml><?xml version="1.0" encoding="utf-8"?>
<formControlPr xmlns="http://schemas.microsoft.com/office/spreadsheetml/2009/9/main" objectType="Drop" dropLines="3" dropStyle="combo" dx="16" fmlaLink="$Q$56" fmlaRange="'Variable Management'!$L$69:$L$71" noThreeD="1" sel="1" val="0"/>
</file>

<file path=xl/ctrlProps/ctrlProp27.xml><?xml version="1.0" encoding="utf-8"?>
<formControlPr xmlns="http://schemas.microsoft.com/office/spreadsheetml/2009/9/main" objectType="Drop" dropLines="3" dropStyle="combo" dx="16" fmlaLink="$Q$57" fmlaRange="'Variable Management'!$L$69:$L$71" noThreeD="1" sel="1" val="0"/>
</file>

<file path=xl/ctrlProps/ctrlProp28.xml><?xml version="1.0" encoding="utf-8"?>
<formControlPr xmlns="http://schemas.microsoft.com/office/spreadsheetml/2009/9/main" objectType="Drop" dropLines="3" dropStyle="combo" dx="16" fmlaLink="$Q$58" fmlaRange="'Variable Management'!$L$69:$L$71" noThreeD="1" sel="1" val="0"/>
</file>

<file path=xl/ctrlProps/ctrlProp29.xml><?xml version="1.0" encoding="utf-8"?>
<formControlPr xmlns="http://schemas.microsoft.com/office/spreadsheetml/2009/9/main" objectType="Drop" dropLines="3" dropStyle="combo" dx="16" fmlaLink="$Q$60" fmlaRange="'Variable Management'!$L$69:$L$71" noThreeD="1" sel="2" val="0"/>
</file>

<file path=xl/ctrlProps/ctrlProp30.xml><?xml version="1.0" encoding="utf-8"?>
<formControlPr xmlns="http://schemas.microsoft.com/office/spreadsheetml/2009/9/main" objectType="Drop" dropLines="3" dropStyle="combo" dx="16" fmlaLink="$Q$61" fmlaRange="'Variable Management'!$L$69:$L$71" noThreeD="1" sel="1" val="0"/>
</file>

<file path=xl/ctrlProps/ctrlProp31.xml><?xml version="1.0" encoding="utf-8"?>
<formControlPr xmlns="http://schemas.microsoft.com/office/spreadsheetml/2009/9/main" objectType="Drop" dropLines="3" dropStyle="combo" dx="16" fmlaLink="$Q$62" fmlaRange="'Variable Management'!$L$69:$L$71" noThreeD="1" sel="1" val="0"/>
</file>

<file path=xl/ctrlProps/ctrlProp32.xml><?xml version="1.0" encoding="utf-8"?>
<formControlPr xmlns="http://schemas.microsoft.com/office/spreadsheetml/2009/9/main" objectType="Drop" dropStyle="combo" dx="16" fmlaLink="$Q$48" fmlaRange="'Variable Management'!$L$78:$L$85" noThreeD="1" sel="7" val="0"/>
</file>

<file path=xl/ctrlProps/ctrlProp33.xml><?xml version="1.0" encoding="utf-8"?>
<formControlPr xmlns="http://schemas.microsoft.com/office/spreadsheetml/2009/9/main" objectType="Drop" dropLines="5" dropStyle="combo" dx="16" fmlaLink="$Q$43" fmlaRange="'Variable Management'!$L$69:$L$73" noThreeD="1" sel="5" val="0"/>
</file>

<file path=xl/ctrlProps/ctrlProp34.xml><?xml version="1.0" encoding="utf-8"?>
<formControlPr xmlns="http://schemas.microsoft.com/office/spreadsheetml/2009/9/main" objectType="Drop" dropLines="5" dropStyle="combo" dx="16" fmlaLink="$Q$44" fmlaRange="'Variable Management'!$L$69:$L$73" noThreeD="1" sel="5" val="0"/>
</file>

<file path=xl/ctrlProps/ctrlProp35.xml><?xml version="1.0" encoding="utf-8"?>
<formControlPr xmlns="http://schemas.microsoft.com/office/spreadsheetml/2009/9/main" objectType="Drop" dropLines="2" dropStyle="combo" dx="16" fmlaLink="'Schematic &amp; BOM'!$R$49" fmlaRange="'Variable Management'!$Q$44:$Q$45" noThreeD="1" sel="1" val="0"/>
</file>

<file path=xl/ctrlProps/ctrlProp36.xml><?xml version="1.0" encoding="utf-8"?>
<formControlPr xmlns="http://schemas.microsoft.com/office/spreadsheetml/2009/9/main" objectType="Drop" dropLines="2" dropStyle="combo" dx="16" fmlaLink="$R$50" fmlaRange="'Variable Management'!$Q$44:$Q$45"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chart" Target="../charts/chart2.xml"/><Relationship Id="rId7" Type="http://schemas.openxmlformats.org/officeDocument/2006/relationships/hyperlink" Target="http://www.ti.com/widevin" TargetMode="External"/><Relationship Id="rId2" Type="http://schemas.openxmlformats.org/officeDocument/2006/relationships/chart" Target="../charts/chart1.xml"/><Relationship Id="rId1" Type="http://schemas.openxmlformats.org/officeDocument/2006/relationships/image" Target="../media/image1.emf"/><Relationship Id="rId6" Type="http://schemas.openxmlformats.org/officeDocument/2006/relationships/image" Target="../media/image3.jpg"/><Relationship Id="rId5" Type="http://schemas.openxmlformats.org/officeDocument/2006/relationships/image" Target="../media/image2.jpg"/><Relationship Id="rId4" Type="http://schemas.openxmlformats.org/officeDocument/2006/relationships/hyperlink" Target="http://www.ti.com/power" TargetMode="External"/><Relationship Id="rId9" Type="http://schemas.openxmlformats.org/officeDocument/2006/relationships/image" Target="../media/image5.jpg"/></Relationships>
</file>

<file path=xl/drawings/_rels/drawing3.xml.rels><?xml version="1.0" encoding="UTF-8" standalone="yes"?>
<Relationships xmlns="http://schemas.openxmlformats.org/package/2006/relationships"><Relationship Id="rId1" Type="http://schemas.openxmlformats.org/officeDocument/2006/relationships/image" Target="../media/image8.emf"/></Relationships>
</file>

<file path=xl/drawings/_rels/drawing4.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image" Target="../media/image12.jpeg"/><Relationship Id="rId7" Type="http://schemas.openxmlformats.org/officeDocument/2006/relationships/image" Target="../media/image16.emf"/><Relationship Id="rId2" Type="http://schemas.openxmlformats.org/officeDocument/2006/relationships/image" Target="../media/image11.emf"/><Relationship Id="rId1" Type="http://schemas.openxmlformats.org/officeDocument/2006/relationships/image" Target="../media/image10.jpeg"/><Relationship Id="rId6" Type="http://schemas.openxmlformats.org/officeDocument/2006/relationships/image" Target="../media/image15.emf"/><Relationship Id="rId5" Type="http://schemas.openxmlformats.org/officeDocument/2006/relationships/image" Target="../media/image14.emf"/><Relationship Id="rId4" Type="http://schemas.openxmlformats.org/officeDocument/2006/relationships/image" Target="../media/image13.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7.x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19.emf"/></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6" name="Button 798" hidden="1">
              <a:extLst>
                <a:ext uri="{63B3BB69-23CF-44E3-9099-C40C66FF867C}">
                  <a14:compatExt spid="_x0000_s673566"/>
                </a:ext>
                <a:ext uri="{FF2B5EF4-FFF2-40B4-BE49-F238E27FC236}">
                  <a16:creationId xmlns:a16="http://schemas.microsoft.com/office/drawing/2014/main" id="{00000000-0008-0000-0000-00001E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RESET 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2</xdr:col>
          <xdr:colOff>388620</xdr:colOff>
          <xdr:row>74</xdr:row>
          <xdr:rowOff>7620</xdr:rowOff>
        </xdr:from>
        <xdr:to>
          <xdr:col>3</xdr:col>
          <xdr:colOff>7620</xdr:colOff>
          <xdr:row>77</xdr:row>
          <xdr:rowOff>22860</xdr:rowOff>
        </xdr:to>
        <xdr:sp macro="" textlink="">
          <xdr:nvSpPr>
            <xdr:cNvPr id="673565" name="Button 797" hidden="1">
              <a:extLst>
                <a:ext uri="{63B3BB69-23CF-44E3-9099-C40C66FF867C}">
                  <a14:compatExt spid="_x0000_s673565"/>
                </a:ext>
                <a:ext uri="{FF2B5EF4-FFF2-40B4-BE49-F238E27FC236}">
                  <a16:creationId xmlns:a16="http://schemas.microsoft.com/office/drawing/2014/main" id="{00000000-0008-0000-0000-00001D470A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900" b="1" i="0" u="none" strike="noStrike" baseline="0">
                  <a:solidFill>
                    <a:srgbClr val="000000"/>
                  </a:solidFill>
                  <a:latin typeface="Arial"/>
                  <a:cs typeface="Arial"/>
                </a:rPr>
                <a:t>FIX</a:t>
              </a:r>
            </a:p>
            <a:p>
              <a:pPr algn="ctr" rtl="0">
                <a:defRPr sz="1000"/>
              </a:pPr>
              <a:r>
                <a:rPr lang="ja-JP" altLang="en-US" sz="900" b="1" i="0" u="none" strike="noStrike" baseline="0">
                  <a:solidFill>
                    <a:srgbClr val="000000"/>
                  </a:solidFill>
                  <a:latin typeface="Arial"/>
                  <a:cs typeface="Arial"/>
                </a:rPr>
                <a:t>VALUES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1699260</xdr:colOff>
          <xdr:row>0</xdr:row>
          <xdr:rowOff>449580</xdr:rowOff>
        </xdr:from>
        <xdr:to>
          <xdr:col>16</xdr:col>
          <xdr:colOff>2080260</xdr:colOff>
          <xdr:row>1</xdr:row>
          <xdr:rowOff>30480</xdr:rowOff>
        </xdr:to>
        <xdr:sp macro="" textlink="">
          <xdr:nvSpPr>
            <xdr:cNvPr id="683100" name="Drop Down 1116" hidden="1">
              <a:extLst>
                <a:ext uri="{63B3BB69-23CF-44E3-9099-C40C66FF867C}">
                  <a14:compatExt spid="_x0000_s683100"/>
                </a:ext>
                <a:ext uri="{FF2B5EF4-FFF2-40B4-BE49-F238E27FC236}">
                  <a16:creationId xmlns:a16="http://schemas.microsoft.com/office/drawing/2014/main" id="{00000000-0008-0000-0000-00005C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408044</xdr:colOff>
          <xdr:row>4</xdr:row>
          <xdr:rowOff>244629</xdr:rowOff>
        </xdr:from>
        <xdr:to>
          <xdr:col>16</xdr:col>
          <xdr:colOff>2547247</xdr:colOff>
          <xdr:row>33</xdr:row>
          <xdr:rowOff>44380</xdr:rowOff>
        </xdr:to>
        <xdr:pic>
          <xdr:nvPicPr>
            <xdr:cNvPr id="3" name="Picture 2">
              <a:extLst>
                <a:ext uri="{FF2B5EF4-FFF2-40B4-BE49-F238E27FC236}">
                  <a16:creationId xmlns:a16="http://schemas.microsoft.com/office/drawing/2014/main" id="{00000000-0008-0000-0000-000003000000}"/>
                </a:ext>
              </a:extLst>
            </xdr:cNvPr>
            <xdr:cNvPicPr>
              <a:picLocks noChangeAspect="1"/>
              <a:extLst>
                <a:ext uri="{84589F7E-364E-4C9E-8A38-B11213B215E9}">
                  <a14:cameraTool cellRange="PICTURE10" spid="_x0000_s683181"/>
                </a:ext>
              </a:extLst>
            </xdr:cNvPicPr>
          </xdr:nvPicPr>
          <xdr:blipFill>
            <a:blip xmlns:r="http://schemas.openxmlformats.org/officeDocument/2006/relationships" r:embed="rId1"/>
            <a:stretch>
              <a:fillRect/>
            </a:stretch>
          </xdr:blipFill>
          <xdr:spPr>
            <a:xfrm>
              <a:off x="4155291" y="1401076"/>
              <a:ext cx="9113744" cy="5339939"/>
            </a:xfrm>
            <a:prstGeom prst="rect">
              <a:avLst/>
            </a:prstGeom>
          </xdr:spPr>
        </xdr:pic>
        <xdr:clientData/>
      </xdr:twoCellAnchor>
    </mc:Choice>
    <mc:Fallback/>
  </mc:AlternateContent>
  <xdr:twoCellAnchor editAs="absolute">
    <xdr:from>
      <xdr:col>6</xdr:col>
      <xdr:colOff>228601</xdr:colOff>
      <xdr:row>42</xdr:row>
      <xdr:rowOff>31025</xdr:rowOff>
    </xdr:from>
    <xdr:to>
      <xdr:col>16</xdr:col>
      <xdr:colOff>2215563</xdr:colOff>
      <xdr:row>69</xdr:row>
      <xdr:rowOff>17145</xdr:rowOff>
    </xdr:to>
    <xdr:graphicFrame macro="">
      <xdr:nvGraphicFramePr>
        <xdr:cNvPr id="65" name="Chart 12">
          <a:extLst>
            <a:ext uri="{FF2B5EF4-FFF2-40B4-BE49-F238E27FC236}">
              <a16:creationId xmlns:a16="http://schemas.microsoft.com/office/drawing/2014/main" id="{00000000-0008-0000-0000-00004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564178</xdr:colOff>
      <xdr:row>62</xdr:row>
      <xdr:rowOff>198576</xdr:rowOff>
    </xdr:from>
    <xdr:to>
      <xdr:col>10</xdr:col>
      <xdr:colOff>402630</xdr:colOff>
      <xdr:row>64</xdr:row>
      <xdr:rowOff>14727</xdr:rowOff>
    </xdr:to>
    <xdr:sp macro="" textlink="'Variable Management'!A260">
      <xdr:nvSpPr>
        <xdr:cNvPr id="2071" name="Text Box 23">
          <a:extLst>
            <a:ext uri="{FF2B5EF4-FFF2-40B4-BE49-F238E27FC236}">
              <a16:creationId xmlns:a16="http://schemas.microsoft.com/office/drawing/2014/main" id="{00000000-0008-0000-0000-000017080000}"/>
            </a:ext>
          </a:extLst>
        </xdr:cNvPr>
        <xdr:cNvSpPr txBox="1">
          <a:spLocks noChangeArrowheads="1" noTextEdit="1"/>
        </xdr:cNvSpPr>
      </xdr:nvSpPr>
      <xdr:spPr bwMode="auto">
        <a:xfrm>
          <a:off x="4802803" y="11876226"/>
          <a:ext cx="2067302" cy="216201"/>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10952A97-D9C5-44B7-89A3-65441574648A}" type="TxLink">
            <a:rPr lang="en-US" sz="1050" b="1" i="0" u="none" strike="noStrike" baseline="0">
              <a:solidFill>
                <a:srgbClr val="FF0000"/>
              </a:solidFill>
              <a:latin typeface="Arial"/>
              <a:cs typeface="Arial"/>
            </a:rPr>
            <a:pPr algn="l" rtl="0">
              <a:defRPr sz="1000"/>
            </a:pPr>
            <a:t>Crossover Frequency = 33 kHz</a:t>
          </a:fld>
          <a:endParaRPr lang="en-US" sz="1050" b="1" i="0" u="none" strike="noStrike" baseline="0">
            <a:solidFill>
              <a:srgbClr val="FF0000"/>
            </a:solidFill>
            <a:latin typeface="Arial"/>
            <a:cs typeface="Arial"/>
          </a:endParaRPr>
        </a:p>
      </xdr:txBody>
    </xdr:sp>
    <xdr:clientData/>
  </xdr:twoCellAnchor>
  <xdr:twoCellAnchor>
    <xdr:from>
      <xdr:col>7</xdr:col>
      <xdr:colOff>575180</xdr:colOff>
      <xdr:row>65</xdr:row>
      <xdr:rowOff>23362</xdr:rowOff>
    </xdr:from>
    <xdr:to>
      <xdr:col>9</xdr:col>
      <xdr:colOff>495300</xdr:colOff>
      <xdr:row>66</xdr:row>
      <xdr:rowOff>96064</xdr:rowOff>
    </xdr:to>
    <xdr:sp macro="" textlink="'Variable Management'!A261">
      <xdr:nvSpPr>
        <xdr:cNvPr id="2072" name="Text Box 24">
          <a:extLst>
            <a:ext uri="{FF2B5EF4-FFF2-40B4-BE49-F238E27FC236}">
              <a16:creationId xmlns:a16="http://schemas.microsoft.com/office/drawing/2014/main" id="{00000000-0008-0000-0000-000018080000}"/>
            </a:ext>
          </a:extLst>
        </xdr:cNvPr>
        <xdr:cNvSpPr txBox="1">
          <a:spLocks noChangeArrowheads="1" noTextEdit="1"/>
        </xdr:cNvSpPr>
      </xdr:nvSpPr>
      <xdr:spPr bwMode="auto">
        <a:xfrm>
          <a:off x="4813805" y="12301087"/>
          <a:ext cx="1320295" cy="244152"/>
        </a:xfrm>
        <a:prstGeom prst="rect">
          <a:avLst/>
        </a:prstGeom>
        <a:solidFill>
          <a:schemeClr val="bg1"/>
        </a:solidFill>
        <a:ln w="9525">
          <a:noFill/>
          <a:miter lim="800000"/>
          <a:headEnd/>
          <a:tailEnd/>
        </a:ln>
      </xdr:spPr>
      <xdr:txBody>
        <a:bodyPr vertOverflow="clip" wrap="square" lIns="27432" tIns="22860" rIns="0" bIns="22860" anchor="ctr" upright="1"/>
        <a:lstStyle/>
        <a:p>
          <a:pPr algn="l" rtl="0">
            <a:defRPr sz="1000"/>
          </a:pPr>
          <a:fld id="{95DD25AA-EC3B-4C80-B80E-8DC148525216}" type="TxLink">
            <a:rPr lang="en-US" sz="1050" b="1" i="0" u="none" strike="noStrike" baseline="0">
              <a:solidFill>
                <a:srgbClr val="002060"/>
              </a:solidFill>
              <a:latin typeface="Arial"/>
              <a:cs typeface="Arial"/>
            </a:rPr>
            <a:pPr algn="l" rtl="0">
              <a:defRPr sz="1000"/>
            </a:pPr>
            <a:t>Phase Margin = 65°</a:t>
          </a:fld>
          <a:endParaRPr lang="en-US" sz="1050" b="1" i="0" u="none" strike="noStrike" baseline="0">
            <a:solidFill>
              <a:srgbClr val="002060"/>
            </a:solidFill>
            <a:latin typeface="Arial"/>
            <a:cs typeface="Arial"/>
          </a:endParaRPr>
        </a:p>
      </xdr:txBody>
    </xdr:sp>
    <xdr:clientData/>
  </xdr:twoCellAnchor>
  <xdr:twoCellAnchor>
    <xdr:from>
      <xdr:col>6</xdr:col>
      <xdr:colOff>295274</xdr:colOff>
      <xdr:row>80</xdr:row>
      <xdr:rowOff>135255</xdr:rowOff>
    </xdr:from>
    <xdr:to>
      <xdr:col>16</xdr:col>
      <xdr:colOff>2343149</xdr:colOff>
      <xdr:row>107</xdr:row>
      <xdr:rowOff>49357</xdr:rowOff>
    </xdr:to>
    <xdr:graphicFrame macro="">
      <xdr:nvGraphicFramePr>
        <xdr:cNvPr id="22339318" name="Chart 253">
          <a:extLst>
            <a:ext uri="{FF2B5EF4-FFF2-40B4-BE49-F238E27FC236}">
              <a16:creationId xmlns:a16="http://schemas.microsoft.com/office/drawing/2014/main" id="{00000000-0008-0000-0000-0000F6DE54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555564</xdr:colOff>
      <xdr:row>13</xdr:row>
      <xdr:rowOff>151039</xdr:rowOff>
    </xdr:from>
    <xdr:to>
      <xdr:col>7</xdr:col>
      <xdr:colOff>202908</xdr:colOff>
      <xdr:row>14</xdr:row>
      <xdr:rowOff>203796</xdr:rowOff>
    </xdr:to>
    <xdr:sp macro="" textlink="">
      <xdr:nvSpPr>
        <xdr:cNvPr id="2272" name="Text Box 224">
          <a:extLst>
            <a:ext uri="{FF2B5EF4-FFF2-40B4-BE49-F238E27FC236}">
              <a16:creationId xmlns:a16="http://schemas.microsoft.com/office/drawing/2014/main" id="{00000000-0008-0000-0000-0000E0080000}"/>
            </a:ext>
          </a:extLst>
        </xdr:cNvPr>
        <xdr:cNvSpPr txBox="1">
          <a:spLocks noChangeArrowheads="1"/>
        </xdr:cNvSpPr>
      </xdr:nvSpPr>
      <xdr:spPr bwMode="auto">
        <a:xfrm>
          <a:off x="4302811" y="3010780"/>
          <a:ext cx="274873" cy="23205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7</xdr:col>
      <xdr:colOff>759806</xdr:colOff>
      <xdr:row>11</xdr:row>
      <xdr:rowOff>40097</xdr:rowOff>
    </xdr:from>
    <xdr:to>
      <xdr:col>8</xdr:col>
      <xdr:colOff>312532</xdr:colOff>
      <xdr:row>12</xdr:row>
      <xdr:rowOff>70462</xdr:rowOff>
    </xdr:to>
    <xdr:sp macro="" textlink="">
      <xdr:nvSpPr>
        <xdr:cNvPr id="2273" name="Text Box 225">
          <a:extLst>
            <a:ext uri="{FF2B5EF4-FFF2-40B4-BE49-F238E27FC236}">
              <a16:creationId xmlns:a16="http://schemas.microsoft.com/office/drawing/2014/main" id="{00000000-0008-0000-0000-0000E1080000}"/>
            </a:ext>
          </a:extLst>
        </xdr:cNvPr>
        <xdr:cNvSpPr txBox="1">
          <a:spLocks noChangeArrowheads="1"/>
        </xdr:cNvSpPr>
      </xdr:nvSpPr>
      <xdr:spPr bwMode="auto">
        <a:xfrm>
          <a:off x="5134582" y="2523321"/>
          <a:ext cx="368515" cy="209659"/>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6</xdr:col>
      <xdr:colOff>590986</xdr:colOff>
      <xdr:row>11</xdr:row>
      <xdr:rowOff>3919</xdr:rowOff>
    </xdr:from>
    <xdr:to>
      <xdr:col>7</xdr:col>
      <xdr:colOff>242156</xdr:colOff>
      <xdr:row>12</xdr:row>
      <xdr:rowOff>74398</xdr:rowOff>
    </xdr:to>
    <xdr:sp macro="" textlink="">
      <xdr:nvSpPr>
        <xdr:cNvPr id="2275" name="Text Box 227">
          <a:extLst>
            <a:ext uri="{FF2B5EF4-FFF2-40B4-BE49-F238E27FC236}">
              <a16:creationId xmlns:a16="http://schemas.microsoft.com/office/drawing/2014/main" id="{00000000-0008-0000-0000-0000E3080000}"/>
            </a:ext>
          </a:extLst>
        </xdr:cNvPr>
        <xdr:cNvSpPr txBox="1">
          <a:spLocks noChangeArrowheads="1"/>
        </xdr:cNvSpPr>
      </xdr:nvSpPr>
      <xdr:spPr bwMode="auto">
        <a:xfrm>
          <a:off x="4338233" y="2487143"/>
          <a:ext cx="278699" cy="249773"/>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16</xdr:col>
      <xdr:colOff>1680139</xdr:colOff>
      <xdr:row>20</xdr:row>
      <xdr:rowOff>55039</xdr:rowOff>
    </xdr:from>
    <xdr:to>
      <xdr:col>16</xdr:col>
      <xdr:colOff>2101928</xdr:colOff>
      <xdr:row>21</xdr:row>
      <xdr:rowOff>94916</xdr:rowOff>
    </xdr:to>
    <xdr:sp macro="" textlink="">
      <xdr:nvSpPr>
        <xdr:cNvPr id="2276" name="Text Box 228">
          <a:extLst>
            <a:ext uri="{FF2B5EF4-FFF2-40B4-BE49-F238E27FC236}">
              <a16:creationId xmlns:a16="http://schemas.microsoft.com/office/drawing/2014/main" id="{00000000-0008-0000-0000-0000E4080000}"/>
            </a:ext>
          </a:extLst>
        </xdr:cNvPr>
        <xdr:cNvSpPr txBox="1">
          <a:spLocks noChangeArrowheads="1"/>
        </xdr:cNvSpPr>
      </xdr:nvSpPr>
      <xdr:spPr bwMode="auto">
        <a:xfrm>
          <a:off x="12401927" y="4259486"/>
          <a:ext cx="421789" cy="22813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13</xdr:col>
      <xdr:colOff>325065</xdr:colOff>
      <xdr:row>29</xdr:row>
      <xdr:rowOff>74937</xdr:rowOff>
    </xdr:from>
    <xdr:to>
      <xdr:col>14</xdr:col>
      <xdr:colOff>188000</xdr:colOff>
      <xdr:row>30</xdr:row>
      <xdr:rowOff>114031</xdr:rowOff>
    </xdr:to>
    <xdr:sp macro="" textlink="">
      <xdr:nvSpPr>
        <xdr:cNvPr id="2279" name="Text Box 231">
          <a:extLst>
            <a:ext uri="{FF2B5EF4-FFF2-40B4-BE49-F238E27FC236}">
              <a16:creationId xmlns:a16="http://schemas.microsoft.com/office/drawing/2014/main" id="{00000000-0008-0000-0000-0000E7080000}"/>
            </a:ext>
          </a:extLst>
        </xdr:cNvPr>
        <xdr:cNvSpPr txBox="1">
          <a:spLocks noChangeArrowheads="1"/>
        </xdr:cNvSpPr>
      </xdr:nvSpPr>
      <xdr:spPr bwMode="auto">
        <a:xfrm>
          <a:off x="9101512" y="6000608"/>
          <a:ext cx="490464" cy="27217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16</xdr:col>
      <xdr:colOff>877317</xdr:colOff>
      <xdr:row>14</xdr:row>
      <xdr:rowOff>229231</xdr:rowOff>
    </xdr:from>
    <xdr:to>
      <xdr:col>16</xdr:col>
      <xdr:colOff>1222388</xdr:colOff>
      <xdr:row>16</xdr:row>
      <xdr:rowOff>83471</xdr:rowOff>
    </xdr:to>
    <xdr:sp macro="" textlink="">
      <xdr:nvSpPr>
        <xdr:cNvPr id="2283" name="Text Box 235">
          <a:extLst>
            <a:ext uri="{FF2B5EF4-FFF2-40B4-BE49-F238E27FC236}">
              <a16:creationId xmlns:a16="http://schemas.microsoft.com/office/drawing/2014/main" id="{00000000-0008-0000-0000-0000EB080000}"/>
            </a:ext>
          </a:extLst>
        </xdr:cNvPr>
        <xdr:cNvSpPr txBox="1">
          <a:spLocks noChangeArrowheads="1"/>
        </xdr:cNvSpPr>
      </xdr:nvSpPr>
      <xdr:spPr bwMode="auto">
        <a:xfrm>
          <a:off x="11599105" y="3268266"/>
          <a:ext cx="345071" cy="284546"/>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16</xdr:col>
      <xdr:colOff>627859</xdr:colOff>
      <xdr:row>20</xdr:row>
      <xdr:rowOff>87726</xdr:rowOff>
    </xdr:from>
    <xdr:to>
      <xdr:col>16</xdr:col>
      <xdr:colOff>953625</xdr:colOff>
      <xdr:row>21</xdr:row>
      <xdr:rowOff>126803</xdr:rowOff>
    </xdr:to>
    <xdr:sp macro="" textlink="">
      <xdr:nvSpPr>
        <xdr:cNvPr id="2292" name="Text Box 244">
          <a:extLst>
            <a:ext uri="{FF2B5EF4-FFF2-40B4-BE49-F238E27FC236}">
              <a16:creationId xmlns:a16="http://schemas.microsoft.com/office/drawing/2014/main" id="{00000000-0008-0000-0000-0000F4080000}"/>
            </a:ext>
          </a:extLst>
        </xdr:cNvPr>
        <xdr:cNvSpPr txBox="1">
          <a:spLocks noChangeArrowheads="1"/>
        </xdr:cNvSpPr>
      </xdr:nvSpPr>
      <xdr:spPr bwMode="auto">
        <a:xfrm>
          <a:off x="11349647" y="4292173"/>
          <a:ext cx="325766" cy="22733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15</xdr:col>
      <xdr:colOff>259069</xdr:colOff>
      <xdr:row>26</xdr:row>
      <xdr:rowOff>24987</xdr:rowOff>
    </xdr:from>
    <xdr:to>
      <xdr:col>15</xdr:col>
      <xdr:colOff>634071</xdr:colOff>
      <xdr:row>27</xdr:row>
      <xdr:rowOff>73564</xdr:rowOff>
    </xdr:to>
    <xdr:sp macro="" textlink="">
      <xdr:nvSpPr>
        <xdr:cNvPr id="2297" name="Text Box 249">
          <a:extLst>
            <a:ext uri="{FF2B5EF4-FFF2-40B4-BE49-F238E27FC236}">
              <a16:creationId xmlns:a16="http://schemas.microsoft.com/office/drawing/2014/main" id="{00000000-0008-0000-0000-0000F9080000}"/>
            </a:ext>
          </a:extLst>
        </xdr:cNvPr>
        <xdr:cNvSpPr txBox="1">
          <a:spLocks noChangeArrowheads="1"/>
        </xdr:cNvSpPr>
      </xdr:nvSpPr>
      <xdr:spPr bwMode="auto">
        <a:xfrm>
          <a:off x="10290575" y="5412775"/>
          <a:ext cx="37500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9</xdr:col>
      <xdr:colOff>386419</xdr:colOff>
      <xdr:row>13</xdr:row>
      <xdr:rowOff>92828</xdr:rowOff>
    </xdr:from>
    <xdr:to>
      <xdr:col>9</xdr:col>
      <xdr:colOff>711193</xdr:colOff>
      <xdr:row>14</xdr:row>
      <xdr:rowOff>197498</xdr:rowOff>
    </xdr:to>
    <xdr:sp macro="" textlink="">
      <xdr:nvSpPr>
        <xdr:cNvPr id="2299" name="Text Box 251">
          <a:extLst>
            <a:ext uri="{FF2B5EF4-FFF2-40B4-BE49-F238E27FC236}">
              <a16:creationId xmlns:a16="http://schemas.microsoft.com/office/drawing/2014/main" id="{00000000-0008-0000-0000-0000FB080000}"/>
            </a:ext>
          </a:extLst>
        </xdr:cNvPr>
        <xdr:cNvSpPr txBox="1">
          <a:spLocks noChangeArrowheads="1"/>
        </xdr:cNvSpPr>
      </xdr:nvSpPr>
      <xdr:spPr bwMode="auto">
        <a:xfrm>
          <a:off x="6204513" y="2952569"/>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9</xdr:col>
      <xdr:colOff>22299</xdr:colOff>
      <xdr:row>26</xdr:row>
      <xdr:rowOff>46305</xdr:rowOff>
    </xdr:from>
    <xdr:to>
      <xdr:col>9</xdr:col>
      <xdr:colOff>402179</xdr:colOff>
      <xdr:row>26</xdr:row>
      <xdr:rowOff>46305</xdr:rowOff>
    </xdr:to>
    <xdr:sp macro="" textlink="">
      <xdr:nvSpPr>
        <xdr:cNvPr id="2300" name="Text Box 252">
          <a:extLst>
            <a:ext uri="{FF2B5EF4-FFF2-40B4-BE49-F238E27FC236}">
              <a16:creationId xmlns:a16="http://schemas.microsoft.com/office/drawing/2014/main" id="{00000000-0008-0000-0000-0000FC080000}"/>
            </a:ext>
          </a:extLst>
        </xdr:cNvPr>
        <xdr:cNvSpPr txBox="1">
          <a:spLocks noChangeArrowheads="1"/>
        </xdr:cNvSpPr>
      </xdr:nvSpPr>
      <xdr:spPr bwMode="auto">
        <a:xfrm>
          <a:off x="5840393" y="5434093"/>
          <a:ext cx="379880"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7</xdr:col>
      <xdr:colOff>250203</xdr:colOff>
      <xdr:row>19</xdr:row>
      <xdr:rowOff>37243</xdr:rowOff>
    </xdr:from>
    <xdr:to>
      <xdr:col>7</xdr:col>
      <xdr:colOff>645192</xdr:colOff>
      <xdr:row>20</xdr:row>
      <xdr:rowOff>77952</xdr:rowOff>
    </xdr:to>
    <xdr:sp macro="" textlink="">
      <xdr:nvSpPr>
        <xdr:cNvPr id="2303" name="Text Box 255">
          <a:extLst>
            <a:ext uri="{FF2B5EF4-FFF2-40B4-BE49-F238E27FC236}">
              <a16:creationId xmlns:a16="http://schemas.microsoft.com/office/drawing/2014/main" id="{00000000-0008-0000-0000-0000FF080000}"/>
            </a:ext>
          </a:extLst>
        </xdr:cNvPr>
        <xdr:cNvSpPr txBox="1">
          <a:spLocks noChangeArrowheads="1"/>
        </xdr:cNvSpPr>
      </xdr:nvSpPr>
      <xdr:spPr bwMode="auto">
        <a:xfrm>
          <a:off x="4624979" y="4053431"/>
          <a:ext cx="394989" cy="22896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8</xdr:col>
      <xdr:colOff>21933</xdr:colOff>
      <xdr:row>17</xdr:row>
      <xdr:rowOff>144748</xdr:rowOff>
    </xdr:from>
    <xdr:to>
      <xdr:col>8</xdr:col>
      <xdr:colOff>290089</xdr:colOff>
      <xdr:row>18</xdr:row>
      <xdr:rowOff>187394</xdr:rowOff>
    </xdr:to>
    <xdr:sp macro="" textlink="">
      <xdr:nvSpPr>
        <xdr:cNvPr id="2304" name="Text Box 256">
          <a:extLst>
            <a:ext uri="{FF2B5EF4-FFF2-40B4-BE49-F238E27FC236}">
              <a16:creationId xmlns:a16="http://schemas.microsoft.com/office/drawing/2014/main" id="{00000000-0008-0000-0000-000000090000}"/>
            </a:ext>
          </a:extLst>
        </xdr:cNvPr>
        <xdr:cNvSpPr txBox="1">
          <a:spLocks noChangeArrowheads="1"/>
        </xdr:cNvSpPr>
      </xdr:nvSpPr>
      <xdr:spPr bwMode="auto">
        <a:xfrm>
          <a:off x="5212498" y="3793383"/>
          <a:ext cx="268156" cy="221940"/>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8</xdr:col>
      <xdr:colOff>519797</xdr:colOff>
      <xdr:row>13</xdr:row>
      <xdr:rowOff>148705</xdr:rowOff>
    </xdr:from>
    <xdr:to>
      <xdr:col>9</xdr:col>
      <xdr:colOff>207317</xdr:colOff>
      <xdr:row>14</xdr:row>
      <xdr:rowOff>212782</xdr:rowOff>
    </xdr:to>
    <xdr:sp macro="" textlink="">
      <xdr:nvSpPr>
        <xdr:cNvPr id="2305" name="Text Box 257">
          <a:extLst>
            <a:ext uri="{FF2B5EF4-FFF2-40B4-BE49-F238E27FC236}">
              <a16:creationId xmlns:a16="http://schemas.microsoft.com/office/drawing/2014/main" id="{00000000-0008-0000-0000-000001090000}"/>
            </a:ext>
          </a:extLst>
        </xdr:cNvPr>
        <xdr:cNvSpPr txBox="1">
          <a:spLocks noChangeArrowheads="1"/>
        </xdr:cNvSpPr>
      </xdr:nvSpPr>
      <xdr:spPr bwMode="auto">
        <a:xfrm>
          <a:off x="5710362" y="3008446"/>
          <a:ext cx="315049" cy="2433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8</xdr:col>
      <xdr:colOff>35132</xdr:colOff>
      <xdr:row>13</xdr:row>
      <xdr:rowOff>129764</xdr:rowOff>
    </xdr:from>
    <xdr:to>
      <xdr:col>8</xdr:col>
      <xdr:colOff>374595</xdr:colOff>
      <xdr:row>14</xdr:row>
      <xdr:rowOff>199977</xdr:rowOff>
    </xdr:to>
    <xdr:sp macro="" textlink="">
      <xdr:nvSpPr>
        <xdr:cNvPr id="9616412" name="Text Box 258">
          <a:extLst>
            <a:ext uri="{FF2B5EF4-FFF2-40B4-BE49-F238E27FC236}">
              <a16:creationId xmlns:a16="http://schemas.microsoft.com/office/drawing/2014/main" id="{00000000-0008-0000-0000-00001CBC9200}"/>
            </a:ext>
          </a:extLst>
        </xdr:cNvPr>
        <xdr:cNvSpPr txBox="1">
          <a:spLocks noChangeArrowheads="1"/>
        </xdr:cNvSpPr>
      </xdr:nvSpPr>
      <xdr:spPr bwMode="auto">
        <a:xfrm>
          <a:off x="5225697" y="2989505"/>
          <a:ext cx="339463" cy="24950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15</xdr:col>
      <xdr:colOff>246918</xdr:colOff>
      <xdr:row>27</xdr:row>
      <xdr:rowOff>76189</xdr:rowOff>
    </xdr:from>
    <xdr:to>
      <xdr:col>15</xdr:col>
      <xdr:colOff>665248</xdr:colOff>
      <xdr:row>28</xdr:row>
      <xdr:rowOff>163563</xdr:rowOff>
    </xdr:to>
    <xdr:sp macro="" textlink="">
      <xdr:nvSpPr>
        <xdr:cNvPr id="2308" name="Text Box 260">
          <a:extLst>
            <a:ext uri="{FF2B5EF4-FFF2-40B4-BE49-F238E27FC236}">
              <a16:creationId xmlns:a16="http://schemas.microsoft.com/office/drawing/2014/main" id="{00000000-0008-0000-0000-000004090000}"/>
            </a:ext>
          </a:extLst>
        </xdr:cNvPr>
        <xdr:cNvSpPr txBox="1">
          <a:spLocks noChangeArrowheads="1"/>
        </xdr:cNvSpPr>
      </xdr:nvSpPr>
      <xdr:spPr bwMode="auto">
        <a:xfrm>
          <a:off x="10278424" y="5643271"/>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8</xdr:col>
      <xdr:colOff>366144</xdr:colOff>
      <xdr:row>14</xdr:row>
      <xdr:rowOff>149052</xdr:rowOff>
    </xdr:from>
    <xdr:to>
      <xdr:col>9</xdr:col>
      <xdr:colOff>254444</xdr:colOff>
      <xdr:row>15</xdr:row>
      <xdr:rowOff>140755</xdr:rowOff>
    </xdr:to>
    <xdr:sp macro="" textlink="'Variable Management'!B254">
      <xdr:nvSpPr>
        <xdr:cNvPr id="2309" name="Text Box 261">
          <a:extLst>
            <a:ext uri="{FF2B5EF4-FFF2-40B4-BE49-F238E27FC236}">
              <a16:creationId xmlns:a16="http://schemas.microsoft.com/office/drawing/2014/main" id="{00000000-0008-0000-0000-000005090000}"/>
            </a:ext>
          </a:extLst>
        </xdr:cNvPr>
        <xdr:cNvSpPr txBox="1">
          <a:spLocks noChangeArrowheads="1" noTextEdit="1"/>
        </xdr:cNvSpPr>
      </xdr:nvSpPr>
      <xdr:spPr bwMode="auto">
        <a:xfrm>
          <a:off x="5556709" y="3188087"/>
          <a:ext cx="515829" cy="242715"/>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4.7nF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8</xdr:col>
      <xdr:colOff>487542</xdr:colOff>
      <xdr:row>17</xdr:row>
      <xdr:rowOff>145320</xdr:rowOff>
    </xdr:from>
    <xdr:to>
      <xdr:col>9</xdr:col>
      <xdr:colOff>332489</xdr:colOff>
      <xdr:row>19</xdr:row>
      <xdr:rowOff>1662</xdr:rowOff>
    </xdr:to>
    <xdr:sp macro="" textlink="'Variable Management'!B255">
      <xdr:nvSpPr>
        <xdr:cNvPr id="2310" name="Text Box 262">
          <a:extLst>
            <a:ext uri="{FF2B5EF4-FFF2-40B4-BE49-F238E27FC236}">
              <a16:creationId xmlns:a16="http://schemas.microsoft.com/office/drawing/2014/main" id="{00000000-0008-0000-0000-000006090000}"/>
            </a:ext>
          </a:extLst>
        </xdr:cNvPr>
        <xdr:cNvSpPr txBox="1">
          <a:spLocks noChangeArrowheads="1" noTextEdit="1"/>
        </xdr:cNvSpPr>
      </xdr:nvSpPr>
      <xdr:spPr bwMode="auto">
        <a:xfrm>
          <a:off x="5678107" y="3793955"/>
          <a:ext cx="472476" cy="223895"/>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120pF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710015</xdr:colOff>
      <xdr:row>14</xdr:row>
      <xdr:rowOff>168174</xdr:rowOff>
    </xdr:from>
    <xdr:to>
      <xdr:col>8</xdr:col>
      <xdr:colOff>434385</xdr:colOff>
      <xdr:row>15</xdr:row>
      <xdr:rowOff>149088</xdr:rowOff>
    </xdr:to>
    <xdr:sp macro="" textlink="'Variable Management'!B253">
      <xdr:nvSpPr>
        <xdr:cNvPr id="2311" name="Text Box 263">
          <a:extLst>
            <a:ext uri="{FF2B5EF4-FFF2-40B4-BE49-F238E27FC236}">
              <a16:creationId xmlns:a16="http://schemas.microsoft.com/office/drawing/2014/main" id="{00000000-0008-0000-0000-000007090000}"/>
            </a:ext>
          </a:extLst>
        </xdr:cNvPr>
        <xdr:cNvSpPr txBox="1">
          <a:spLocks noChangeArrowheads="1" noTextEdit="1"/>
        </xdr:cNvSpPr>
      </xdr:nvSpPr>
      <xdr:spPr bwMode="auto">
        <a:xfrm>
          <a:off x="5084791" y="3207209"/>
          <a:ext cx="540159" cy="231926"/>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8.66kΩ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567860</xdr:colOff>
      <xdr:row>20</xdr:row>
      <xdr:rowOff>92775</xdr:rowOff>
    </xdr:from>
    <xdr:to>
      <xdr:col>7</xdr:col>
      <xdr:colOff>551680</xdr:colOff>
      <xdr:row>21</xdr:row>
      <xdr:rowOff>142630</xdr:rowOff>
    </xdr:to>
    <xdr:sp macro="" textlink="'Variable Management'!B259">
      <xdr:nvSpPr>
        <xdr:cNvPr id="2312" name="Text Box 264">
          <a:extLst>
            <a:ext uri="{FF2B5EF4-FFF2-40B4-BE49-F238E27FC236}">
              <a16:creationId xmlns:a16="http://schemas.microsoft.com/office/drawing/2014/main" id="{00000000-0008-0000-0000-000008090000}"/>
            </a:ext>
          </a:extLst>
        </xdr:cNvPr>
        <xdr:cNvSpPr txBox="1">
          <a:spLocks noChangeArrowheads="1" noTextEdit="1"/>
        </xdr:cNvSpPr>
      </xdr:nvSpPr>
      <xdr:spPr bwMode="auto">
        <a:xfrm>
          <a:off x="4315107" y="4297222"/>
          <a:ext cx="611349" cy="238114"/>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4.12kΩ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449671</xdr:colOff>
      <xdr:row>12</xdr:row>
      <xdr:rowOff>37083</xdr:rowOff>
    </xdr:from>
    <xdr:to>
      <xdr:col>7</xdr:col>
      <xdr:colOff>236237</xdr:colOff>
      <xdr:row>13</xdr:row>
      <xdr:rowOff>112369</xdr:rowOff>
    </xdr:to>
    <xdr:sp macro="" textlink="'Variable Management'!B256">
      <xdr:nvSpPr>
        <xdr:cNvPr id="2313" name="Text Box 265">
          <a:extLst>
            <a:ext uri="{FF2B5EF4-FFF2-40B4-BE49-F238E27FC236}">
              <a16:creationId xmlns:a16="http://schemas.microsoft.com/office/drawing/2014/main" id="{00000000-0008-0000-0000-000009090000}"/>
            </a:ext>
          </a:extLst>
        </xdr:cNvPr>
        <xdr:cNvSpPr txBox="1">
          <a:spLocks noChangeArrowheads="1" noTextEdit="1"/>
        </xdr:cNvSpPr>
      </xdr:nvSpPr>
      <xdr:spPr bwMode="auto">
        <a:xfrm>
          <a:off x="4196918" y="2699601"/>
          <a:ext cx="414095" cy="272509"/>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866Ω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409584</xdr:colOff>
      <xdr:row>14</xdr:row>
      <xdr:rowOff>178913</xdr:rowOff>
    </xdr:from>
    <xdr:to>
      <xdr:col>7</xdr:col>
      <xdr:colOff>278518</xdr:colOff>
      <xdr:row>15</xdr:row>
      <xdr:rowOff>121046</xdr:rowOff>
    </xdr:to>
    <xdr:sp macro="" textlink="'Variable Management'!B257">
      <xdr:nvSpPr>
        <xdr:cNvPr id="2314" name="Text Box 266">
          <a:extLst>
            <a:ext uri="{FF2B5EF4-FFF2-40B4-BE49-F238E27FC236}">
              <a16:creationId xmlns:a16="http://schemas.microsoft.com/office/drawing/2014/main" id="{00000000-0008-0000-0000-00000A090000}"/>
            </a:ext>
          </a:extLst>
        </xdr:cNvPr>
        <xdr:cNvSpPr txBox="1">
          <a:spLocks noChangeArrowheads="1" noTextEdit="1"/>
        </xdr:cNvSpPr>
      </xdr:nvSpPr>
      <xdr:spPr bwMode="auto">
        <a:xfrm>
          <a:off x="4156831" y="3217948"/>
          <a:ext cx="496463"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1596141</xdr:colOff>
      <xdr:row>21</xdr:row>
      <xdr:rowOff>108054</xdr:rowOff>
    </xdr:from>
    <xdr:to>
      <xdr:col>16</xdr:col>
      <xdr:colOff>2286142</xdr:colOff>
      <xdr:row>22</xdr:row>
      <xdr:rowOff>175707</xdr:rowOff>
    </xdr:to>
    <xdr:sp macro="" textlink="'Variable Management'!E243">
      <xdr:nvSpPr>
        <xdr:cNvPr id="2315" name="Text Box 267">
          <a:extLst>
            <a:ext uri="{FF2B5EF4-FFF2-40B4-BE49-F238E27FC236}">
              <a16:creationId xmlns:a16="http://schemas.microsoft.com/office/drawing/2014/main" id="{00000000-0008-0000-0000-00000B090000}"/>
            </a:ext>
          </a:extLst>
        </xdr:cNvPr>
        <xdr:cNvSpPr txBox="1">
          <a:spLocks noChangeArrowheads="1" noTextEdit="1"/>
        </xdr:cNvSpPr>
      </xdr:nvSpPr>
      <xdr:spPr bwMode="auto">
        <a:xfrm>
          <a:off x="12317929" y="4500760"/>
          <a:ext cx="690001" cy="246947"/>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773901</xdr:colOff>
      <xdr:row>12</xdr:row>
      <xdr:rowOff>30614</xdr:rowOff>
    </xdr:from>
    <xdr:to>
      <xdr:col>8</xdr:col>
      <xdr:colOff>512153</xdr:colOff>
      <xdr:row>13</xdr:row>
      <xdr:rowOff>142936</xdr:rowOff>
    </xdr:to>
    <xdr:sp macro="" textlink="'Variable Management'!B258">
      <xdr:nvSpPr>
        <xdr:cNvPr id="2316" name="Text Box 268">
          <a:extLst>
            <a:ext uri="{FF2B5EF4-FFF2-40B4-BE49-F238E27FC236}">
              <a16:creationId xmlns:a16="http://schemas.microsoft.com/office/drawing/2014/main" id="{00000000-0008-0000-0000-00000C090000}"/>
            </a:ext>
          </a:extLst>
        </xdr:cNvPr>
        <xdr:cNvSpPr txBox="1">
          <a:spLocks noChangeArrowheads="1" noTextEdit="1"/>
        </xdr:cNvSpPr>
      </xdr:nvSpPr>
      <xdr:spPr bwMode="auto">
        <a:xfrm>
          <a:off x="5148677" y="2693132"/>
          <a:ext cx="554041" cy="309545"/>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22.1kΩ</a:t>
          </a:fld>
          <a:endParaRPr lang="el-GR" sz="1000" b="0" i="0" strike="noStrike">
            <a:solidFill>
              <a:srgbClr val="000000"/>
            </a:solidFill>
            <a:latin typeface="Arial" pitchFamily="34" charset="0"/>
            <a:cs typeface="Arial" pitchFamily="34" charset="0"/>
          </a:endParaRPr>
        </a:p>
      </xdr:txBody>
    </xdr:sp>
    <xdr:clientData/>
  </xdr:twoCellAnchor>
  <xdr:twoCellAnchor>
    <xdr:from>
      <xdr:col>13</xdr:col>
      <xdr:colOff>317672</xdr:colOff>
      <xdr:row>30</xdr:row>
      <xdr:rowOff>59671</xdr:rowOff>
    </xdr:from>
    <xdr:to>
      <xdr:col>14</xdr:col>
      <xdr:colOff>278742</xdr:colOff>
      <xdr:row>31</xdr:row>
      <xdr:rowOff>105842</xdr:rowOff>
    </xdr:to>
    <xdr:sp macro="" textlink="'Variable Management'!B268">
      <xdr:nvSpPr>
        <xdr:cNvPr id="2318" name="Text Box 270">
          <a:extLst>
            <a:ext uri="{FF2B5EF4-FFF2-40B4-BE49-F238E27FC236}">
              <a16:creationId xmlns:a16="http://schemas.microsoft.com/office/drawing/2014/main" id="{00000000-0008-0000-0000-00000E090000}"/>
            </a:ext>
          </a:extLst>
        </xdr:cNvPr>
        <xdr:cNvSpPr txBox="1">
          <a:spLocks noChangeArrowheads="1" noTextEdit="1"/>
        </xdr:cNvSpPr>
      </xdr:nvSpPr>
      <xdr:spPr bwMode="auto">
        <a:xfrm>
          <a:off x="9094119" y="6218424"/>
          <a:ext cx="588599"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274Ω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782306</xdr:colOff>
      <xdr:row>17</xdr:row>
      <xdr:rowOff>128493</xdr:rowOff>
    </xdr:from>
    <xdr:to>
      <xdr:col>16</xdr:col>
      <xdr:colOff>1236466</xdr:colOff>
      <xdr:row>19</xdr:row>
      <xdr:rowOff>41799</xdr:rowOff>
    </xdr:to>
    <xdr:sp macro="" textlink="'Variable Management'!B238">
      <xdr:nvSpPr>
        <xdr:cNvPr id="2323" name="Text Box 275">
          <a:extLst>
            <a:ext uri="{FF2B5EF4-FFF2-40B4-BE49-F238E27FC236}">
              <a16:creationId xmlns:a16="http://schemas.microsoft.com/office/drawing/2014/main" id="{00000000-0008-0000-0000-000013090000}"/>
            </a:ext>
          </a:extLst>
        </xdr:cNvPr>
        <xdr:cNvSpPr txBox="1">
          <a:spLocks noChangeArrowheads="1" noTextEdit="1"/>
        </xdr:cNvSpPr>
      </xdr:nvSpPr>
      <xdr:spPr bwMode="auto">
        <a:xfrm>
          <a:off x="11504094" y="3777128"/>
          <a:ext cx="454160" cy="280859"/>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7.4µH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582353</xdr:colOff>
      <xdr:row>21</xdr:row>
      <xdr:rowOff>101486</xdr:rowOff>
    </xdr:from>
    <xdr:to>
      <xdr:col>16</xdr:col>
      <xdr:colOff>1220379</xdr:colOff>
      <xdr:row>22</xdr:row>
      <xdr:rowOff>160385</xdr:rowOff>
    </xdr:to>
    <xdr:sp macro="" textlink="'Variable Management'!E250">
      <xdr:nvSpPr>
        <xdr:cNvPr id="2324" name="Text Box 276">
          <a:extLst>
            <a:ext uri="{FF2B5EF4-FFF2-40B4-BE49-F238E27FC236}">
              <a16:creationId xmlns:a16="http://schemas.microsoft.com/office/drawing/2014/main" id="{00000000-0008-0000-0000-000014090000}"/>
            </a:ext>
          </a:extLst>
        </xdr:cNvPr>
        <xdr:cNvSpPr txBox="1">
          <a:spLocks noChangeArrowheads="1" noTextEdit="1"/>
        </xdr:cNvSpPr>
      </xdr:nvSpPr>
      <xdr:spPr bwMode="auto">
        <a:xfrm>
          <a:off x="11304141" y="4494192"/>
          <a:ext cx="638026" cy="238193"/>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15</xdr:col>
      <xdr:colOff>124830</xdr:colOff>
      <xdr:row>10</xdr:row>
      <xdr:rowOff>136599</xdr:rowOff>
    </xdr:from>
    <xdr:to>
      <xdr:col>15</xdr:col>
      <xdr:colOff>508235</xdr:colOff>
      <xdr:row>12</xdr:row>
      <xdr:rowOff>17055</xdr:rowOff>
    </xdr:to>
    <xdr:sp macro="" textlink="">
      <xdr:nvSpPr>
        <xdr:cNvPr id="2327" name="Text Box 279">
          <a:extLst>
            <a:ext uri="{FF2B5EF4-FFF2-40B4-BE49-F238E27FC236}">
              <a16:creationId xmlns:a16="http://schemas.microsoft.com/office/drawing/2014/main" id="{00000000-0008-0000-0000-000017090000}"/>
            </a:ext>
          </a:extLst>
        </xdr:cNvPr>
        <xdr:cNvSpPr txBox="1">
          <a:spLocks noChangeArrowheads="1"/>
        </xdr:cNvSpPr>
      </xdr:nvSpPr>
      <xdr:spPr bwMode="auto">
        <a:xfrm>
          <a:off x="10156336" y="2440528"/>
          <a:ext cx="383405" cy="239045"/>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9</xdr:col>
      <xdr:colOff>361975</xdr:colOff>
      <xdr:row>14</xdr:row>
      <xdr:rowOff>183310</xdr:rowOff>
    </xdr:from>
    <xdr:to>
      <xdr:col>9</xdr:col>
      <xdr:colOff>715599</xdr:colOff>
      <xdr:row>15</xdr:row>
      <xdr:rowOff>171154</xdr:rowOff>
    </xdr:to>
    <xdr:sp macro="" textlink="'Variable Management'!B276">
      <xdr:nvSpPr>
        <xdr:cNvPr id="2329" name="Text Box 281">
          <a:extLst>
            <a:ext uri="{FF2B5EF4-FFF2-40B4-BE49-F238E27FC236}">
              <a16:creationId xmlns:a16="http://schemas.microsoft.com/office/drawing/2014/main" id="{00000000-0008-0000-0000-000019090000}"/>
            </a:ext>
          </a:extLst>
        </xdr:cNvPr>
        <xdr:cNvSpPr txBox="1">
          <a:spLocks noChangeArrowheads="1" noTextEdit="1"/>
        </xdr:cNvSpPr>
      </xdr:nvSpPr>
      <xdr:spPr bwMode="auto">
        <a:xfrm>
          <a:off x="6180069" y="3222345"/>
          <a:ext cx="353624" cy="238856"/>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16</xdr:col>
      <xdr:colOff>623073</xdr:colOff>
      <xdr:row>9</xdr:row>
      <xdr:rowOff>117905</xdr:rowOff>
    </xdr:from>
    <xdr:to>
      <xdr:col>16</xdr:col>
      <xdr:colOff>991413</xdr:colOff>
      <xdr:row>11</xdr:row>
      <xdr:rowOff>12846</xdr:rowOff>
    </xdr:to>
    <xdr:sp macro="" textlink="'Variable Management'!B280">
      <xdr:nvSpPr>
        <xdr:cNvPr id="2331" name="Text Box 283">
          <a:extLst>
            <a:ext uri="{FF2B5EF4-FFF2-40B4-BE49-F238E27FC236}">
              <a16:creationId xmlns:a16="http://schemas.microsoft.com/office/drawing/2014/main" id="{00000000-0008-0000-0000-00001B090000}"/>
            </a:ext>
          </a:extLst>
        </xdr:cNvPr>
        <xdr:cNvSpPr txBox="1">
          <a:spLocks noChangeArrowheads="1" noTextEdit="1"/>
        </xdr:cNvSpPr>
      </xdr:nvSpPr>
      <xdr:spPr bwMode="auto">
        <a:xfrm>
          <a:off x="11344861" y="2242540"/>
          <a:ext cx="368340" cy="253530"/>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16</xdr:col>
      <xdr:colOff>1842170</xdr:colOff>
      <xdr:row>18</xdr:row>
      <xdr:rowOff>76087</xdr:rowOff>
    </xdr:from>
    <xdr:to>
      <xdr:col>17</xdr:col>
      <xdr:colOff>5124</xdr:colOff>
      <xdr:row>19</xdr:row>
      <xdr:rowOff>128149</xdr:rowOff>
    </xdr:to>
    <xdr:sp macro="" textlink="'Variable Management'!B241">
      <xdr:nvSpPr>
        <xdr:cNvPr id="2333" name="Text Box 285">
          <a:extLst>
            <a:ext uri="{FF2B5EF4-FFF2-40B4-BE49-F238E27FC236}">
              <a16:creationId xmlns:a16="http://schemas.microsoft.com/office/drawing/2014/main" id="{00000000-0008-0000-0000-00001D090000}"/>
            </a:ext>
          </a:extLst>
        </xdr:cNvPr>
        <xdr:cNvSpPr txBox="1">
          <a:spLocks noChangeArrowheads="1" noTextEdit="1"/>
        </xdr:cNvSpPr>
      </xdr:nvSpPr>
      <xdr:spPr bwMode="auto">
        <a:xfrm>
          <a:off x="12563958" y="3904016"/>
          <a:ext cx="1031660" cy="240321"/>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16</xdr:col>
      <xdr:colOff>1842170</xdr:colOff>
      <xdr:row>19</xdr:row>
      <xdr:rowOff>103233</xdr:rowOff>
    </xdr:from>
    <xdr:to>
      <xdr:col>17</xdr:col>
      <xdr:colOff>16788</xdr:colOff>
      <xdr:row>20</xdr:row>
      <xdr:rowOff>159248</xdr:rowOff>
    </xdr:to>
    <xdr:sp macro="" textlink="'Variable Management'!B279">
      <xdr:nvSpPr>
        <xdr:cNvPr id="2334" name="Text Box 286">
          <a:extLst>
            <a:ext uri="{FF2B5EF4-FFF2-40B4-BE49-F238E27FC236}">
              <a16:creationId xmlns:a16="http://schemas.microsoft.com/office/drawing/2014/main" id="{00000000-0008-0000-0000-00001E090000}"/>
            </a:ext>
          </a:extLst>
        </xdr:cNvPr>
        <xdr:cNvSpPr txBox="1">
          <a:spLocks noChangeArrowheads="1" noTextEdit="1"/>
        </xdr:cNvSpPr>
      </xdr:nvSpPr>
      <xdr:spPr bwMode="auto">
        <a:xfrm>
          <a:off x="12563958" y="4119421"/>
          <a:ext cx="1043324" cy="244274"/>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10</xdr:col>
      <xdr:colOff>244736</xdr:colOff>
      <xdr:row>26</xdr:row>
      <xdr:rowOff>46305</xdr:rowOff>
    </xdr:from>
    <xdr:to>
      <xdr:col>10</xdr:col>
      <xdr:colOff>463811</xdr:colOff>
      <xdr:row>26</xdr:row>
      <xdr:rowOff>46305</xdr:rowOff>
    </xdr:to>
    <xdr:sp macro="" textlink="'Variable Management'!B292">
      <xdr:nvSpPr>
        <xdr:cNvPr id="2347" name="Text Box 299">
          <a:extLst>
            <a:ext uri="{FF2B5EF4-FFF2-40B4-BE49-F238E27FC236}">
              <a16:creationId xmlns:a16="http://schemas.microsoft.com/office/drawing/2014/main" id="{00000000-0008-0000-0000-00002B090000}"/>
            </a:ext>
          </a:extLst>
        </xdr:cNvPr>
        <xdr:cNvSpPr txBox="1">
          <a:spLocks noChangeArrowheads="1" noTextEdit="1"/>
        </xdr:cNvSpPr>
      </xdr:nvSpPr>
      <xdr:spPr bwMode="auto">
        <a:xfrm>
          <a:off x="6914477" y="5434093"/>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9</xdr:col>
      <xdr:colOff>568607</xdr:colOff>
      <xdr:row>10</xdr:row>
      <xdr:rowOff>38586</xdr:rowOff>
    </xdr:from>
    <xdr:to>
      <xdr:col>10</xdr:col>
      <xdr:colOff>98287</xdr:colOff>
      <xdr:row>11</xdr:row>
      <xdr:rowOff>123857</xdr:rowOff>
    </xdr:to>
    <xdr:sp macro="" textlink="">
      <xdr:nvSpPr>
        <xdr:cNvPr id="90" name="Text Box 251">
          <a:extLst>
            <a:ext uri="{FF2B5EF4-FFF2-40B4-BE49-F238E27FC236}">
              <a16:creationId xmlns:a16="http://schemas.microsoft.com/office/drawing/2014/main" id="{00000000-0008-0000-0000-00005A000000}"/>
            </a:ext>
          </a:extLst>
        </xdr:cNvPr>
        <xdr:cNvSpPr txBox="1">
          <a:spLocks noChangeArrowheads="1"/>
        </xdr:cNvSpPr>
      </xdr:nvSpPr>
      <xdr:spPr bwMode="auto">
        <a:xfrm>
          <a:off x="6386701" y="2342515"/>
          <a:ext cx="381327" cy="26456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9</xdr:col>
      <xdr:colOff>433888</xdr:colOff>
      <xdr:row>11</xdr:row>
      <xdr:rowOff>83690</xdr:rowOff>
    </xdr:from>
    <xdr:to>
      <xdr:col>10</xdr:col>
      <xdr:colOff>115603</xdr:colOff>
      <xdr:row>12</xdr:row>
      <xdr:rowOff>151150</xdr:rowOff>
    </xdr:to>
    <xdr:sp macro="" textlink="'Variable Management'!B275">
      <xdr:nvSpPr>
        <xdr:cNvPr id="91" name="Text Box 281">
          <a:extLst>
            <a:ext uri="{FF2B5EF4-FFF2-40B4-BE49-F238E27FC236}">
              <a16:creationId xmlns:a16="http://schemas.microsoft.com/office/drawing/2014/main" id="{00000000-0008-0000-0000-00005B000000}"/>
            </a:ext>
          </a:extLst>
        </xdr:cNvPr>
        <xdr:cNvSpPr txBox="1">
          <a:spLocks noChangeArrowheads="1" noTextEdit="1"/>
        </xdr:cNvSpPr>
      </xdr:nvSpPr>
      <xdr:spPr bwMode="auto">
        <a:xfrm>
          <a:off x="6251982" y="2566914"/>
          <a:ext cx="533362" cy="246754"/>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15</xdr:col>
      <xdr:colOff>99631</xdr:colOff>
      <xdr:row>9</xdr:row>
      <xdr:rowOff>126447</xdr:rowOff>
    </xdr:from>
    <xdr:to>
      <xdr:col>15</xdr:col>
      <xdr:colOff>503574</xdr:colOff>
      <xdr:row>10</xdr:row>
      <xdr:rowOff>176075</xdr:rowOff>
    </xdr:to>
    <xdr:sp macro="" textlink="">
      <xdr:nvSpPr>
        <xdr:cNvPr id="2295" name="Text Box 247">
          <a:extLst>
            <a:ext uri="{FF2B5EF4-FFF2-40B4-BE49-F238E27FC236}">
              <a16:creationId xmlns:a16="http://schemas.microsoft.com/office/drawing/2014/main" id="{00000000-0008-0000-0000-0000F7080000}"/>
            </a:ext>
          </a:extLst>
        </xdr:cNvPr>
        <xdr:cNvSpPr txBox="1">
          <a:spLocks noChangeArrowheads="1"/>
        </xdr:cNvSpPr>
      </xdr:nvSpPr>
      <xdr:spPr bwMode="auto">
        <a:xfrm>
          <a:off x="10131137" y="2251082"/>
          <a:ext cx="40394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16</xdr:col>
      <xdr:colOff>90349</xdr:colOff>
      <xdr:row>18</xdr:row>
      <xdr:rowOff>17007</xdr:rowOff>
    </xdr:from>
    <xdr:to>
      <xdr:col>16</xdr:col>
      <xdr:colOff>413194</xdr:colOff>
      <xdr:row>19</xdr:row>
      <xdr:rowOff>128344</xdr:rowOff>
    </xdr:to>
    <xdr:sp macro="" textlink="">
      <xdr:nvSpPr>
        <xdr:cNvPr id="97" name="Text Box 244">
          <a:extLst>
            <a:ext uri="{FF2B5EF4-FFF2-40B4-BE49-F238E27FC236}">
              <a16:creationId xmlns:a16="http://schemas.microsoft.com/office/drawing/2014/main" id="{00000000-0008-0000-0000-000061000000}"/>
            </a:ext>
          </a:extLst>
        </xdr:cNvPr>
        <xdr:cNvSpPr txBox="1">
          <a:spLocks noChangeArrowheads="1"/>
        </xdr:cNvSpPr>
      </xdr:nvSpPr>
      <xdr:spPr bwMode="auto">
        <a:xfrm>
          <a:off x="10812137" y="3844936"/>
          <a:ext cx="322845" cy="299596"/>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16</xdr:col>
      <xdr:colOff>80474</xdr:colOff>
      <xdr:row>13</xdr:row>
      <xdr:rowOff>17014</xdr:rowOff>
    </xdr:from>
    <xdr:to>
      <xdr:col>16</xdr:col>
      <xdr:colOff>403319</xdr:colOff>
      <xdr:row>14</xdr:row>
      <xdr:rowOff>112859</xdr:rowOff>
    </xdr:to>
    <xdr:sp macro="" textlink="">
      <xdr:nvSpPr>
        <xdr:cNvPr id="102" name="Text Box 244">
          <a:extLst>
            <a:ext uri="{FF2B5EF4-FFF2-40B4-BE49-F238E27FC236}">
              <a16:creationId xmlns:a16="http://schemas.microsoft.com/office/drawing/2014/main" id="{00000000-0008-0000-0000-000066000000}"/>
            </a:ext>
          </a:extLst>
        </xdr:cNvPr>
        <xdr:cNvSpPr txBox="1">
          <a:spLocks noChangeArrowheads="1"/>
        </xdr:cNvSpPr>
      </xdr:nvSpPr>
      <xdr:spPr bwMode="auto">
        <a:xfrm>
          <a:off x="10802262" y="2876755"/>
          <a:ext cx="322845" cy="27513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10</xdr:col>
      <xdr:colOff>535368</xdr:colOff>
      <xdr:row>6</xdr:row>
      <xdr:rowOff>39262</xdr:rowOff>
    </xdr:from>
    <xdr:to>
      <xdr:col>11</xdr:col>
      <xdr:colOff>481378</xdr:colOff>
      <xdr:row>7</xdr:row>
      <xdr:rowOff>83672</xdr:rowOff>
    </xdr:to>
    <xdr:sp macro="" textlink="'Variable Management'!G98">
      <xdr:nvSpPr>
        <xdr:cNvPr id="66" name="Text Box 264">
          <a:extLst>
            <a:ext uri="{FF2B5EF4-FFF2-40B4-BE49-F238E27FC236}">
              <a16:creationId xmlns:a16="http://schemas.microsoft.com/office/drawing/2014/main" id="{00000000-0008-0000-0000-000042000000}"/>
            </a:ext>
          </a:extLst>
        </xdr:cNvPr>
        <xdr:cNvSpPr txBox="1">
          <a:spLocks noChangeArrowheads="1" noTextEdit="1"/>
        </xdr:cNvSpPr>
      </xdr:nvSpPr>
      <xdr:spPr bwMode="auto">
        <a:xfrm>
          <a:off x="7205109" y="1626015"/>
          <a:ext cx="573540" cy="223704"/>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84897</xdr:colOff>
      <xdr:row>5</xdr:row>
      <xdr:rowOff>8247</xdr:rowOff>
    </xdr:from>
    <xdr:to>
      <xdr:col>11</xdr:col>
      <xdr:colOff>505966</xdr:colOff>
      <xdr:row>6</xdr:row>
      <xdr:rowOff>38645</xdr:rowOff>
    </xdr:to>
    <xdr:sp macro="" textlink="">
      <xdr:nvSpPr>
        <xdr:cNvPr id="68" name="Text Box 255">
          <a:extLst>
            <a:ext uri="{FF2B5EF4-FFF2-40B4-BE49-F238E27FC236}">
              <a16:creationId xmlns:a16="http://schemas.microsoft.com/office/drawing/2014/main" id="{00000000-0008-0000-0000-000044000000}"/>
            </a:ext>
          </a:extLst>
        </xdr:cNvPr>
        <xdr:cNvSpPr txBox="1">
          <a:spLocks noChangeArrowheads="1"/>
        </xdr:cNvSpPr>
      </xdr:nvSpPr>
      <xdr:spPr bwMode="auto">
        <a:xfrm>
          <a:off x="7382168" y="1415706"/>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11</xdr:col>
      <xdr:colOff>661946</xdr:colOff>
      <xdr:row>6</xdr:row>
      <xdr:rowOff>29009</xdr:rowOff>
    </xdr:from>
    <xdr:to>
      <xdr:col>12</xdr:col>
      <xdr:colOff>395661</xdr:colOff>
      <xdr:row>7</xdr:row>
      <xdr:rowOff>65707</xdr:rowOff>
    </xdr:to>
    <xdr:sp macro="" textlink="'Variable Management'!G97">
      <xdr:nvSpPr>
        <xdr:cNvPr id="69" name="Text Box 264">
          <a:extLst>
            <a:ext uri="{FF2B5EF4-FFF2-40B4-BE49-F238E27FC236}">
              <a16:creationId xmlns:a16="http://schemas.microsoft.com/office/drawing/2014/main" id="{00000000-0008-0000-0000-000045000000}"/>
            </a:ext>
          </a:extLst>
        </xdr:cNvPr>
        <xdr:cNvSpPr txBox="1">
          <a:spLocks noChangeArrowheads="1" noTextEdit="1"/>
        </xdr:cNvSpPr>
      </xdr:nvSpPr>
      <xdr:spPr bwMode="auto">
        <a:xfrm>
          <a:off x="7959217" y="1615762"/>
          <a:ext cx="585362" cy="215992"/>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795787</xdr:colOff>
      <xdr:row>4</xdr:row>
      <xdr:rowOff>242103</xdr:rowOff>
    </xdr:from>
    <xdr:to>
      <xdr:col>12</xdr:col>
      <xdr:colOff>375327</xdr:colOff>
      <xdr:row>6</xdr:row>
      <xdr:rowOff>28879</xdr:rowOff>
    </xdr:to>
    <xdr:sp macro="" textlink="">
      <xdr:nvSpPr>
        <xdr:cNvPr id="70" name="Text Box 255">
          <a:extLst>
            <a:ext uri="{FF2B5EF4-FFF2-40B4-BE49-F238E27FC236}">
              <a16:creationId xmlns:a16="http://schemas.microsoft.com/office/drawing/2014/main" id="{00000000-0008-0000-0000-000046000000}"/>
            </a:ext>
          </a:extLst>
        </xdr:cNvPr>
        <xdr:cNvSpPr txBox="1">
          <a:spLocks noChangeArrowheads="1"/>
        </xdr:cNvSpPr>
      </xdr:nvSpPr>
      <xdr:spPr bwMode="auto">
        <a:xfrm>
          <a:off x="8093058" y="1398550"/>
          <a:ext cx="431187"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16</xdr:col>
      <xdr:colOff>754541</xdr:colOff>
      <xdr:row>18</xdr:row>
      <xdr:rowOff>162716</xdr:rowOff>
    </xdr:from>
    <xdr:to>
      <xdr:col>16</xdr:col>
      <xdr:colOff>1270654</xdr:colOff>
      <xdr:row>20</xdr:row>
      <xdr:rowOff>55909</xdr:rowOff>
    </xdr:to>
    <xdr:sp macro="" textlink="'Variable Management'!B239">
      <xdr:nvSpPr>
        <xdr:cNvPr id="142" name="Text Box 275">
          <a:extLst>
            <a:ext uri="{FF2B5EF4-FFF2-40B4-BE49-F238E27FC236}">
              <a16:creationId xmlns:a16="http://schemas.microsoft.com/office/drawing/2014/main" id="{00000000-0008-0000-0000-00008E000000}"/>
            </a:ext>
          </a:extLst>
        </xdr:cNvPr>
        <xdr:cNvSpPr txBox="1">
          <a:spLocks noChangeArrowheads="1" noTextEdit="1"/>
        </xdr:cNvSpPr>
      </xdr:nvSpPr>
      <xdr:spPr bwMode="auto">
        <a:xfrm>
          <a:off x="11476329" y="3990645"/>
          <a:ext cx="516113" cy="269711"/>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5mΩ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11</xdr:col>
      <xdr:colOff>799138</xdr:colOff>
      <xdr:row>28</xdr:row>
      <xdr:rowOff>53618</xdr:rowOff>
    </xdr:from>
    <xdr:to>
      <xdr:col>12</xdr:col>
      <xdr:colOff>455323</xdr:colOff>
      <xdr:row>29</xdr:row>
      <xdr:rowOff>110794</xdr:rowOff>
    </xdr:to>
    <xdr:sp macro="" textlink="">
      <xdr:nvSpPr>
        <xdr:cNvPr id="145" name="Text Box 245">
          <a:extLst>
            <a:ext uri="{FF2B5EF4-FFF2-40B4-BE49-F238E27FC236}">
              <a16:creationId xmlns:a16="http://schemas.microsoft.com/office/drawing/2014/main" id="{00000000-0008-0000-0000-000091000000}"/>
            </a:ext>
          </a:extLst>
        </xdr:cNvPr>
        <xdr:cNvSpPr txBox="1">
          <a:spLocks noChangeArrowheads="1"/>
        </xdr:cNvSpPr>
      </xdr:nvSpPr>
      <xdr:spPr bwMode="auto">
        <a:xfrm>
          <a:off x="8096409" y="5799994"/>
          <a:ext cx="507832"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11</xdr:col>
      <xdr:colOff>816486</xdr:colOff>
      <xdr:row>29</xdr:row>
      <xdr:rowOff>62180</xdr:rowOff>
    </xdr:from>
    <xdr:to>
      <xdr:col>12</xdr:col>
      <xdr:colOff>596113</xdr:colOff>
      <xdr:row>30</xdr:row>
      <xdr:rowOff>78493</xdr:rowOff>
    </xdr:to>
    <xdr:sp macro="" textlink="'Variable Management'!B274">
      <xdr:nvSpPr>
        <xdr:cNvPr id="146" name="Text Box 281">
          <a:extLst>
            <a:ext uri="{FF2B5EF4-FFF2-40B4-BE49-F238E27FC236}">
              <a16:creationId xmlns:a16="http://schemas.microsoft.com/office/drawing/2014/main" id="{00000000-0008-0000-0000-000092000000}"/>
            </a:ext>
          </a:extLst>
        </xdr:cNvPr>
        <xdr:cNvSpPr txBox="1">
          <a:spLocks noChangeArrowheads="1" noTextEdit="1"/>
        </xdr:cNvSpPr>
      </xdr:nvSpPr>
      <xdr:spPr bwMode="auto">
        <a:xfrm>
          <a:off x="8113757" y="5987851"/>
          <a:ext cx="631274" cy="249395"/>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xdr:from>
          <xdr:col>5</xdr:col>
          <xdr:colOff>0</xdr:colOff>
          <xdr:row>59</xdr:row>
          <xdr:rowOff>160020</xdr:rowOff>
        </xdr:from>
        <xdr:to>
          <xdr:col>5</xdr:col>
          <xdr:colOff>182880</xdr:colOff>
          <xdr:row>61</xdr:row>
          <xdr:rowOff>7620</xdr:rowOff>
        </xdr:to>
        <xdr:sp macro="" textlink="">
          <xdr:nvSpPr>
            <xdr:cNvPr id="672829" name="Spinner 61" hidden="1">
              <a:extLst>
                <a:ext uri="{63B3BB69-23CF-44E3-9099-C40C66FF867C}">
                  <a14:compatExt spid="_x0000_s672829"/>
                </a:ext>
                <a:ext uri="{FF2B5EF4-FFF2-40B4-BE49-F238E27FC236}">
                  <a16:creationId xmlns:a16="http://schemas.microsoft.com/office/drawing/2014/main" id="{00000000-0008-0000-0000-00003D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66</xdr:row>
          <xdr:rowOff>0</xdr:rowOff>
        </xdr:from>
        <xdr:to>
          <xdr:col>5</xdr:col>
          <xdr:colOff>182880</xdr:colOff>
          <xdr:row>67</xdr:row>
          <xdr:rowOff>0</xdr:rowOff>
        </xdr:to>
        <xdr:sp macro="" textlink="">
          <xdr:nvSpPr>
            <xdr:cNvPr id="672830" name="Spinner 62" hidden="1">
              <a:extLst>
                <a:ext uri="{63B3BB69-23CF-44E3-9099-C40C66FF867C}">
                  <a14:compatExt spid="_x0000_s672830"/>
                </a:ext>
                <a:ext uri="{FF2B5EF4-FFF2-40B4-BE49-F238E27FC236}">
                  <a16:creationId xmlns:a16="http://schemas.microsoft.com/office/drawing/2014/main" id="{00000000-0008-0000-0000-00003E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67</xdr:row>
          <xdr:rowOff>0</xdr:rowOff>
        </xdr:from>
        <xdr:to>
          <xdr:col>5</xdr:col>
          <xdr:colOff>182880</xdr:colOff>
          <xdr:row>67</xdr:row>
          <xdr:rowOff>190500</xdr:rowOff>
        </xdr:to>
        <xdr:sp macro="" textlink="">
          <xdr:nvSpPr>
            <xdr:cNvPr id="672831" name="Spinner 63" hidden="1">
              <a:extLst>
                <a:ext uri="{63B3BB69-23CF-44E3-9099-C40C66FF867C}">
                  <a14:compatExt spid="_x0000_s672831"/>
                </a:ext>
                <a:ext uri="{FF2B5EF4-FFF2-40B4-BE49-F238E27FC236}">
                  <a16:creationId xmlns:a16="http://schemas.microsoft.com/office/drawing/2014/main" id="{00000000-0008-0000-0000-00003F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68</xdr:row>
          <xdr:rowOff>0</xdr:rowOff>
        </xdr:from>
        <xdr:to>
          <xdr:col>5</xdr:col>
          <xdr:colOff>182880</xdr:colOff>
          <xdr:row>68</xdr:row>
          <xdr:rowOff>190500</xdr:rowOff>
        </xdr:to>
        <xdr:sp macro="" textlink="">
          <xdr:nvSpPr>
            <xdr:cNvPr id="672832" name="Spinner 64" hidden="1">
              <a:extLst>
                <a:ext uri="{63B3BB69-23CF-44E3-9099-C40C66FF867C}">
                  <a14:compatExt spid="_x0000_s672832"/>
                </a:ext>
                <a:ext uri="{FF2B5EF4-FFF2-40B4-BE49-F238E27FC236}">
                  <a16:creationId xmlns:a16="http://schemas.microsoft.com/office/drawing/2014/main" id="{00000000-0008-0000-0000-000040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69</xdr:row>
          <xdr:rowOff>0</xdr:rowOff>
        </xdr:from>
        <xdr:to>
          <xdr:col>5</xdr:col>
          <xdr:colOff>182880</xdr:colOff>
          <xdr:row>69</xdr:row>
          <xdr:rowOff>190500</xdr:rowOff>
        </xdr:to>
        <xdr:sp macro="" textlink="">
          <xdr:nvSpPr>
            <xdr:cNvPr id="672833" name="Spinner 65" hidden="1">
              <a:extLst>
                <a:ext uri="{63B3BB69-23CF-44E3-9099-C40C66FF867C}">
                  <a14:compatExt spid="_x0000_s672833"/>
                </a:ext>
                <a:ext uri="{FF2B5EF4-FFF2-40B4-BE49-F238E27FC236}">
                  <a16:creationId xmlns:a16="http://schemas.microsoft.com/office/drawing/2014/main" id="{00000000-0008-0000-0000-000041440A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0</xdr:col>
      <xdr:colOff>85725</xdr:colOff>
      <xdr:row>0</xdr:row>
      <xdr:rowOff>47625</xdr:rowOff>
    </xdr:from>
    <xdr:to>
      <xdr:col>3</xdr:col>
      <xdr:colOff>292346</xdr:colOff>
      <xdr:row>0</xdr:row>
      <xdr:rowOff>586281</xdr:rowOff>
    </xdr:to>
    <xdr:pic macro="[0]!OpenLM27403ProductFolder">
      <xdr:nvPicPr>
        <xdr:cNvPr id="80" name="Picture 79">
          <a:hlinkClick xmlns:r="http://schemas.openxmlformats.org/officeDocument/2006/relationships" r:id="rId4"/>
          <a:extLst>
            <a:ext uri="{FF2B5EF4-FFF2-40B4-BE49-F238E27FC236}">
              <a16:creationId xmlns:a16="http://schemas.microsoft.com/office/drawing/2014/main" id="{00000000-0008-0000-0000-00005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4896" b="8304"/>
        <a:stretch/>
      </xdr:blipFill>
      <xdr:spPr>
        <a:xfrm>
          <a:off x="85725" y="47625"/>
          <a:ext cx="2283071" cy="538656"/>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7620</xdr:colOff>
          <xdr:row>23</xdr:row>
          <xdr:rowOff>0</xdr:rowOff>
        </xdr:from>
        <xdr:to>
          <xdr:col>1</xdr:col>
          <xdr:colOff>525780</xdr:colOff>
          <xdr:row>24</xdr:row>
          <xdr:rowOff>857</xdr:rowOff>
        </xdr:to>
        <xdr:sp macro="" textlink="">
          <xdr:nvSpPr>
            <xdr:cNvPr id="672871" name="Drop Down 103" hidden="1">
              <a:extLst>
                <a:ext uri="{63B3BB69-23CF-44E3-9099-C40C66FF867C}">
                  <a14:compatExt spid="_x0000_s672871"/>
                </a:ext>
                <a:ext uri="{FF2B5EF4-FFF2-40B4-BE49-F238E27FC236}">
                  <a16:creationId xmlns:a16="http://schemas.microsoft.com/office/drawing/2014/main" id="{00000000-0008-0000-0000-00006744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16</xdr:col>
      <xdr:colOff>305281</xdr:colOff>
      <xdr:row>23</xdr:row>
      <xdr:rowOff>39249</xdr:rowOff>
    </xdr:from>
    <xdr:to>
      <xdr:col>16</xdr:col>
      <xdr:colOff>878968</xdr:colOff>
      <xdr:row>24</xdr:row>
      <xdr:rowOff>155985</xdr:rowOff>
    </xdr:to>
    <xdr:sp macro="" textlink="'Variable Management'!B269">
      <xdr:nvSpPr>
        <xdr:cNvPr id="88" name="Text Box 270">
          <a:extLst>
            <a:ext uri="{FF2B5EF4-FFF2-40B4-BE49-F238E27FC236}">
              <a16:creationId xmlns:a16="http://schemas.microsoft.com/office/drawing/2014/main" id="{00000000-0008-0000-0000-000058000000}"/>
            </a:ext>
          </a:extLst>
        </xdr:cNvPr>
        <xdr:cNvSpPr txBox="1">
          <a:spLocks noChangeArrowheads="1" noTextEdit="1"/>
        </xdr:cNvSpPr>
      </xdr:nvSpPr>
      <xdr:spPr bwMode="auto">
        <a:xfrm>
          <a:off x="11027069" y="4862261"/>
          <a:ext cx="573687" cy="304995"/>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371956</xdr:colOff>
      <xdr:row>22</xdr:row>
      <xdr:rowOff>72867</xdr:rowOff>
    </xdr:from>
    <xdr:to>
      <xdr:col>16</xdr:col>
      <xdr:colOff>945643</xdr:colOff>
      <xdr:row>23</xdr:row>
      <xdr:rowOff>46129</xdr:rowOff>
    </xdr:to>
    <xdr:sp macro="" textlink="'Variable Management'!A269">
      <xdr:nvSpPr>
        <xdr:cNvPr id="92" name="Text Box 270">
          <a:extLst>
            <a:ext uri="{FF2B5EF4-FFF2-40B4-BE49-F238E27FC236}">
              <a16:creationId xmlns:a16="http://schemas.microsoft.com/office/drawing/2014/main" id="{00000000-0008-0000-0000-00005C000000}"/>
            </a:ext>
          </a:extLst>
        </xdr:cNvPr>
        <xdr:cNvSpPr txBox="1">
          <a:spLocks noChangeArrowheads="1" noTextEdit="1"/>
        </xdr:cNvSpPr>
      </xdr:nvSpPr>
      <xdr:spPr bwMode="auto">
        <a:xfrm>
          <a:off x="11093744" y="4644867"/>
          <a:ext cx="573687" cy="224274"/>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790575</xdr:colOff>
      <xdr:row>84</xdr:row>
      <xdr:rowOff>0</xdr:rowOff>
    </xdr:from>
    <xdr:to>
      <xdr:col>16</xdr:col>
      <xdr:colOff>1212518</xdr:colOff>
      <xdr:row>85</xdr:row>
      <xdr:rowOff>47625</xdr:rowOff>
    </xdr:to>
    <xdr:sp macro="" textlink="'Variable Management'!B308">
      <xdr:nvSpPr>
        <xdr:cNvPr id="62" name="Text Box 24">
          <a:extLst>
            <a:ext uri="{FF2B5EF4-FFF2-40B4-BE49-F238E27FC236}">
              <a16:creationId xmlns:a16="http://schemas.microsoft.com/office/drawing/2014/main" id="{00000000-0008-0000-0000-00003E000000}"/>
            </a:ext>
          </a:extLst>
        </xdr:cNvPr>
        <xdr:cNvSpPr txBox="1">
          <a:spLocks noChangeArrowheads="1" noTextEdit="1"/>
        </xdr:cNvSpPr>
      </xdr:nvSpPr>
      <xdr:spPr bwMode="auto">
        <a:xfrm>
          <a:off x="11106150" y="15935325"/>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E2734BE-9F4E-46E2-95E4-7A6A07C9A939}" type="TxLink">
            <a:rPr lang="en-US" sz="1000" b="0" i="0" u="none" strike="noStrike" baseline="0">
              <a:solidFill>
                <a:srgbClr val="000000"/>
              </a:solidFill>
              <a:latin typeface="Arial"/>
              <a:cs typeface="Arial"/>
            </a:rPr>
            <a:pPr algn="l" rtl="0">
              <a:defRPr sz="1000"/>
            </a:pPr>
            <a:t>95.1%</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266700</xdr:colOff>
      <xdr:row>83</xdr:row>
      <xdr:rowOff>219075</xdr:rowOff>
    </xdr:from>
    <xdr:to>
      <xdr:col>13</xdr:col>
      <xdr:colOff>79043</xdr:colOff>
      <xdr:row>85</xdr:row>
      <xdr:rowOff>38100</xdr:rowOff>
    </xdr:to>
    <xdr:sp macro="" textlink="'Variable Management'!B309">
      <xdr:nvSpPr>
        <xdr:cNvPr id="63" name="Text Box 24">
          <a:extLst>
            <a:ext uri="{FF2B5EF4-FFF2-40B4-BE49-F238E27FC236}">
              <a16:creationId xmlns:a16="http://schemas.microsoft.com/office/drawing/2014/main" id="{00000000-0008-0000-0000-00003F000000}"/>
            </a:ext>
          </a:extLst>
        </xdr:cNvPr>
        <xdr:cNvSpPr txBox="1">
          <a:spLocks noChangeArrowheads="1" noTextEdit="1"/>
        </xdr:cNvSpPr>
      </xdr:nvSpPr>
      <xdr:spPr bwMode="auto">
        <a:xfrm>
          <a:off x="8077200" y="15925800"/>
          <a:ext cx="421943" cy="228600"/>
        </a:xfrm>
        <a:prstGeom prst="rect">
          <a:avLst/>
        </a:prstGeom>
        <a:noFill/>
        <a:ln w="9525">
          <a:noFill/>
          <a:miter lim="800000"/>
          <a:headEnd/>
          <a:tailEnd/>
        </a:ln>
      </xdr:spPr>
      <xdr:txBody>
        <a:bodyPr wrap="square" lIns="27432" tIns="22860" rIns="0" bIns="22860" anchor="b"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rtl="0">
            <a:defRPr sz="1000"/>
          </a:pPr>
          <a:fld id="{54471BB4-2258-4940-9924-F43A04D031AE}" type="TxLink">
            <a:rPr lang="en-US" sz="1000" b="0" i="0" u="none" strike="noStrike" baseline="0">
              <a:solidFill>
                <a:srgbClr val="000000"/>
              </a:solidFill>
              <a:latin typeface="Arial"/>
              <a:cs typeface="Arial"/>
            </a:rPr>
            <a:pPr algn="l" rtl="0">
              <a:defRPr sz="1000"/>
            </a:pPr>
            <a:t>93.1%</a:t>
          </a:fld>
          <a:endParaRPr lang="en-US" sz="900" b="1" i="0" u="none" strike="noStrike" baseline="0">
            <a:solidFill>
              <a:srgbClr val="000000"/>
            </a:solidFill>
            <a:latin typeface="Arial" pitchFamily="34" charset="0"/>
            <a:cs typeface="Arial" pitchFamily="34" charset="0"/>
          </a:endParaRPr>
        </a:p>
      </xdr:txBody>
    </xdr:sp>
    <xdr:clientData/>
  </xdr:twoCellAnchor>
  <xdr:twoCellAnchor>
    <xdr:from>
      <xdr:col>12</xdr:col>
      <xdr:colOff>177630</xdr:colOff>
      <xdr:row>30</xdr:row>
      <xdr:rowOff>13788</xdr:rowOff>
    </xdr:from>
    <xdr:to>
      <xdr:col>13</xdr:col>
      <xdr:colOff>34872</xdr:colOff>
      <xdr:row>31</xdr:row>
      <xdr:rowOff>107497</xdr:rowOff>
    </xdr:to>
    <xdr:sp macro="" textlink="'Variable Management'!A270">
      <xdr:nvSpPr>
        <xdr:cNvPr id="64" name="Text Box 231">
          <a:extLst>
            <a:ext uri="{FF2B5EF4-FFF2-40B4-BE49-F238E27FC236}">
              <a16:creationId xmlns:a16="http://schemas.microsoft.com/office/drawing/2014/main" id="{00000000-0008-0000-0000-000040000000}"/>
            </a:ext>
          </a:extLst>
        </xdr:cNvPr>
        <xdr:cNvSpPr txBox="1">
          <a:spLocks noChangeArrowheads="1"/>
        </xdr:cNvSpPr>
      </xdr:nvSpPr>
      <xdr:spPr bwMode="auto">
        <a:xfrm>
          <a:off x="8326548" y="6172541"/>
          <a:ext cx="484771"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12</xdr:col>
      <xdr:colOff>169823</xdr:colOff>
      <xdr:row>31</xdr:row>
      <xdr:rowOff>50238</xdr:rowOff>
    </xdr:from>
    <xdr:to>
      <xdr:col>13</xdr:col>
      <xdr:colOff>125593</xdr:colOff>
      <xdr:row>32</xdr:row>
      <xdr:rowOff>96408</xdr:rowOff>
    </xdr:to>
    <xdr:sp macro="" textlink="'Variable Management'!B270">
      <xdr:nvSpPr>
        <xdr:cNvPr id="67" name="Text Box 270">
          <a:extLst>
            <a:ext uri="{FF2B5EF4-FFF2-40B4-BE49-F238E27FC236}">
              <a16:creationId xmlns:a16="http://schemas.microsoft.com/office/drawing/2014/main" id="{00000000-0008-0000-0000-000043000000}"/>
            </a:ext>
          </a:extLst>
        </xdr:cNvPr>
        <xdr:cNvSpPr txBox="1">
          <a:spLocks noChangeArrowheads="1" noTextEdit="1"/>
        </xdr:cNvSpPr>
      </xdr:nvSpPr>
      <xdr:spPr bwMode="auto">
        <a:xfrm>
          <a:off x="8318741" y="6388285"/>
          <a:ext cx="583299"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22pF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16</xdr:col>
      <xdr:colOff>617200</xdr:colOff>
      <xdr:row>10</xdr:row>
      <xdr:rowOff>173656</xdr:rowOff>
    </xdr:from>
    <xdr:to>
      <xdr:col>16</xdr:col>
      <xdr:colOff>1765580</xdr:colOff>
      <xdr:row>12</xdr:row>
      <xdr:rowOff>63149</xdr:rowOff>
    </xdr:to>
    <xdr:sp macro="" textlink="'Variable Management'!B281">
      <xdr:nvSpPr>
        <xdr:cNvPr id="71" name="Text Box 283">
          <a:extLst>
            <a:ext uri="{FF2B5EF4-FFF2-40B4-BE49-F238E27FC236}">
              <a16:creationId xmlns:a16="http://schemas.microsoft.com/office/drawing/2014/main" id="{00000000-0008-0000-0000-000047000000}"/>
            </a:ext>
          </a:extLst>
        </xdr:cNvPr>
        <xdr:cNvSpPr txBox="1">
          <a:spLocks noChangeArrowheads="1" noTextEdit="1"/>
        </xdr:cNvSpPr>
      </xdr:nvSpPr>
      <xdr:spPr bwMode="auto">
        <a:xfrm>
          <a:off x="11338988" y="2477585"/>
          <a:ext cx="1148380" cy="248082"/>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editAs="oneCell">
    <xdr:from>
      <xdr:col>16</xdr:col>
      <xdr:colOff>1085850</xdr:colOff>
      <xdr:row>0</xdr:row>
      <xdr:rowOff>0</xdr:rowOff>
    </xdr:from>
    <xdr:to>
      <xdr:col>17</xdr:col>
      <xdr:colOff>1822</xdr:colOff>
      <xdr:row>3</xdr:row>
      <xdr:rowOff>61728</xdr:rowOff>
    </xdr:to>
    <xdr:pic>
      <xdr:nvPicPr>
        <xdr:cNvPr id="72" name="Picture 71">
          <a:hlinkClick xmlns:r="http://schemas.openxmlformats.org/officeDocument/2006/relationships" r:id="rId4"/>
          <a:extLst>
            <a:ext uri="{FF2B5EF4-FFF2-40B4-BE49-F238E27FC236}">
              <a16:creationId xmlns:a16="http://schemas.microsoft.com/office/drawing/2014/main" id="{00000000-0008-0000-0000-000048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1791950" y="0"/>
          <a:ext cx="1788712" cy="1037088"/>
        </a:xfrm>
        <a:prstGeom prst="rect">
          <a:avLst/>
        </a:prstGeom>
      </xdr:spPr>
    </xdr:pic>
    <xdr:clientData/>
  </xdr:twoCellAnchor>
  <xdr:twoCellAnchor editAs="oneCell">
    <xdr:from>
      <xdr:col>16</xdr:col>
      <xdr:colOff>993530</xdr:colOff>
      <xdr:row>71</xdr:row>
      <xdr:rowOff>227465</xdr:rowOff>
    </xdr:from>
    <xdr:to>
      <xdr:col>16</xdr:col>
      <xdr:colOff>2784229</xdr:colOff>
      <xdr:row>78</xdr:row>
      <xdr:rowOff>37116</xdr:rowOff>
    </xdr:to>
    <xdr:pic>
      <xdr:nvPicPr>
        <xdr:cNvPr id="73" name="Picture 72">
          <a:hlinkClick xmlns:r="http://schemas.openxmlformats.org/officeDocument/2006/relationships" r:id="rId7"/>
          <a:extLst>
            <a:ext uri="{FF2B5EF4-FFF2-40B4-BE49-F238E27FC236}">
              <a16:creationId xmlns:a16="http://schemas.microsoft.com/office/drawing/2014/main" id="{00000000-0008-0000-0000-000049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1404355" y="13657715"/>
          <a:ext cx="1790699" cy="1131721"/>
        </a:xfrm>
        <a:prstGeom prst="rect">
          <a:avLst/>
        </a:prstGeom>
      </xdr:spPr>
    </xdr:pic>
    <xdr:clientData/>
  </xdr:twoCellAnchor>
  <xdr:twoCellAnchor editAs="oneCell">
    <xdr:from>
      <xdr:col>16</xdr:col>
      <xdr:colOff>111673</xdr:colOff>
      <xdr:row>0</xdr:row>
      <xdr:rowOff>0</xdr:rowOff>
    </xdr:from>
    <xdr:to>
      <xdr:col>16</xdr:col>
      <xdr:colOff>971551</xdr:colOff>
      <xdr:row>1</xdr:row>
      <xdr:rowOff>676</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10523483" y="0"/>
          <a:ext cx="859878" cy="63129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xdr:col>
          <xdr:colOff>38100</xdr:colOff>
          <xdr:row>3</xdr:row>
          <xdr:rowOff>175260</xdr:rowOff>
        </xdr:from>
        <xdr:to>
          <xdr:col>6</xdr:col>
          <xdr:colOff>639</xdr:colOff>
          <xdr:row>4</xdr:row>
          <xdr:rowOff>236220</xdr:rowOff>
        </xdr:to>
        <xdr:sp macro="" textlink="">
          <xdr:nvSpPr>
            <xdr:cNvPr id="683041" name="Drop Down 1057" hidden="1">
              <a:extLst>
                <a:ext uri="{63B3BB69-23CF-44E3-9099-C40C66FF867C}">
                  <a14:compatExt spid="_x0000_s683041"/>
                </a:ext>
                <a:ext uri="{FF2B5EF4-FFF2-40B4-BE49-F238E27FC236}">
                  <a16:creationId xmlns:a16="http://schemas.microsoft.com/office/drawing/2014/main" id="{00000000-0008-0000-0000-000021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11</xdr:col>
      <xdr:colOff>508170</xdr:colOff>
      <xdr:row>17</xdr:row>
      <xdr:rowOff>112251</xdr:rowOff>
    </xdr:from>
    <xdr:to>
      <xdr:col>13</xdr:col>
      <xdr:colOff>84928</xdr:colOff>
      <xdr:row>19</xdr:row>
      <xdr:rowOff>105398</xdr:rowOff>
    </xdr:to>
    <xdr:sp macro="" textlink="'Variable Management'!U12">
      <xdr:nvSpPr>
        <xdr:cNvPr id="74" name="Text Box 24">
          <a:extLst>
            <a:ext uri="{FF2B5EF4-FFF2-40B4-BE49-F238E27FC236}">
              <a16:creationId xmlns:a16="http://schemas.microsoft.com/office/drawing/2014/main" id="{00000000-0008-0000-0000-00004A000000}"/>
            </a:ext>
          </a:extLst>
        </xdr:cNvPr>
        <xdr:cNvSpPr txBox="1">
          <a:spLocks noChangeArrowheads="1" noTextEdit="1"/>
        </xdr:cNvSpPr>
      </xdr:nvSpPr>
      <xdr:spPr bwMode="auto">
        <a:xfrm>
          <a:off x="7805441" y="3760886"/>
          <a:ext cx="1055934" cy="360700"/>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0</xdr:col>
          <xdr:colOff>22860</xdr:colOff>
          <xdr:row>108</xdr:row>
          <xdr:rowOff>0</xdr:rowOff>
        </xdr:from>
        <xdr:to>
          <xdr:col>2</xdr:col>
          <xdr:colOff>198120</xdr:colOff>
          <xdr:row>109</xdr:row>
          <xdr:rowOff>15240</xdr:rowOff>
        </xdr:to>
        <xdr:sp macro="" textlink="">
          <xdr:nvSpPr>
            <xdr:cNvPr id="683134" name="Drop Down 1150" hidden="1">
              <a:extLst>
                <a:ext uri="{63B3BB69-23CF-44E3-9099-C40C66FF867C}">
                  <a14:compatExt spid="_x0000_s683134"/>
                </a:ext>
                <a:ext uri="{FF2B5EF4-FFF2-40B4-BE49-F238E27FC236}">
                  <a16:creationId xmlns:a16="http://schemas.microsoft.com/office/drawing/2014/main" id="{00000000-0008-0000-0000-00007E6C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0.08796</cdr:x>
      <cdr:y>0.49238</cdr:y>
    </cdr:from>
    <cdr:to>
      <cdr:x>0.92197</cdr:x>
      <cdr:y>0.49409</cdr:y>
    </cdr:to>
    <cdr:sp macro="" textlink="">
      <cdr:nvSpPr>
        <cdr:cNvPr id="8195" name="Line 3"/>
        <cdr:cNvSpPr>
          <a:spLocks xmlns:a="http://schemas.openxmlformats.org/drawingml/2006/main" noChangeShapeType="1"/>
        </cdr:cNvSpPr>
      </cdr:nvSpPr>
      <cdr:spPr bwMode="auto">
        <a:xfrm xmlns:a="http://schemas.openxmlformats.org/drawingml/2006/main">
          <a:off x="753099" y="2185131"/>
          <a:ext cx="7141085" cy="7622"/>
        </a:xfrm>
        <a:prstGeom xmlns:a="http://schemas.openxmlformats.org/drawingml/2006/main" prst="line">
          <a:avLst/>
        </a:prstGeom>
        <a:noFill xmlns:a="http://schemas.openxmlformats.org/drawingml/2006/main"/>
        <a:ln xmlns:a="http://schemas.openxmlformats.org/drawingml/2006/main" w="1905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en-US"/>
        </a:p>
      </cdr:txBody>
    </cdr:sp>
  </cdr:relSizeAnchor>
  <cdr:relSizeAnchor xmlns:cdr="http://schemas.openxmlformats.org/drawingml/2006/chartDrawing">
    <cdr:from>
      <cdr:x>0.92062</cdr:x>
      <cdr:y>0.58763</cdr:y>
    </cdr:from>
    <cdr:to>
      <cdr:x>0.95653</cdr:x>
      <cdr:y>0.64353</cdr:y>
    </cdr:to>
    <cdr:sp macro="" textlink="'Variable Management'!$B$261">
      <cdr:nvSpPr>
        <cdr:cNvPr id="3" name="Text Box 24"/>
        <cdr:cNvSpPr txBox="1">
          <a:spLocks xmlns:a="http://schemas.openxmlformats.org/drawingml/2006/main" noChangeArrowheads="1" noTextEdit="1"/>
        </cdr:cNvSpPr>
      </cdr:nvSpPr>
      <cdr:spPr bwMode="auto">
        <a:xfrm xmlns:a="http://schemas.openxmlformats.org/drawingml/2006/main">
          <a:off x="7976234" y="2610019"/>
          <a:ext cx="311124" cy="248286"/>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27432" tIns="22860" rIns="0" bIns="22860" anchor="ctr" upright="1"/>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pPr algn="l" rtl="0">
            <a:defRPr sz="1000"/>
          </a:pPr>
          <a:fld id="{BB1BCF51-C5DA-4454-8307-018A0FF9C118}" type="TxLink">
            <a:rPr lang="en-US" sz="900" b="0" i="0" u="none" strike="noStrike" baseline="0">
              <a:solidFill>
                <a:srgbClr val="000000"/>
              </a:solidFill>
              <a:latin typeface="Arial" pitchFamily="34" charset="0"/>
              <a:cs typeface="Arial" pitchFamily="34" charset="0"/>
            </a:rPr>
            <a:pPr algn="l" rtl="0">
              <a:defRPr sz="1000"/>
            </a:pPr>
            <a:t>65°</a:t>
          </a:fld>
          <a:endParaRPr lang="en-US" sz="900" b="1" i="0" u="none" strike="noStrike" baseline="0">
            <a:solidFill>
              <a:srgbClr val="000000"/>
            </a:solidFill>
            <a:latin typeface="Arial" pitchFamily="34" charset="0"/>
            <a:cs typeface="Arial" pitchFamily="34" charset="0"/>
          </a:endParaRPr>
        </a:p>
      </cdr:txBody>
    </cdr:sp>
  </cdr:relSizeAnchor>
</c:userShapes>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0</xdr:colOff>
          <xdr:row>48</xdr:row>
          <xdr:rowOff>0</xdr:rowOff>
        </xdr:from>
        <xdr:to>
          <xdr:col>8</xdr:col>
          <xdr:colOff>0</xdr:colOff>
          <xdr:row>48</xdr:row>
          <xdr:rowOff>198120</xdr:rowOff>
        </xdr:to>
        <xdr:sp macro="" textlink="">
          <xdr:nvSpPr>
            <xdr:cNvPr id="673839" name="Drop Down 47" hidden="1">
              <a:extLst>
                <a:ext uri="{63B3BB69-23CF-44E3-9099-C40C66FF867C}">
                  <a14:compatExt spid="_x0000_s673839"/>
                </a:ext>
                <a:ext uri="{FF2B5EF4-FFF2-40B4-BE49-F238E27FC236}">
                  <a16:creationId xmlns:a16="http://schemas.microsoft.com/office/drawing/2014/main" id="{00000000-0008-0000-0100-00002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49</xdr:row>
          <xdr:rowOff>0</xdr:rowOff>
        </xdr:from>
        <xdr:to>
          <xdr:col>8</xdr:col>
          <xdr:colOff>0</xdr:colOff>
          <xdr:row>49</xdr:row>
          <xdr:rowOff>198120</xdr:rowOff>
        </xdr:to>
        <xdr:sp macro="" textlink="">
          <xdr:nvSpPr>
            <xdr:cNvPr id="673840" name="Drop Down 48" hidden="1">
              <a:extLst>
                <a:ext uri="{63B3BB69-23CF-44E3-9099-C40C66FF867C}">
                  <a14:compatExt spid="_x0000_s673840"/>
                </a:ext>
                <a:ext uri="{FF2B5EF4-FFF2-40B4-BE49-F238E27FC236}">
                  <a16:creationId xmlns:a16="http://schemas.microsoft.com/office/drawing/2014/main" id="{00000000-0008-0000-0100-00003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37</xdr:row>
          <xdr:rowOff>0</xdr:rowOff>
        </xdr:from>
        <xdr:to>
          <xdr:col>7</xdr:col>
          <xdr:colOff>876300</xdr:colOff>
          <xdr:row>37</xdr:row>
          <xdr:rowOff>198120</xdr:rowOff>
        </xdr:to>
        <xdr:sp macro="" textlink="">
          <xdr:nvSpPr>
            <xdr:cNvPr id="673855" name="Drop Down 63" hidden="1">
              <a:extLst>
                <a:ext uri="{63B3BB69-23CF-44E3-9099-C40C66FF867C}">
                  <a14:compatExt spid="_x0000_s673855"/>
                </a:ext>
                <a:ext uri="{FF2B5EF4-FFF2-40B4-BE49-F238E27FC236}">
                  <a16:creationId xmlns:a16="http://schemas.microsoft.com/office/drawing/2014/main" id="{00000000-0008-0000-0100-00003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38</xdr:row>
          <xdr:rowOff>0</xdr:rowOff>
        </xdr:from>
        <xdr:to>
          <xdr:col>7</xdr:col>
          <xdr:colOff>876300</xdr:colOff>
          <xdr:row>38</xdr:row>
          <xdr:rowOff>198120</xdr:rowOff>
        </xdr:to>
        <xdr:sp macro="" textlink="">
          <xdr:nvSpPr>
            <xdr:cNvPr id="673857" name="Drop Down 65" hidden="1">
              <a:extLst>
                <a:ext uri="{63B3BB69-23CF-44E3-9099-C40C66FF867C}">
                  <a14:compatExt spid="_x0000_s673857"/>
                </a:ext>
                <a:ext uri="{FF2B5EF4-FFF2-40B4-BE49-F238E27FC236}">
                  <a16:creationId xmlns:a16="http://schemas.microsoft.com/office/drawing/2014/main" id="{00000000-0008-0000-0100-00004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39</xdr:row>
          <xdr:rowOff>0</xdr:rowOff>
        </xdr:from>
        <xdr:to>
          <xdr:col>7</xdr:col>
          <xdr:colOff>876300</xdr:colOff>
          <xdr:row>39</xdr:row>
          <xdr:rowOff>198120</xdr:rowOff>
        </xdr:to>
        <xdr:sp macro="" textlink="">
          <xdr:nvSpPr>
            <xdr:cNvPr id="673858" name="Drop Down 66" hidden="1">
              <a:extLst>
                <a:ext uri="{63B3BB69-23CF-44E3-9099-C40C66FF867C}">
                  <a14:compatExt spid="_x0000_s673858"/>
                </a:ext>
                <a:ext uri="{FF2B5EF4-FFF2-40B4-BE49-F238E27FC236}">
                  <a16:creationId xmlns:a16="http://schemas.microsoft.com/office/drawing/2014/main" id="{00000000-0008-0000-0100-00004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40</xdr:row>
          <xdr:rowOff>0</xdr:rowOff>
        </xdr:from>
        <xdr:to>
          <xdr:col>7</xdr:col>
          <xdr:colOff>876300</xdr:colOff>
          <xdr:row>40</xdr:row>
          <xdr:rowOff>198120</xdr:rowOff>
        </xdr:to>
        <xdr:sp macro="" textlink="">
          <xdr:nvSpPr>
            <xdr:cNvPr id="673859" name="Drop Down 67" hidden="1">
              <a:extLst>
                <a:ext uri="{63B3BB69-23CF-44E3-9099-C40C66FF867C}">
                  <a14:compatExt spid="_x0000_s673859"/>
                </a:ext>
                <a:ext uri="{FF2B5EF4-FFF2-40B4-BE49-F238E27FC236}">
                  <a16:creationId xmlns:a16="http://schemas.microsoft.com/office/drawing/2014/main" id="{00000000-0008-0000-0100-000043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41</xdr:row>
          <xdr:rowOff>0</xdr:rowOff>
        </xdr:from>
        <xdr:to>
          <xdr:col>7</xdr:col>
          <xdr:colOff>876300</xdr:colOff>
          <xdr:row>41</xdr:row>
          <xdr:rowOff>198120</xdr:rowOff>
        </xdr:to>
        <xdr:sp macro="" textlink="">
          <xdr:nvSpPr>
            <xdr:cNvPr id="673860" name="Drop Down 68" hidden="1">
              <a:extLst>
                <a:ext uri="{63B3BB69-23CF-44E3-9099-C40C66FF867C}">
                  <a14:compatExt spid="_x0000_s673860"/>
                </a:ext>
                <a:ext uri="{FF2B5EF4-FFF2-40B4-BE49-F238E27FC236}">
                  <a16:creationId xmlns:a16="http://schemas.microsoft.com/office/drawing/2014/main" id="{00000000-0008-0000-0100-000044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0</xdr:rowOff>
        </xdr:from>
        <xdr:to>
          <xdr:col>7</xdr:col>
          <xdr:colOff>876300</xdr:colOff>
          <xdr:row>44</xdr:row>
          <xdr:rowOff>198120</xdr:rowOff>
        </xdr:to>
        <xdr:sp macro="" textlink="">
          <xdr:nvSpPr>
            <xdr:cNvPr id="673861" name="Drop Down 69" hidden="1">
              <a:extLst>
                <a:ext uri="{63B3BB69-23CF-44E3-9099-C40C66FF867C}">
                  <a14:compatExt spid="_x0000_s673861"/>
                </a:ext>
                <a:ext uri="{FF2B5EF4-FFF2-40B4-BE49-F238E27FC236}">
                  <a16:creationId xmlns:a16="http://schemas.microsoft.com/office/drawing/2014/main" id="{00000000-0008-0000-0100-00004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45</xdr:row>
          <xdr:rowOff>0</xdr:rowOff>
        </xdr:from>
        <xdr:to>
          <xdr:col>7</xdr:col>
          <xdr:colOff>876300</xdr:colOff>
          <xdr:row>45</xdr:row>
          <xdr:rowOff>198120</xdr:rowOff>
        </xdr:to>
        <xdr:sp macro="" textlink="">
          <xdr:nvSpPr>
            <xdr:cNvPr id="673862" name="Drop Down 70" hidden="1">
              <a:extLst>
                <a:ext uri="{63B3BB69-23CF-44E3-9099-C40C66FF867C}">
                  <a14:compatExt spid="_x0000_s673862"/>
                </a:ext>
                <a:ext uri="{FF2B5EF4-FFF2-40B4-BE49-F238E27FC236}">
                  <a16:creationId xmlns:a16="http://schemas.microsoft.com/office/drawing/2014/main" id="{00000000-0008-0000-0100-00004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46</xdr:row>
          <xdr:rowOff>0</xdr:rowOff>
        </xdr:from>
        <xdr:to>
          <xdr:col>7</xdr:col>
          <xdr:colOff>876300</xdr:colOff>
          <xdr:row>46</xdr:row>
          <xdr:rowOff>198120</xdr:rowOff>
        </xdr:to>
        <xdr:sp macro="" textlink="">
          <xdr:nvSpPr>
            <xdr:cNvPr id="673863" name="Drop Down 71" hidden="1">
              <a:extLst>
                <a:ext uri="{63B3BB69-23CF-44E3-9099-C40C66FF867C}">
                  <a14:compatExt spid="_x0000_s673863"/>
                </a:ext>
                <a:ext uri="{FF2B5EF4-FFF2-40B4-BE49-F238E27FC236}">
                  <a16:creationId xmlns:a16="http://schemas.microsoft.com/office/drawing/2014/main" id="{00000000-0008-0000-0100-00004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51</xdr:row>
          <xdr:rowOff>0</xdr:rowOff>
        </xdr:from>
        <xdr:to>
          <xdr:col>7</xdr:col>
          <xdr:colOff>876300</xdr:colOff>
          <xdr:row>51</xdr:row>
          <xdr:rowOff>198120</xdr:rowOff>
        </xdr:to>
        <xdr:sp macro="" textlink="">
          <xdr:nvSpPr>
            <xdr:cNvPr id="673865" name="Drop Down 73" hidden="1">
              <a:extLst>
                <a:ext uri="{63B3BB69-23CF-44E3-9099-C40C66FF867C}">
                  <a14:compatExt spid="_x0000_s673865"/>
                </a:ext>
                <a:ext uri="{FF2B5EF4-FFF2-40B4-BE49-F238E27FC236}">
                  <a16:creationId xmlns:a16="http://schemas.microsoft.com/office/drawing/2014/main" id="{00000000-0008-0000-0100-000049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52</xdr:row>
          <xdr:rowOff>0</xdr:rowOff>
        </xdr:from>
        <xdr:to>
          <xdr:col>7</xdr:col>
          <xdr:colOff>876300</xdr:colOff>
          <xdr:row>52</xdr:row>
          <xdr:rowOff>198120</xdr:rowOff>
        </xdr:to>
        <xdr:sp macro="" textlink="">
          <xdr:nvSpPr>
            <xdr:cNvPr id="673866" name="Drop Down 74" hidden="1">
              <a:extLst>
                <a:ext uri="{63B3BB69-23CF-44E3-9099-C40C66FF867C}">
                  <a14:compatExt spid="_x0000_s673866"/>
                </a:ext>
                <a:ext uri="{FF2B5EF4-FFF2-40B4-BE49-F238E27FC236}">
                  <a16:creationId xmlns:a16="http://schemas.microsoft.com/office/drawing/2014/main" id="{00000000-0008-0000-0100-00004A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53</xdr:row>
          <xdr:rowOff>0</xdr:rowOff>
        </xdr:from>
        <xdr:to>
          <xdr:col>7</xdr:col>
          <xdr:colOff>876300</xdr:colOff>
          <xdr:row>53</xdr:row>
          <xdr:rowOff>198120</xdr:rowOff>
        </xdr:to>
        <xdr:sp macro="" textlink="">
          <xdr:nvSpPr>
            <xdr:cNvPr id="673867" name="Drop Down 75" hidden="1">
              <a:extLst>
                <a:ext uri="{63B3BB69-23CF-44E3-9099-C40C66FF867C}">
                  <a14:compatExt spid="_x0000_s673867"/>
                </a:ext>
                <a:ext uri="{FF2B5EF4-FFF2-40B4-BE49-F238E27FC236}">
                  <a16:creationId xmlns:a16="http://schemas.microsoft.com/office/drawing/2014/main" id="{00000000-0008-0000-0100-00004B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54</xdr:row>
          <xdr:rowOff>0</xdr:rowOff>
        </xdr:from>
        <xdr:to>
          <xdr:col>7</xdr:col>
          <xdr:colOff>876300</xdr:colOff>
          <xdr:row>54</xdr:row>
          <xdr:rowOff>198120</xdr:rowOff>
        </xdr:to>
        <xdr:sp macro="" textlink="">
          <xdr:nvSpPr>
            <xdr:cNvPr id="673868" name="Drop Down 76" hidden="1">
              <a:extLst>
                <a:ext uri="{63B3BB69-23CF-44E3-9099-C40C66FF867C}">
                  <a14:compatExt spid="_x0000_s673868"/>
                </a:ext>
                <a:ext uri="{FF2B5EF4-FFF2-40B4-BE49-F238E27FC236}">
                  <a16:creationId xmlns:a16="http://schemas.microsoft.com/office/drawing/2014/main" id="{00000000-0008-0000-0100-00004C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55</xdr:row>
          <xdr:rowOff>0</xdr:rowOff>
        </xdr:from>
        <xdr:to>
          <xdr:col>7</xdr:col>
          <xdr:colOff>876300</xdr:colOff>
          <xdr:row>55</xdr:row>
          <xdr:rowOff>198120</xdr:rowOff>
        </xdr:to>
        <xdr:sp macro="" textlink="">
          <xdr:nvSpPr>
            <xdr:cNvPr id="673869" name="Drop Down 77" hidden="1">
              <a:extLst>
                <a:ext uri="{63B3BB69-23CF-44E3-9099-C40C66FF867C}">
                  <a14:compatExt spid="_x0000_s673869"/>
                </a:ext>
                <a:ext uri="{FF2B5EF4-FFF2-40B4-BE49-F238E27FC236}">
                  <a16:creationId xmlns:a16="http://schemas.microsoft.com/office/drawing/2014/main" id="{00000000-0008-0000-0100-00004D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56</xdr:row>
          <xdr:rowOff>0</xdr:rowOff>
        </xdr:from>
        <xdr:to>
          <xdr:col>7</xdr:col>
          <xdr:colOff>876300</xdr:colOff>
          <xdr:row>56</xdr:row>
          <xdr:rowOff>198120</xdr:rowOff>
        </xdr:to>
        <xdr:sp macro="" textlink="">
          <xdr:nvSpPr>
            <xdr:cNvPr id="673870" name="Drop Down 78" hidden="1">
              <a:extLst>
                <a:ext uri="{63B3BB69-23CF-44E3-9099-C40C66FF867C}">
                  <a14:compatExt spid="_x0000_s673870"/>
                </a:ext>
                <a:ext uri="{FF2B5EF4-FFF2-40B4-BE49-F238E27FC236}">
                  <a16:creationId xmlns:a16="http://schemas.microsoft.com/office/drawing/2014/main" id="{00000000-0008-0000-0100-00004E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57</xdr:row>
          <xdr:rowOff>0</xdr:rowOff>
        </xdr:from>
        <xdr:to>
          <xdr:col>7</xdr:col>
          <xdr:colOff>876300</xdr:colOff>
          <xdr:row>57</xdr:row>
          <xdr:rowOff>198120</xdr:rowOff>
        </xdr:to>
        <xdr:sp macro="" textlink="">
          <xdr:nvSpPr>
            <xdr:cNvPr id="673871" name="Drop Down 79" hidden="1">
              <a:extLst>
                <a:ext uri="{63B3BB69-23CF-44E3-9099-C40C66FF867C}">
                  <a14:compatExt spid="_x0000_s673871"/>
                </a:ext>
                <a:ext uri="{FF2B5EF4-FFF2-40B4-BE49-F238E27FC236}">
                  <a16:creationId xmlns:a16="http://schemas.microsoft.com/office/drawing/2014/main" id="{00000000-0008-0000-0100-00004F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59</xdr:row>
          <xdr:rowOff>0</xdr:rowOff>
        </xdr:from>
        <xdr:to>
          <xdr:col>7</xdr:col>
          <xdr:colOff>876300</xdr:colOff>
          <xdr:row>59</xdr:row>
          <xdr:rowOff>198120</xdr:rowOff>
        </xdr:to>
        <xdr:sp macro="" textlink="">
          <xdr:nvSpPr>
            <xdr:cNvPr id="673872" name="Drop Down 80" hidden="1">
              <a:extLst>
                <a:ext uri="{63B3BB69-23CF-44E3-9099-C40C66FF867C}">
                  <a14:compatExt spid="_x0000_s673872"/>
                </a:ext>
                <a:ext uri="{FF2B5EF4-FFF2-40B4-BE49-F238E27FC236}">
                  <a16:creationId xmlns:a16="http://schemas.microsoft.com/office/drawing/2014/main" id="{00000000-0008-0000-0100-000050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60</xdr:row>
          <xdr:rowOff>0</xdr:rowOff>
        </xdr:from>
        <xdr:to>
          <xdr:col>7</xdr:col>
          <xdr:colOff>876300</xdr:colOff>
          <xdr:row>60</xdr:row>
          <xdr:rowOff>198120</xdr:rowOff>
        </xdr:to>
        <xdr:sp macro="" textlink="">
          <xdr:nvSpPr>
            <xdr:cNvPr id="673873" name="Drop Down 81" hidden="1">
              <a:extLst>
                <a:ext uri="{63B3BB69-23CF-44E3-9099-C40C66FF867C}">
                  <a14:compatExt spid="_x0000_s673873"/>
                </a:ext>
                <a:ext uri="{FF2B5EF4-FFF2-40B4-BE49-F238E27FC236}">
                  <a16:creationId xmlns:a16="http://schemas.microsoft.com/office/drawing/2014/main" id="{00000000-0008-0000-0100-000051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61</xdr:row>
          <xdr:rowOff>0</xdr:rowOff>
        </xdr:from>
        <xdr:to>
          <xdr:col>7</xdr:col>
          <xdr:colOff>876300</xdr:colOff>
          <xdr:row>61</xdr:row>
          <xdr:rowOff>198120</xdr:rowOff>
        </xdr:to>
        <xdr:sp macro="" textlink="">
          <xdr:nvSpPr>
            <xdr:cNvPr id="673874" name="Drop Down 82" hidden="1">
              <a:extLst>
                <a:ext uri="{63B3BB69-23CF-44E3-9099-C40C66FF867C}">
                  <a14:compatExt spid="_x0000_s673874"/>
                </a:ext>
                <a:ext uri="{FF2B5EF4-FFF2-40B4-BE49-F238E27FC236}">
                  <a16:creationId xmlns:a16="http://schemas.microsoft.com/office/drawing/2014/main" id="{00000000-0008-0000-0100-000052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47</xdr:row>
          <xdr:rowOff>0</xdr:rowOff>
        </xdr:from>
        <xdr:to>
          <xdr:col>7</xdr:col>
          <xdr:colOff>876300</xdr:colOff>
          <xdr:row>47</xdr:row>
          <xdr:rowOff>198120</xdr:rowOff>
        </xdr:to>
        <xdr:sp macro="" textlink="">
          <xdr:nvSpPr>
            <xdr:cNvPr id="673877" name="Drop Down 85" hidden="1">
              <a:extLst>
                <a:ext uri="{63B3BB69-23CF-44E3-9099-C40C66FF867C}">
                  <a14:compatExt spid="_x0000_s673877"/>
                </a:ext>
                <a:ext uri="{FF2B5EF4-FFF2-40B4-BE49-F238E27FC236}">
                  <a16:creationId xmlns:a16="http://schemas.microsoft.com/office/drawing/2014/main" id="{00000000-0008-0000-0100-000055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42</xdr:row>
          <xdr:rowOff>0</xdr:rowOff>
        </xdr:from>
        <xdr:to>
          <xdr:col>7</xdr:col>
          <xdr:colOff>876300</xdr:colOff>
          <xdr:row>42</xdr:row>
          <xdr:rowOff>198120</xdr:rowOff>
        </xdr:to>
        <xdr:sp macro="" textlink="">
          <xdr:nvSpPr>
            <xdr:cNvPr id="673878" name="Drop Down 86" hidden="1">
              <a:extLst>
                <a:ext uri="{63B3BB69-23CF-44E3-9099-C40C66FF867C}">
                  <a14:compatExt spid="_x0000_s673878"/>
                </a:ext>
                <a:ext uri="{FF2B5EF4-FFF2-40B4-BE49-F238E27FC236}">
                  <a16:creationId xmlns:a16="http://schemas.microsoft.com/office/drawing/2014/main" id="{00000000-0008-0000-0100-000056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43</xdr:row>
          <xdr:rowOff>0</xdr:rowOff>
        </xdr:from>
        <xdr:to>
          <xdr:col>7</xdr:col>
          <xdr:colOff>876300</xdr:colOff>
          <xdr:row>43</xdr:row>
          <xdr:rowOff>198120</xdr:rowOff>
        </xdr:to>
        <xdr:sp macro="" textlink="">
          <xdr:nvSpPr>
            <xdr:cNvPr id="673879" name="Drop Down 87" hidden="1">
              <a:extLst>
                <a:ext uri="{63B3BB69-23CF-44E3-9099-C40C66FF867C}">
                  <a14:compatExt spid="_x0000_s673879"/>
                </a:ext>
                <a:ext uri="{FF2B5EF4-FFF2-40B4-BE49-F238E27FC236}">
                  <a16:creationId xmlns:a16="http://schemas.microsoft.com/office/drawing/2014/main" id="{00000000-0008-0000-0100-00005748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48</xdr:row>
          <xdr:rowOff>7620</xdr:rowOff>
        </xdr:from>
        <xdr:to>
          <xdr:col>6</xdr:col>
          <xdr:colOff>640080</xdr:colOff>
          <xdr:row>49</xdr:row>
          <xdr:rowOff>0</xdr:rowOff>
        </xdr:to>
        <xdr:sp macro="" textlink="">
          <xdr:nvSpPr>
            <xdr:cNvPr id="674328" name="Drop Down 536" hidden="1">
              <a:extLst>
                <a:ext uri="{63B3BB69-23CF-44E3-9099-C40C66FF867C}">
                  <a14:compatExt spid="_x0000_s674328"/>
                </a:ext>
                <a:ext uri="{FF2B5EF4-FFF2-40B4-BE49-F238E27FC236}">
                  <a16:creationId xmlns:a16="http://schemas.microsoft.com/office/drawing/2014/main" id="{00000000-0008-0000-0100-000018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1173480</xdr:colOff>
          <xdr:row>49</xdr:row>
          <xdr:rowOff>0</xdr:rowOff>
        </xdr:from>
        <xdr:to>
          <xdr:col>6</xdr:col>
          <xdr:colOff>640080</xdr:colOff>
          <xdr:row>49</xdr:row>
          <xdr:rowOff>198120</xdr:rowOff>
        </xdr:to>
        <xdr:sp macro="" textlink="">
          <xdr:nvSpPr>
            <xdr:cNvPr id="674330" name="Drop Down 538" hidden="1">
              <a:extLst>
                <a:ext uri="{63B3BB69-23CF-44E3-9099-C40C66FF867C}">
                  <a14:compatExt spid="_x0000_s674330"/>
                </a:ext>
                <a:ext uri="{FF2B5EF4-FFF2-40B4-BE49-F238E27FC236}">
                  <a16:creationId xmlns:a16="http://schemas.microsoft.com/office/drawing/2014/main" id="{00000000-0008-0000-0100-00001A4A0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233082</xdr:colOff>
          <xdr:row>1</xdr:row>
          <xdr:rowOff>11491</xdr:rowOff>
        </xdr:from>
        <xdr:to>
          <xdr:col>8</xdr:col>
          <xdr:colOff>859491</xdr:colOff>
          <xdr:row>32</xdr:row>
          <xdr:rowOff>21016</xdr:rowOff>
        </xdr:to>
        <xdr:pic>
          <xdr:nvPicPr>
            <xdr:cNvPr id="151" name="Picture 150">
              <a:extLst>
                <a:ext uri="{FF2B5EF4-FFF2-40B4-BE49-F238E27FC236}">
                  <a16:creationId xmlns:a16="http://schemas.microsoft.com/office/drawing/2014/main" id="{00000000-0008-0000-0100-000097000000}"/>
                </a:ext>
              </a:extLst>
            </xdr:cNvPr>
            <xdr:cNvPicPr>
              <a:picLocks noChangeAspect="1"/>
              <a:extLst>
                <a:ext uri="{84589F7E-364E-4C9E-8A38-B11213B215E9}">
                  <a14:cameraTool cellRange="PICTURE10" spid="_x0000_s674699"/>
                </a:ext>
              </a:extLst>
            </xdr:cNvPicPr>
          </xdr:nvPicPr>
          <xdr:blipFill>
            <a:blip xmlns:r="http://schemas.openxmlformats.org/officeDocument/2006/relationships" r:embed="rId1"/>
            <a:stretch>
              <a:fillRect/>
            </a:stretch>
          </xdr:blipFill>
          <xdr:spPr>
            <a:xfrm>
              <a:off x="233082" y="181820"/>
              <a:ext cx="9089091" cy="5289737"/>
            </a:xfrm>
            <a:prstGeom prst="rect">
              <a:avLst/>
            </a:prstGeom>
          </xdr:spPr>
        </xdr:pic>
        <xdr:clientData/>
      </xdr:twoCellAnchor>
    </mc:Choice>
    <mc:Fallback/>
  </mc:AlternateContent>
  <xdr:twoCellAnchor>
    <xdr:from>
      <xdr:col>0</xdr:col>
      <xdr:colOff>380602</xdr:colOff>
      <xdr:row>10</xdr:row>
      <xdr:rowOff>74334</xdr:rowOff>
    </xdr:from>
    <xdr:to>
      <xdr:col>1</xdr:col>
      <xdr:colOff>63804</xdr:colOff>
      <xdr:row>11</xdr:row>
      <xdr:rowOff>140089</xdr:rowOff>
    </xdr:to>
    <xdr:sp macro="" textlink="">
      <xdr:nvSpPr>
        <xdr:cNvPr id="152" name="Text Box 224">
          <a:extLst>
            <a:ext uri="{FF2B5EF4-FFF2-40B4-BE49-F238E27FC236}">
              <a16:creationId xmlns:a16="http://schemas.microsoft.com/office/drawing/2014/main" id="{00000000-0008-0000-0100-000098000000}"/>
            </a:ext>
          </a:extLst>
        </xdr:cNvPr>
        <xdr:cNvSpPr txBox="1">
          <a:spLocks noChangeArrowheads="1"/>
        </xdr:cNvSpPr>
      </xdr:nvSpPr>
      <xdr:spPr bwMode="auto">
        <a:xfrm>
          <a:off x="380602" y="1777628"/>
          <a:ext cx="274873" cy="23608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C3</a:t>
          </a:r>
        </a:p>
      </xdr:txBody>
    </xdr:sp>
    <xdr:clientData/>
  </xdr:twoCellAnchor>
  <xdr:twoCellAnchor>
    <xdr:from>
      <xdr:col>1</xdr:col>
      <xdr:colOff>625632</xdr:colOff>
      <xdr:row>7</xdr:row>
      <xdr:rowOff>106380</xdr:rowOff>
    </xdr:from>
    <xdr:to>
      <xdr:col>1</xdr:col>
      <xdr:colOff>994596</xdr:colOff>
      <xdr:row>8</xdr:row>
      <xdr:rowOff>141228</xdr:rowOff>
    </xdr:to>
    <xdr:sp macro="" textlink="">
      <xdr:nvSpPr>
        <xdr:cNvPr id="153" name="Text Box 225">
          <a:extLst>
            <a:ext uri="{FF2B5EF4-FFF2-40B4-BE49-F238E27FC236}">
              <a16:creationId xmlns:a16="http://schemas.microsoft.com/office/drawing/2014/main" id="{00000000-0008-0000-0100-000099000000}"/>
            </a:ext>
          </a:extLst>
        </xdr:cNvPr>
        <xdr:cNvSpPr txBox="1">
          <a:spLocks noChangeArrowheads="1"/>
        </xdr:cNvSpPr>
      </xdr:nvSpPr>
      <xdr:spPr bwMode="auto">
        <a:xfrm>
          <a:off x="1217303" y="1298686"/>
          <a:ext cx="368964" cy="205177"/>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FB1</a:t>
          </a:r>
        </a:p>
      </xdr:txBody>
    </xdr:sp>
    <xdr:clientData/>
  </xdr:twoCellAnchor>
  <xdr:twoCellAnchor>
    <xdr:from>
      <xdr:col>0</xdr:col>
      <xdr:colOff>416024</xdr:colOff>
      <xdr:row>7</xdr:row>
      <xdr:rowOff>70202</xdr:rowOff>
    </xdr:from>
    <xdr:to>
      <xdr:col>1</xdr:col>
      <xdr:colOff>109775</xdr:colOff>
      <xdr:row>8</xdr:row>
      <xdr:rowOff>145164</xdr:rowOff>
    </xdr:to>
    <xdr:sp macro="" textlink="">
      <xdr:nvSpPr>
        <xdr:cNvPr id="154" name="Text Box 227">
          <a:extLst>
            <a:ext uri="{FF2B5EF4-FFF2-40B4-BE49-F238E27FC236}">
              <a16:creationId xmlns:a16="http://schemas.microsoft.com/office/drawing/2014/main" id="{00000000-0008-0000-0100-00009A000000}"/>
            </a:ext>
          </a:extLst>
        </xdr:cNvPr>
        <xdr:cNvSpPr txBox="1">
          <a:spLocks noChangeArrowheads="1"/>
        </xdr:cNvSpPr>
      </xdr:nvSpPr>
      <xdr:spPr bwMode="auto">
        <a:xfrm>
          <a:off x="416024" y="1262508"/>
          <a:ext cx="285422" cy="24529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7</xdr:col>
      <xdr:colOff>1100419</xdr:colOff>
      <xdr:row>17</xdr:row>
      <xdr:rowOff>111012</xdr:rowOff>
    </xdr:from>
    <xdr:to>
      <xdr:col>8</xdr:col>
      <xdr:colOff>416861</xdr:colOff>
      <xdr:row>18</xdr:row>
      <xdr:rowOff>158510</xdr:rowOff>
    </xdr:to>
    <xdr:sp macro="" textlink="">
      <xdr:nvSpPr>
        <xdr:cNvPr id="155" name="Text Box 228">
          <a:extLst>
            <a:ext uri="{FF2B5EF4-FFF2-40B4-BE49-F238E27FC236}">
              <a16:creationId xmlns:a16="http://schemas.microsoft.com/office/drawing/2014/main" id="{00000000-0008-0000-0100-00009B000000}"/>
            </a:ext>
          </a:extLst>
        </xdr:cNvPr>
        <xdr:cNvSpPr txBox="1">
          <a:spLocks noChangeArrowheads="1"/>
        </xdr:cNvSpPr>
      </xdr:nvSpPr>
      <xdr:spPr bwMode="auto">
        <a:xfrm>
          <a:off x="8460443" y="3006612"/>
          <a:ext cx="419100" cy="217827"/>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OUT</a:t>
          </a:r>
        </a:p>
      </xdr:txBody>
    </xdr:sp>
    <xdr:clientData/>
  </xdr:twoCellAnchor>
  <xdr:twoCellAnchor>
    <xdr:from>
      <xdr:col>4</xdr:col>
      <xdr:colOff>1074364</xdr:colOff>
      <xdr:row>27</xdr:row>
      <xdr:rowOff>132255</xdr:rowOff>
    </xdr:from>
    <xdr:to>
      <xdr:col>5</xdr:col>
      <xdr:colOff>369833</xdr:colOff>
      <xdr:row>29</xdr:row>
      <xdr:rowOff>63773</xdr:rowOff>
    </xdr:to>
    <xdr:sp macro="" textlink="">
      <xdr:nvSpPr>
        <xdr:cNvPr id="156" name="Text Box 231">
          <a:extLst>
            <a:ext uri="{FF2B5EF4-FFF2-40B4-BE49-F238E27FC236}">
              <a16:creationId xmlns:a16="http://schemas.microsoft.com/office/drawing/2014/main" id="{00000000-0008-0000-0100-00009C000000}"/>
            </a:ext>
          </a:extLst>
        </xdr:cNvPr>
        <xdr:cNvSpPr txBox="1">
          <a:spLocks noChangeArrowheads="1"/>
        </xdr:cNvSpPr>
      </xdr:nvSpPr>
      <xdr:spPr bwMode="auto">
        <a:xfrm>
          <a:off x="5171235" y="4731149"/>
          <a:ext cx="487774" cy="272177"/>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ILIM</a:t>
          </a:r>
        </a:p>
      </xdr:txBody>
    </xdr:sp>
    <xdr:clientData/>
  </xdr:twoCellAnchor>
  <xdr:twoCellAnchor>
    <xdr:from>
      <xdr:col>7</xdr:col>
      <xdr:colOff>300287</xdr:colOff>
      <xdr:row>11</xdr:row>
      <xdr:rowOff>165524</xdr:rowOff>
    </xdr:from>
    <xdr:to>
      <xdr:col>7</xdr:col>
      <xdr:colOff>642668</xdr:colOff>
      <xdr:row>13</xdr:row>
      <xdr:rowOff>98655</xdr:rowOff>
    </xdr:to>
    <xdr:sp macro="" textlink="">
      <xdr:nvSpPr>
        <xdr:cNvPr id="157" name="Text Box 235">
          <a:extLst>
            <a:ext uri="{FF2B5EF4-FFF2-40B4-BE49-F238E27FC236}">
              <a16:creationId xmlns:a16="http://schemas.microsoft.com/office/drawing/2014/main" id="{00000000-0008-0000-0100-00009D000000}"/>
            </a:ext>
          </a:extLst>
        </xdr:cNvPr>
        <xdr:cNvSpPr txBox="1">
          <a:spLocks noChangeArrowheads="1"/>
        </xdr:cNvSpPr>
      </xdr:nvSpPr>
      <xdr:spPr bwMode="auto">
        <a:xfrm>
          <a:off x="7660311" y="2039148"/>
          <a:ext cx="342381" cy="273789"/>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L</a:t>
          </a:r>
          <a:r>
            <a:rPr lang="en-US" sz="1000" b="0" i="0" strike="noStrike" baseline="-25000">
              <a:solidFill>
                <a:srgbClr val="000000"/>
              </a:solidFill>
              <a:latin typeface="Arial" pitchFamily="34" charset="0"/>
              <a:cs typeface="Arial" pitchFamily="34" charset="0"/>
            </a:rPr>
            <a:t>F</a:t>
          </a:r>
        </a:p>
      </xdr:txBody>
    </xdr:sp>
    <xdr:clientData/>
  </xdr:twoCellAnchor>
  <xdr:twoCellAnchor>
    <xdr:from>
      <xdr:col>7</xdr:col>
      <xdr:colOff>50829</xdr:colOff>
      <xdr:row>17</xdr:row>
      <xdr:rowOff>139665</xdr:rowOff>
    </xdr:from>
    <xdr:to>
      <xdr:col>7</xdr:col>
      <xdr:colOff>376595</xdr:colOff>
      <xdr:row>19</xdr:row>
      <xdr:rowOff>20067</xdr:rowOff>
    </xdr:to>
    <xdr:sp macro="" textlink="">
      <xdr:nvSpPr>
        <xdr:cNvPr id="158" name="Text Box 244">
          <a:extLst>
            <a:ext uri="{FF2B5EF4-FFF2-40B4-BE49-F238E27FC236}">
              <a16:creationId xmlns:a16="http://schemas.microsoft.com/office/drawing/2014/main" id="{00000000-0008-0000-0100-00009E000000}"/>
            </a:ext>
          </a:extLst>
        </xdr:cNvPr>
        <xdr:cNvSpPr txBox="1">
          <a:spLocks noChangeArrowheads="1"/>
        </xdr:cNvSpPr>
      </xdr:nvSpPr>
      <xdr:spPr bwMode="auto">
        <a:xfrm>
          <a:off x="7410853" y="3035265"/>
          <a:ext cx="325766" cy="22106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IN</a:t>
          </a:r>
        </a:p>
      </xdr:txBody>
    </xdr:sp>
    <xdr:clientData/>
  </xdr:twoCellAnchor>
  <xdr:twoCellAnchor>
    <xdr:from>
      <xdr:col>5</xdr:col>
      <xdr:colOff>1071122</xdr:colOff>
      <xdr:row>24</xdr:row>
      <xdr:rowOff>55410</xdr:rowOff>
    </xdr:from>
    <xdr:to>
      <xdr:col>6</xdr:col>
      <xdr:colOff>35975</xdr:colOff>
      <xdr:row>25</xdr:row>
      <xdr:rowOff>112952</xdr:rowOff>
    </xdr:to>
    <xdr:sp macro="" textlink="">
      <xdr:nvSpPr>
        <xdr:cNvPr id="159" name="Text Box 249">
          <a:extLst>
            <a:ext uri="{FF2B5EF4-FFF2-40B4-BE49-F238E27FC236}">
              <a16:creationId xmlns:a16="http://schemas.microsoft.com/office/drawing/2014/main" id="{00000000-0008-0000-0100-00009F000000}"/>
            </a:ext>
          </a:extLst>
        </xdr:cNvPr>
        <xdr:cNvSpPr txBox="1">
          <a:spLocks noChangeArrowheads="1"/>
        </xdr:cNvSpPr>
      </xdr:nvSpPr>
      <xdr:spPr bwMode="auto">
        <a:xfrm>
          <a:off x="6360298" y="4143316"/>
          <a:ext cx="372312" cy="227871"/>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VCC</a:t>
          </a:r>
        </a:p>
      </xdr:txBody>
    </xdr:sp>
    <xdr:clientData/>
  </xdr:twoCellAnchor>
  <xdr:twoCellAnchor>
    <xdr:from>
      <xdr:col>2</xdr:col>
      <xdr:colOff>669553</xdr:colOff>
      <xdr:row>10</xdr:row>
      <xdr:rowOff>20157</xdr:rowOff>
    </xdr:from>
    <xdr:to>
      <xdr:col>2</xdr:col>
      <xdr:colOff>994327</xdr:colOff>
      <xdr:row>11</xdr:row>
      <xdr:rowOff>133791</xdr:rowOff>
    </xdr:to>
    <xdr:sp macro="" textlink="">
      <xdr:nvSpPr>
        <xdr:cNvPr id="160" name="Text Box 251">
          <a:extLst>
            <a:ext uri="{FF2B5EF4-FFF2-40B4-BE49-F238E27FC236}">
              <a16:creationId xmlns:a16="http://schemas.microsoft.com/office/drawing/2014/main" id="{00000000-0008-0000-0100-0000A0000000}"/>
            </a:ext>
          </a:extLst>
        </xdr:cNvPr>
        <xdr:cNvSpPr txBox="1">
          <a:spLocks noChangeArrowheads="1"/>
        </xdr:cNvSpPr>
      </xdr:nvSpPr>
      <xdr:spPr bwMode="auto">
        <a:xfrm>
          <a:off x="2283200" y="1723451"/>
          <a:ext cx="324774" cy="283964"/>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SS</a:t>
          </a:r>
        </a:p>
      </xdr:txBody>
    </xdr:sp>
    <xdr:clientData/>
  </xdr:twoCellAnchor>
  <xdr:twoCellAnchor>
    <xdr:from>
      <xdr:col>2</xdr:col>
      <xdr:colOff>305434</xdr:colOff>
      <xdr:row>24</xdr:row>
      <xdr:rowOff>76728</xdr:rowOff>
    </xdr:from>
    <xdr:to>
      <xdr:col>2</xdr:col>
      <xdr:colOff>685313</xdr:colOff>
      <xdr:row>24</xdr:row>
      <xdr:rowOff>76728</xdr:rowOff>
    </xdr:to>
    <xdr:sp macro="" textlink="">
      <xdr:nvSpPr>
        <xdr:cNvPr id="161" name="Text Box 252">
          <a:extLst>
            <a:ext uri="{FF2B5EF4-FFF2-40B4-BE49-F238E27FC236}">
              <a16:creationId xmlns:a16="http://schemas.microsoft.com/office/drawing/2014/main" id="{00000000-0008-0000-0100-0000A1000000}"/>
            </a:ext>
          </a:extLst>
        </xdr:cNvPr>
        <xdr:cNvSpPr txBox="1">
          <a:spLocks noChangeArrowheads="1"/>
        </xdr:cNvSpPr>
      </xdr:nvSpPr>
      <xdr:spPr bwMode="auto">
        <a:xfrm>
          <a:off x="1919081" y="4164634"/>
          <a:ext cx="379879" cy="0"/>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100" b="0" i="0" strike="noStrike">
              <a:solidFill>
                <a:srgbClr val="000000"/>
              </a:solidFill>
              <a:latin typeface="Calibri"/>
            </a:rPr>
            <a:t>R</a:t>
          </a:r>
          <a:r>
            <a:rPr lang="en-US" sz="1100" b="0" i="0" strike="noStrike" baseline="-25000">
              <a:solidFill>
                <a:srgbClr val="000000"/>
              </a:solidFill>
              <a:latin typeface="Calibri"/>
            </a:rPr>
            <a:t>FADJ</a:t>
          </a:r>
        </a:p>
      </xdr:txBody>
    </xdr:sp>
    <xdr:clientData/>
  </xdr:twoCellAnchor>
  <xdr:twoCellAnchor>
    <xdr:from>
      <xdr:col>1</xdr:col>
      <xdr:colOff>117822</xdr:colOff>
      <xdr:row>16</xdr:row>
      <xdr:rowOff>81562</xdr:rowOff>
    </xdr:from>
    <xdr:to>
      <xdr:col>1</xdr:col>
      <xdr:colOff>511018</xdr:colOff>
      <xdr:row>17</xdr:row>
      <xdr:rowOff>129891</xdr:rowOff>
    </xdr:to>
    <xdr:sp macro="" textlink="">
      <xdr:nvSpPr>
        <xdr:cNvPr id="162" name="Text Box 255">
          <a:extLst>
            <a:ext uri="{FF2B5EF4-FFF2-40B4-BE49-F238E27FC236}">
              <a16:creationId xmlns:a16="http://schemas.microsoft.com/office/drawing/2014/main" id="{00000000-0008-0000-0100-0000A2000000}"/>
            </a:ext>
          </a:extLst>
        </xdr:cNvPr>
        <xdr:cNvSpPr txBox="1">
          <a:spLocks noChangeArrowheads="1"/>
        </xdr:cNvSpPr>
      </xdr:nvSpPr>
      <xdr:spPr bwMode="auto">
        <a:xfrm>
          <a:off x="709493" y="2806833"/>
          <a:ext cx="393196" cy="218658"/>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FB2</a:t>
          </a:r>
        </a:p>
      </xdr:txBody>
    </xdr:sp>
    <xdr:clientData/>
  </xdr:twoCellAnchor>
  <xdr:twoCellAnchor>
    <xdr:from>
      <xdr:col>1</xdr:col>
      <xdr:colOff>703548</xdr:colOff>
      <xdr:row>14</xdr:row>
      <xdr:rowOff>166655</xdr:rowOff>
    </xdr:from>
    <xdr:to>
      <xdr:col>1</xdr:col>
      <xdr:colOff>972153</xdr:colOff>
      <xdr:row>16</xdr:row>
      <xdr:rowOff>43902</xdr:rowOff>
    </xdr:to>
    <xdr:sp macro="" textlink="">
      <xdr:nvSpPr>
        <xdr:cNvPr id="163" name="Text Box 256">
          <a:extLst>
            <a:ext uri="{FF2B5EF4-FFF2-40B4-BE49-F238E27FC236}">
              <a16:creationId xmlns:a16="http://schemas.microsoft.com/office/drawing/2014/main" id="{00000000-0008-0000-0100-0000A3000000}"/>
            </a:ext>
          </a:extLst>
        </xdr:cNvPr>
        <xdr:cNvSpPr txBox="1">
          <a:spLocks noChangeArrowheads="1"/>
        </xdr:cNvSpPr>
      </xdr:nvSpPr>
      <xdr:spPr bwMode="auto">
        <a:xfrm>
          <a:off x="1295219" y="2551267"/>
          <a:ext cx="268605" cy="217906"/>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C2</a:t>
          </a:r>
        </a:p>
      </xdr:txBody>
    </xdr:sp>
    <xdr:clientData/>
  </xdr:twoCellAnchor>
  <xdr:twoCellAnchor>
    <xdr:from>
      <xdr:col>2</xdr:col>
      <xdr:colOff>175403</xdr:colOff>
      <xdr:row>10</xdr:row>
      <xdr:rowOff>72000</xdr:rowOff>
    </xdr:from>
    <xdr:to>
      <xdr:col>2</xdr:col>
      <xdr:colOff>490452</xdr:colOff>
      <xdr:row>11</xdr:row>
      <xdr:rowOff>149075</xdr:rowOff>
    </xdr:to>
    <xdr:sp macro="" textlink="">
      <xdr:nvSpPr>
        <xdr:cNvPr id="164" name="Text Box 257">
          <a:extLst>
            <a:ext uri="{FF2B5EF4-FFF2-40B4-BE49-F238E27FC236}">
              <a16:creationId xmlns:a16="http://schemas.microsoft.com/office/drawing/2014/main" id="{00000000-0008-0000-0100-0000A4000000}"/>
            </a:ext>
          </a:extLst>
        </xdr:cNvPr>
        <xdr:cNvSpPr txBox="1">
          <a:spLocks noChangeArrowheads="1"/>
        </xdr:cNvSpPr>
      </xdr:nvSpPr>
      <xdr:spPr bwMode="auto">
        <a:xfrm>
          <a:off x="1789050" y="1775294"/>
          <a:ext cx="315049" cy="2474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C1</a:t>
          </a:r>
        </a:p>
      </xdr:txBody>
    </xdr:sp>
    <xdr:clientData/>
  </xdr:twoCellAnchor>
  <xdr:twoCellAnchor>
    <xdr:from>
      <xdr:col>1</xdr:col>
      <xdr:colOff>716747</xdr:colOff>
      <xdr:row>10</xdr:row>
      <xdr:rowOff>53059</xdr:rowOff>
    </xdr:from>
    <xdr:to>
      <xdr:col>2</xdr:col>
      <xdr:colOff>30201</xdr:colOff>
      <xdr:row>11</xdr:row>
      <xdr:rowOff>136270</xdr:rowOff>
    </xdr:to>
    <xdr:sp macro="" textlink="">
      <xdr:nvSpPr>
        <xdr:cNvPr id="165" name="Text Box 258">
          <a:extLst>
            <a:ext uri="{FF2B5EF4-FFF2-40B4-BE49-F238E27FC236}">
              <a16:creationId xmlns:a16="http://schemas.microsoft.com/office/drawing/2014/main" id="{00000000-0008-0000-0100-0000A5000000}"/>
            </a:ext>
          </a:extLst>
        </xdr:cNvPr>
        <xdr:cNvSpPr txBox="1">
          <a:spLocks noChangeArrowheads="1"/>
        </xdr:cNvSpPr>
      </xdr:nvSpPr>
      <xdr:spPr bwMode="auto">
        <a:xfrm>
          <a:off x="1308418" y="1756353"/>
          <a:ext cx="335430" cy="25354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u="none" strike="noStrike" baseline="0">
              <a:solidFill>
                <a:srgbClr val="000000"/>
              </a:solidFill>
              <a:latin typeface="Arial" pitchFamily="34" charset="0"/>
              <a:cs typeface="Arial" pitchFamily="34" charset="0"/>
            </a:rPr>
            <a:t>R</a:t>
          </a:r>
          <a:r>
            <a:rPr lang="en-US" sz="1000" b="0" i="0" u="none" strike="noStrike" baseline="-25000">
              <a:solidFill>
                <a:srgbClr val="000000"/>
              </a:solidFill>
              <a:latin typeface="Arial" pitchFamily="34" charset="0"/>
              <a:cs typeface="Arial" pitchFamily="34" charset="0"/>
            </a:rPr>
            <a:t>C1</a:t>
          </a:r>
        </a:p>
      </xdr:txBody>
    </xdr:sp>
    <xdr:clientData/>
  </xdr:twoCellAnchor>
  <xdr:twoCellAnchor>
    <xdr:from>
      <xdr:col>5</xdr:col>
      <xdr:colOff>1056281</xdr:colOff>
      <xdr:row>25</xdr:row>
      <xdr:rowOff>115577</xdr:rowOff>
    </xdr:from>
    <xdr:to>
      <xdr:col>6</xdr:col>
      <xdr:colOff>67152</xdr:colOff>
      <xdr:row>27</xdr:row>
      <xdr:rowOff>41586</xdr:rowOff>
    </xdr:to>
    <xdr:sp macro="" textlink="">
      <xdr:nvSpPr>
        <xdr:cNvPr id="166" name="Text Box 260">
          <a:extLst>
            <a:ext uri="{FF2B5EF4-FFF2-40B4-BE49-F238E27FC236}">
              <a16:creationId xmlns:a16="http://schemas.microsoft.com/office/drawing/2014/main" id="{00000000-0008-0000-0100-0000A6000000}"/>
            </a:ext>
          </a:extLst>
        </xdr:cNvPr>
        <xdr:cNvSpPr txBox="1">
          <a:spLocks noChangeArrowheads="1"/>
        </xdr:cNvSpPr>
      </xdr:nvSpPr>
      <xdr:spPr bwMode="auto">
        <a:xfrm>
          <a:off x="6345457" y="4373812"/>
          <a:ext cx="418330" cy="266668"/>
        </a:xfrm>
        <a:prstGeom prst="rect">
          <a:avLst/>
        </a:prstGeom>
        <a:noFill/>
        <a:ln w="9525">
          <a:noFill/>
          <a:miter lim="800000"/>
          <a:headEnd/>
          <a:tailEnd/>
        </a:ln>
      </xdr:spPr>
      <xdr:txBody>
        <a:bodyPr vertOverflow="clip" wrap="square" lIns="27432" tIns="27432" rIns="0" bIns="0" anchor="ctr" upright="1"/>
        <a:lstStyle/>
        <a:p>
          <a:pPr algn="l" rtl="0">
            <a:defRPr sz="1000"/>
          </a:pPr>
          <a:r>
            <a:rPr lang="en-US" sz="1000" b="0" i="0" strike="noStrike">
              <a:solidFill>
                <a:srgbClr val="000000"/>
              </a:solidFill>
              <a:latin typeface="Arial" pitchFamily="34" charset="0"/>
              <a:cs typeface="Arial" pitchFamily="34" charset="0"/>
            </a:rPr>
            <a:t>2.2</a:t>
          </a:r>
          <a:r>
            <a:rPr lang="el-GR" sz="1000" b="0" i="0" strike="noStrike">
              <a:solidFill>
                <a:srgbClr val="000000"/>
              </a:solidFill>
              <a:latin typeface="Arial" pitchFamily="34" charset="0"/>
              <a:cs typeface="Arial" pitchFamily="34" charset="0"/>
            </a:rPr>
            <a:t>μ</a:t>
          </a:r>
          <a:r>
            <a:rPr lang="en-US" sz="1000" b="0" i="0" strike="noStrike">
              <a:solidFill>
                <a:srgbClr val="000000"/>
              </a:solidFill>
              <a:latin typeface="Arial" pitchFamily="34" charset="0"/>
              <a:cs typeface="Arial" pitchFamily="34" charset="0"/>
            </a:rPr>
            <a:t>F</a:t>
          </a:r>
        </a:p>
      </xdr:txBody>
    </xdr:sp>
    <xdr:clientData/>
  </xdr:twoCellAnchor>
  <xdr:twoCellAnchor>
    <xdr:from>
      <xdr:col>2</xdr:col>
      <xdr:colOff>21750</xdr:colOff>
      <xdr:row>11</xdr:row>
      <xdr:rowOff>81311</xdr:rowOff>
    </xdr:from>
    <xdr:to>
      <xdr:col>2</xdr:col>
      <xdr:colOff>540268</xdr:colOff>
      <xdr:row>12</xdr:row>
      <xdr:rowOff>151456</xdr:rowOff>
    </xdr:to>
    <xdr:sp macro="" textlink="'Variable Management'!B254">
      <xdr:nvSpPr>
        <xdr:cNvPr id="167" name="Text Box 261">
          <a:extLst>
            <a:ext uri="{FF2B5EF4-FFF2-40B4-BE49-F238E27FC236}">
              <a16:creationId xmlns:a16="http://schemas.microsoft.com/office/drawing/2014/main" id="{00000000-0008-0000-0100-0000A7000000}"/>
            </a:ext>
          </a:extLst>
        </xdr:cNvPr>
        <xdr:cNvSpPr txBox="1">
          <a:spLocks noChangeArrowheads="1" noTextEdit="1"/>
        </xdr:cNvSpPr>
      </xdr:nvSpPr>
      <xdr:spPr bwMode="auto">
        <a:xfrm>
          <a:off x="1635397" y="1954935"/>
          <a:ext cx="518518" cy="240474"/>
        </a:xfrm>
        <a:prstGeom prst="rect">
          <a:avLst/>
        </a:prstGeom>
        <a:noFill/>
        <a:ln w="9525">
          <a:noFill/>
          <a:miter lim="800000"/>
          <a:headEnd/>
          <a:tailEnd/>
        </a:ln>
      </xdr:spPr>
      <xdr:txBody>
        <a:bodyPr vertOverflow="clip" wrap="square" lIns="27432" tIns="22860" rIns="0" bIns="0" anchor="t" upright="1"/>
        <a:lstStyle/>
        <a:p>
          <a:pPr algn="r" rtl="0">
            <a:defRPr sz="1000"/>
          </a:pPr>
          <a:fld id="{491934A6-59AB-480F-A883-A2630DEA4784}" type="TxLink">
            <a:rPr lang="en-US" sz="1000" b="0" i="0" u="none" strike="noStrike" baseline="0">
              <a:solidFill>
                <a:srgbClr val="000000"/>
              </a:solidFill>
              <a:latin typeface="Arial" pitchFamily="34" charset="0"/>
              <a:cs typeface="Arial" pitchFamily="34" charset="0"/>
            </a:rPr>
            <a:pPr algn="r" rtl="0">
              <a:defRPr sz="1000"/>
            </a:pPr>
            <a:t>4.7nF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2</xdr:col>
      <xdr:colOff>143148</xdr:colOff>
      <xdr:row>14</xdr:row>
      <xdr:rowOff>167227</xdr:rowOff>
    </xdr:from>
    <xdr:to>
      <xdr:col>2</xdr:col>
      <xdr:colOff>615623</xdr:colOff>
      <xdr:row>16</xdr:row>
      <xdr:rowOff>46429</xdr:rowOff>
    </xdr:to>
    <xdr:sp macro="" textlink="'Variable Management'!B255">
      <xdr:nvSpPr>
        <xdr:cNvPr id="168" name="Text Box 262">
          <a:extLst>
            <a:ext uri="{FF2B5EF4-FFF2-40B4-BE49-F238E27FC236}">
              <a16:creationId xmlns:a16="http://schemas.microsoft.com/office/drawing/2014/main" id="{00000000-0008-0000-0100-0000A8000000}"/>
            </a:ext>
          </a:extLst>
        </xdr:cNvPr>
        <xdr:cNvSpPr txBox="1">
          <a:spLocks noChangeArrowheads="1" noTextEdit="1"/>
        </xdr:cNvSpPr>
      </xdr:nvSpPr>
      <xdr:spPr bwMode="auto">
        <a:xfrm>
          <a:off x="1756795" y="2551839"/>
          <a:ext cx="472475" cy="219861"/>
        </a:xfrm>
        <a:prstGeom prst="rect">
          <a:avLst/>
        </a:prstGeom>
        <a:noFill/>
        <a:ln w="9525">
          <a:noFill/>
          <a:miter lim="800000"/>
          <a:headEnd/>
          <a:tailEnd/>
        </a:ln>
      </xdr:spPr>
      <xdr:txBody>
        <a:bodyPr vertOverflow="clip" wrap="square" lIns="27432" tIns="22860" rIns="0" bIns="0" anchor="t" upright="1"/>
        <a:lstStyle/>
        <a:p>
          <a:pPr algn="l" rtl="0">
            <a:defRPr sz="1000"/>
          </a:pPr>
          <a:fld id="{2D8520E2-C481-4B17-83BA-3FA209B7A03A}" type="TxLink">
            <a:rPr lang="en-US" sz="1000" b="0" i="0" u="none" strike="noStrike" baseline="0">
              <a:solidFill>
                <a:srgbClr val="000000"/>
              </a:solidFill>
              <a:latin typeface="Arial" pitchFamily="34" charset="0"/>
              <a:cs typeface="Arial" pitchFamily="34" charset="0"/>
            </a:rPr>
            <a:pPr algn="l" rtl="0">
              <a:defRPr sz="1000"/>
            </a:pPr>
            <a:t>120pF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575841</xdr:colOff>
      <xdr:row>11</xdr:row>
      <xdr:rowOff>100433</xdr:rowOff>
    </xdr:from>
    <xdr:to>
      <xdr:col>2</xdr:col>
      <xdr:colOff>89991</xdr:colOff>
      <xdr:row>12</xdr:row>
      <xdr:rowOff>159789</xdr:rowOff>
    </xdr:to>
    <xdr:sp macro="" textlink="'Variable Management'!B253">
      <xdr:nvSpPr>
        <xdr:cNvPr id="169" name="Text Box 263">
          <a:extLst>
            <a:ext uri="{FF2B5EF4-FFF2-40B4-BE49-F238E27FC236}">
              <a16:creationId xmlns:a16="http://schemas.microsoft.com/office/drawing/2014/main" id="{00000000-0008-0000-0100-0000A9000000}"/>
            </a:ext>
          </a:extLst>
        </xdr:cNvPr>
        <xdr:cNvSpPr txBox="1">
          <a:spLocks noChangeArrowheads="1" noTextEdit="1"/>
        </xdr:cNvSpPr>
      </xdr:nvSpPr>
      <xdr:spPr bwMode="auto">
        <a:xfrm>
          <a:off x="1167512" y="1974057"/>
          <a:ext cx="536126" cy="229685"/>
        </a:xfrm>
        <a:prstGeom prst="rect">
          <a:avLst/>
        </a:prstGeom>
        <a:noFill/>
        <a:ln w="9525">
          <a:noFill/>
          <a:miter lim="800000"/>
          <a:headEnd/>
          <a:tailEnd/>
        </a:ln>
      </xdr:spPr>
      <xdr:txBody>
        <a:bodyPr vertOverflow="clip" wrap="square" lIns="27432" tIns="22860" rIns="0" bIns="0" anchor="t" upright="1"/>
        <a:lstStyle/>
        <a:p>
          <a:pPr algn="ctr" rtl="0">
            <a:defRPr sz="1000"/>
          </a:pPr>
          <a:fld id="{EDB14F34-7391-4353-9626-FAE030CE211F}" type="TxLink">
            <a:rPr lang="en-US" sz="1000" b="0" i="0" u="none" strike="noStrike" baseline="0">
              <a:solidFill>
                <a:srgbClr val="000000"/>
              </a:solidFill>
              <a:latin typeface="Arial" pitchFamily="34" charset="0"/>
              <a:cs typeface="Arial" pitchFamily="34" charset="0"/>
            </a:rPr>
            <a:pPr algn="ctr" rtl="0">
              <a:defRPr sz="1000"/>
            </a:pPr>
            <a:t>8.66kΩ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392898</xdr:colOff>
      <xdr:row>17</xdr:row>
      <xdr:rowOff>144714</xdr:rowOff>
    </xdr:from>
    <xdr:to>
      <xdr:col>1</xdr:col>
      <xdr:colOff>417506</xdr:colOff>
      <xdr:row>19</xdr:row>
      <xdr:rowOff>35894</xdr:rowOff>
    </xdr:to>
    <xdr:sp macro="" textlink="'Variable Management'!B259">
      <xdr:nvSpPr>
        <xdr:cNvPr id="170" name="Text Box 264">
          <a:extLst>
            <a:ext uri="{FF2B5EF4-FFF2-40B4-BE49-F238E27FC236}">
              <a16:creationId xmlns:a16="http://schemas.microsoft.com/office/drawing/2014/main" id="{00000000-0008-0000-0100-0000AA000000}"/>
            </a:ext>
          </a:extLst>
        </xdr:cNvPr>
        <xdr:cNvSpPr txBox="1">
          <a:spLocks noChangeArrowheads="1" noTextEdit="1"/>
        </xdr:cNvSpPr>
      </xdr:nvSpPr>
      <xdr:spPr bwMode="auto">
        <a:xfrm>
          <a:off x="392898" y="3040314"/>
          <a:ext cx="616279" cy="231839"/>
        </a:xfrm>
        <a:prstGeom prst="rect">
          <a:avLst/>
        </a:prstGeom>
        <a:noFill/>
        <a:ln w="9525">
          <a:noFill/>
          <a:miter lim="800000"/>
          <a:headEnd/>
          <a:tailEnd/>
        </a:ln>
      </xdr:spPr>
      <xdr:txBody>
        <a:bodyPr vertOverflow="clip" wrap="square" lIns="27432" tIns="22860" rIns="0" bIns="0" anchor="t" upright="1"/>
        <a:lstStyle/>
        <a:p>
          <a:pPr algn="r" rtl="0">
            <a:defRPr sz="1000"/>
          </a:pPr>
          <a:fld id="{4143709D-01BC-4A19-AF00-5C62DAE21E0B}" type="TxLink">
            <a:rPr lang="en-US" sz="1000" b="0" i="0" u="none" strike="noStrike" baseline="0">
              <a:solidFill>
                <a:srgbClr val="000000"/>
              </a:solidFill>
              <a:latin typeface="Arial" pitchFamily="34" charset="0"/>
              <a:cs typeface="Arial" pitchFamily="34" charset="0"/>
            </a:rPr>
            <a:pPr algn="r" rtl="0">
              <a:defRPr sz="1000"/>
            </a:pPr>
            <a:t>4.12kΩ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274709</xdr:colOff>
      <xdr:row>8</xdr:row>
      <xdr:rowOff>107849</xdr:rowOff>
    </xdr:from>
    <xdr:to>
      <xdr:col>1</xdr:col>
      <xdr:colOff>97133</xdr:colOff>
      <xdr:row>10</xdr:row>
      <xdr:rowOff>35664</xdr:rowOff>
    </xdr:to>
    <xdr:sp macro="" textlink="'Variable Management'!B256">
      <xdr:nvSpPr>
        <xdr:cNvPr id="171" name="Text Box 265">
          <a:extLst>
            <a:ext uri="{FF2B5EF4-FFF2-40B4-BE49-F238E27FC236}">
              <a16:creationId xmlns:a16="http://schemas.microsoft.com/office/drawing/2014/main" id="{00000000-0008-0000-0100-0000AB000000}"/>
            </a:ext>
          </a:extLst>
        </xdr:cNvPr>
        <xdr:cNvSpPr txBox="1">
          <a:spLocks noChangeArrowheads="1" noTextEdit="1"/>
        </xdr:cNvSpPr>
      </xdr:nvSpPr>
      <xdr:spPr bwMode="auto">
        <a:xfrm>
          <a:off x="274709" y="1470484"/>
          <a:ext cx="414095" cy="268474"/>
        </a:xfrm>
        <a:prstGeom prst="rect">
          <a:avLst/>
        </a:prstGeom>
        <a:noFill/>
        <a:ln w="9525">
          <a:noFill/>
          <a:miter lim="800000"/>
          <a:headEnd/>
          <a:tailEnd/>
        </a:ln>
      </xdr:spPr>
      <xdr:txBody>
        <a:bodyPr vertOverflow="clip" wrap="square" lIns="27432" tIns="22860" rIns="0" bIns="0" anchor="t" upright="1"/>
        <a:lstStyle/>
        <a:p>
          <a:pPr algn="r" rtl="0">
            <a:defRPr sz="1000"/>
          </a:pPr>
          <a:fld id="{8A5847E3-10F5-4FFF-8A55-57AE8AD8F48A}" type="TxLink">
            <a:rPr lang="el-GR" sz="1000" b="0" i="0" u="none" strike="noStrike" baseline="0">
              <a:solidFill>
                <a:srgbClr val="000000"/>
              </a:solidFill>
              <a:latin typeface="Arial" pitchFamily="34" charset="0"/>
              <a:cs typeface="Arial" pitchFamily="34" charset="0"/>
            </a:rPr>
            <a:pPr algn="r" rtl="0">
              <a:defRPr sz="1000"/>
            </a:pPr>
            <a:t>866Ω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0</xdr:col>
      <xdr:colOff>234622</xdr:colOff>
      <xdr:row>11</xdr:row>
      <xdr:rowOff>111172</xdr:rowOff>
    </xdr:from>
    <xdr:to>
      <xdr:col>1</xdr:col>
      <xdr:colOff>146137</xdr:colOff>
      <xdr:row>12</xdr:row>
      <xdr:rowOff>133988</xdr:rowOff>
    </xdr:to>
    <xdr:sp macro="" textlink="'Variable Management'!B257">
      <xdr:nvSpPr>
        <xdr:cNvPr id="172" name="Text Box 266">
          <a:extLst>
            <a:ext uri="{FF2B5EF4-FFF2-40B4-BE49-F238E27FC236}">
              <a16:creationId xmlns:a16="http://schemas.microsoft.com/office/drawing/2014/main" id="{00000000-0008-0000-0100-0000AC000000}"/>
            </a:ext>
          </a:extLst>
        </xdr:cNvPr>
        <xdr:cNvSpPr txBox="1">
          <a:spLocks noChangeArrowheads="1" noTextEdit="1"/>
        </xdr:cNvSpPr>
      </xdr:nvSpPr>
      <xdr:spPr bwMode="auto">
        <a:xfrm>
          <a:off x="234622" y="1984796"/>
          <a:ext cx="503186" cy="193145"/>
        </a:xfrm>
        <a:prstGeom prst="rect">
          <a:avLst/>
        </a:prstGeom>
        <a:noFill/>
        <a:ln w="9525">
          <a:noFill/>
          <a:miter lim="800000"/>
          <a:headEnd/>
          <a:tailEnd/>
        </a:ln>
      </xdr:spPr>
      <xdr:txBody>
        <a:bodyPr vertOverflow="clip" wrap="square" lIns="27432" tIns="22860" rIns="0" bIns="0" anchor="t" upright="1"/>
        <a:lstStyle/>
        <a:p>
          <a:pPr algn="r" rtl="0">
            <a:defRPr sz="1000"/>
          </a:pPr>
          <a:fld id="{6C3BF70F-B67A-49A8-941F-821453611716}" type="TxLink">
            <a:rPr lang="en-US" sz="1000" b="0" i="0" u="none" strike="noStrike" baseline="0">
              <a:solidFill>
                <a:srgbClr val="000000"/>
              </a:solidFill>
              <a:latin typeface="Arial" pitchFamily="34" charset="0"/>
              <a:cs typeface="Arial" pitchFamily="34" charset="0"/>
            </a:rPr>
            <a:pPr algn="r" rtl="0">
              <a:defRPr sz="1000"/>
            </a:pPr>
            <a:t>1500pF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1016421</xdr:colOff>
      <xdr:row>19</xdr:row>
      <xdr:rowOff>1318</xdr:rowOff>
    </xdr:from>
    <xdr:to>
      <xdr:col>8</xdr:col>
      <xdr:colOff>601075</xdr:colOff>
      <xdr:row>20</xdr:row>
      <xdr:rowOff>71660</xdr:rowOff>
    </xdr:to>
    <xdr:sp macro="" textlink="'Variable Management'!E243">
      <xdr:nvSpPr>
        <xdr:cNvPr id="173" name="Text Box 267">
          <a:extLst>
            <a:ext uri="{FF2B5EF4-FFF2-40B4-BE49-F238E27FC236}">
              <a16:creationId xmlns:a16="http://schemas.microsoft.com/office/drawing/2014/main" id="{00000000-0008-0000-0100-0000AD000000}"/>
            </a:ext>
          </a:extLst>
        </xdr:cNvPr>
        <xdr:cNvSpPr txBox="1">
          <a:spLocks noChangeArrowheads="1" noTextEdit="1"/>
        </xdr:cNvSpPr>
      </xdr:nvSpPr>
      <xdr:spPr bwMode="auto">
        <a:xfrm>
          <a:off x="8376445" y="3237577"/>
          <a:ext cx="687312" cy="240671"/>
        </a:xfrm>
        <a:prstGeom prst="rect">
          <a:avLst/>
        </a:prstGeom>
        <a:noFill/>
        <a:ln w="9525">
          <a:noFill/>
          <a:miter lim="800000"/>
          <a:headEnd/>
          <a:tailEnd/>
        </a:ln>
      </xdr:spPr>
      <xdr:txBody>
        <a:bodyPr vertOverflow="clip" wrap="square" lIns="27432" tIns="22860" rIns="0" bIns="0" anchor="ctr" upright="1"/>
        <a:lstStyle/>
        <a:p>
          <a:pPr algn="l" rtl="0">
            <a:defRPr sz="1000"/>
          </a:pPr>
          <a:fld id="{B1C96643-9062-44BD-9D18-137667D0E8FF}" type="TxLink">
            <a:rPr lang="en-US" sz="1000" b="0" i="0" u="none" strike="noStrike" baseline="0">
              <a:solidFill>
                <a:srgbClr val="000000"/>
              </a:solidFill>
              <a:latin typeface="Arial"/>
              <a:cs typeface="Arial"/>
            </a:rPr>
            <a:pPr algn="l" rtl="0">
              <a:defRPr sz="1000"/>
            </a:pPr>
            <a:t>3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1</xdr:col>
      <xdr:colOff>639727</xdr:colOff>
      <xdr:row>8</xdr:row>
      <xdr:rowOff>101380</xdr:rowOff>
    </xdr:from>
    <xdr:to>
      <xdr:col>2</xdr:col>
      <xdr:colOff>167759</xdr:colOff>
      <xdr:row>10</xdr:row>
      <xdr:rowOff>66231</xdr:rowOff>
    </xdr:to>
    <xdr:sp macro="" textlink="'Variable Management'!B258">
      <xdr:nvSpPr>
        <xdr:cNvPr id="174" name="Text Box 268">
          <a:extLst>
            <a:ext uri="{FF2B5EF4-FFF2-40B4-BE49-F238E27FC236}">
              <a16:creationId xmlns:a16="http://schemas.microsoft.com/office/drawing/2014/main" id="{00000000-0008-0000-0100-0000AE000000}"/>
            </a:ext>
          </a:extLst>
        </xdr:cNvPr>
        <xdr:cNvSpPr txBox="1">
          <a:spLocks noChangeArrowheads="1" noTextEdit="1"/>
        </xdr:cNvSpPr>
      </xdr:nvSpPr>
      <xdr:spPr bwMode="auto">
        <a:xfrm>
          <a:off x="1231398" y="1464015"/>
          <a:ext cx="550008" cy="305510"/>
        </a:xfrm>
        <a:prstGeom prst="rect">
          <a:avLst/>
        </a:prstGeom>
        <a:noFill/>
        <a:ln w="9525">
          <a:noFill/>
          <a:miter lim="800000"/>
          <a:headEnd/>
          <a:tailEnd/>
        </a:ln>
      </xdr:spPr>
      <xdr:txBody>
        <a:bodyPr vertOverflow="clip" wrap="square" lIns="27432" tIns="22860" rIns="0" bIns="0" anchor="ctr" upright="1"/>
        <a:lstStyle/>
        <a:p>
          <a:pPr algn="l" rtl="0">
            <a:defRPr sz="1000"/>
          </a:pPr>
          <a:fld id="{DE4FB3C5-779F-4472-8885-3DB2A25A3AD8}" type="TxLink">
            <a:rPr lang="en-US" sz="1000" b="0" i="0" u="none" strike="noStrike">
              <a:solidFill>
                <a:srgbClr val="000000"/>
              </a:solidFill>
              <a:latin typeface="Arial" pitchFamily="34" charset="0"/>
              <a:cs typeface="Arial" pitchFamily="34" charset="0"/>
            </a:rPr>
            <a:pPr algn="l" rtl="0">
              <a:defRPr sz="1000"/>
            </a:pPr>
            <a:t>22.1kΩ</a:t>
          </a:fld>
          <a:endParaRPr lang="el-GR" sz="1000" b="0" i="0" strike="noStrike">
            <a:solidFill>
              <a:srgbClr val="000000"/>
            </a:solidFill>
            <a:latin typeface="Arial" pitchFamily="34" charset="0"/>
            <a:cs typeface="Arial" pitchFamily="34" charset="0"/>
          </a:endParaRPr>
        </a:p>
      </xdr:txBody>
    </xdr:sp>
    <xdr:clientData/>
  </xdr:twoCellAnchor>
  <xdr:twoCellAnchor>
    <xdr:from>
      <xdr:col>4</xdr:col>
      <xdr:colOff>1066971</xdr:colOff>
      <xdr:row>29</xdr:row>
      <xdr:rowOff>9413</xdr:rowOff>
    </xdr:from>
    <xdr:to>
      <xdr:col>5</xdr:col>
      <xdr:colOff>463264</xdr:colOff>
      <xdr:row>30</xdr:row>
      <xdr:rowOff>64549</xdr:rowOff>
    </xdr:to>
    <xdr:sp macro="" textlink="'Variable Management'!B268">
      <xdr:nvSpPr>
        <xdr:cNvPr id="175" name="Text Box 270">
          <a:extLst>
            <a:ext uri="{FF2B5EF4-FFF2-40B4-BE49-F238E27FC236}">
              <a16:creationId xmlns:a16="http://schemas.microsoft.com/office/drawing/2014/main" id="{00000000-0008-0000-0100-0000AF000000}"/>
            </a:ext>
          </a:extLst>
        </xdr:cNvPr>
        <xdr:cNvSpPr txBox="1">
          <a:spLocks noChangeArrowheads="1" noTextEdit="1"/>
        </xdr:cNvSpPr>
      </xdr:nvSpPr>
      <xdr:spPr bwMode="auto">
        <a:xfrm>
          <a:off x="5163842" y="4948966"/>
          <a:ext cx="588598" cy="225465"/>
        </a:xfrm>
        <a:prstGeom prst="rect">
          <a:avLst/>
        </a:prstGeom>
        <a:noFill/>
        <a:ln w="9525">
          <a:noFill/>
          <a:miter lim="800000"/>
          <a:headEnd/>
          <a:tailEnd/>
        </a:ln>
      </xdr:spPr>
      <xdr:txBody>
        <a:bodyPr vertOverflow="clip" wrap="square" lIns="27432" tIns="22860" rIns="0" bIns="0" anchor="t" upright="1"/>
        <a:lstStyle/>
        <a:p>
          <a:pPr algn="l" rtl="0">
            <a:defRPr sz="1000"/>
          </a:pPr>
          <a:fld id="{07E99D9F-90DD-4315-B69B-BBFCCDB8D767}" type="TxLink">
            <a:rPr lang="en-US" sz="1000" b="0" i="0" u="none" strike="noStrike" baseline="0">
              <a:solidFill>
                <a:srgbClr val="000000"/>
              </a:solidFill>
              <a:latin typeface="Arial"/>
              <a:cs typeface="Arial"/>
            </a:rPr>
            <a:pPr algn="l" rtl="0">
              <a:defRPr sz="1000"/>
            </a:pPr>
            <a:t>274Ω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205276</xdr:colOff>
      <xdr:row>14</xdr:row>
      <xdr:rowOff>146366</xdr:rowOff>
    </xdr:from>
    <xdr:to>
      <xdr:col>7</xdr:col>
      <xdr:colOff>656746</xdr:colOff>
      <xdr:row>16</xdr:row>
      <xdr:rowOff>86118</xdr:rowOff>
    </xdr:to>
    <xdr:sp macro="" textlink="'Variable Management'!B238">
      <xdr:nvSpPr>
        <xdr:cNvPr id="176" name="Text Box 275">
          <a:extLst>
            <a:ext uri="{FF2B5EF4-FFF2-40B4-BE49-F238E27FC236}">
              <a16:creationId xmlns:a16="http://schemas.microsoft.com/office/drawing/2014/main" id="{00000000-0008-0000-0100-0000B0000000}"/>
            </a:ext>
          </a:extLst>
        </xdr:cNvPr>
        <xdr:cNvSpPr txBox="1">
          <a:spLocks noChangeArrowheads="1" noTextEdit="1"/>
        </xdr:cNvSpPr>
      </xdr:nvSpPr>
      <xdr:spPr bwMode="auto">
        <a:xfrm>
          <a:off x="7565300" y="2530978"/>
          <a:ext cx="451470" cy="280411"/>
        </a:xfrm>
        <a:prstGeom prst="rect">
          <a:avLst/>
        </a:prstGeom>
        <a:noFill/>
        <a:ln w="9525">
          <a:noFill/>
          <a:miter lim="800000"/>
          <a:headEnd/>
          <a:tailEnd/>
        </a:ln>
      </xdr:spPr>
      <xdr:txBody>
        <a:bodyPr vertOverflow="clip" wrap="square" lIns="27432" tIns="22860" rIns="0" bIns="0" anchor="ctr" upright="1"/>
        <a:lstStyle/>
        <a:p>
          <a:pPr algn="ctr" rtl="0">
            <a:defRPr sz="1000"/>
          </a:pPr>
          <a:fld id="{08583DE7-3129-476B-98BE-2887A134E956}" type="TxLink">
            <a:rPr lang="en-US" sz="1000" b="0" i="0" u="none" strike="noStrike" baseline="0">
              <a:solidFill>
                <a:srgbClr val="000000"/>
              </a:solidFill>
              <a:latin typeface="Arial" pitchFamily="34" charset="0"/>
              <a:cs typeface="Arial" pitchFamily="34" charset="0"/>
            </a:rPr>
            <a:pPr algn="ctr" rtl="0">
              <a:defRPr sz="1000"/>
            </a:pPr>
            <a:t>7.4µH</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5323</xdr:colOff>
      <xdr:row>18</xdr:row>
      <xdr:rowOff>165080</xdr:rowOff>
    </xdr:from>
    <xdr:to>
      <xdr:col>7</xdr:col>
      <xdr:colOff>640659</xdr:colOff>
      <xdr:row>20</xdr:row>
      <xdr:rowOff>56338</xdr:rowOff>
    </xdr:to>
    <xdr:sp macro="" textlink="'Variable Management'!E250">
      <xdr:nvSpPr>
        <xdr:cNvPr id="177" name="Text Box 276">
          <a:extLst>
            <a:ext uri="{FF2B5EF4-FFF2-40B4-BE49-F238E27FC236}">
              <a16:creationId xmlns:a16="http://schemas.microsoft.com/office/drawing/2014/main" id="{00000000-0008-0000-0100-0000B1000000}"/>
            </a:ext>
          </a:extLst>
        </xdr:cNvPr>
        <xdr:cNvSpPr txBox="1">
          <a:spLocks noChangeArrowheads="1" noTextEdit="1"/>
        </xdr:cNvSpPr>
      </xdr:nvSpPr>
      <xdr:spPr bwMode="auto">
        <a:xfrm>
          <a:off x="7365347" y="3231009"/>
          <a:ext cx="635336" cy="231917"/>
        </a:xfrm>
        <a:prstGeom prst="rect">
          <a:avLst/>
        </a:prstGeom>
        <a:noFill/>
        <a:ln w="9525">
          <a:noFill/>
          <a:miter lim="800000"/>
          <a:headEnd/>
          <a:tailEnd/>
        </a:ln>
      </xdr:spPr>
      <xdr:txBody>
        <a:bodyPr vertOverflow="clip" wrap="square" lIns="27432" tIns="22860" rIns="0" bIns="0" anchor="ctr" upright="1"/>
        <a:lstStyle/>
        <a:p>
          <a:pPr algn="l" rtl="0">
            <a:defRPr sz="1000"/>
          </a:pPr>
          <a:fld id="{1B4FF237-4FCE-4391-A30E-D8A66113D8BC}" type="TxLink">
            <a:rPr lang="en-US" sz="1000" b="0" i="0" u="none" strike="noStrike" baseline="0">
              <a:solidFill>
                <a:srgbClr val="000000"/>
              </a:solidFill>
              <a:latin typeface="Arial"/>
              <a:cs typeface="Arial"/>
            </a:rPr>
            <a:pPr algn="l" rtl="0">
              <a:defRPr sz="1000"/>
            </a:pPr>
            <a:t>24 x 4.7µF</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5</xdr:col>
      <xdr:colOff>934193</xdr:colOff>
      <xdr:row>7</xdr:row>
      <xdr:rowOff>23587</xdr:rowOff>
    </xdr:from>
    <xdr:to>
      <xdr:col>5</xdr:col>
      <xdr:colOff>1320288</xdr:colOff>
      <xdr:row>8</xdr:row>
      <xdr:rowOff>88269</xdr:rowOff>
    </xdr:to>
    <xdr:sp macro="" textlink="">
      <xdr:nvSpPr>
        <xdr:cNvPr id="178" name="Text Box 279">
          <a:extLst>
            <a:ext uri="{FF2B5EF4-FFF2-40B4-BE49-F238E27FC236}">
              <a16:creationId xmlns:a16="http://schemas.microsoft.com/office/drawing/2014/main" id="{00000000-0008-0000-0100-0000B2000000}"/>
            </a:ext>
          </a:extLst>
        </xdr:cNvPr>
        <xdr:cNvSpPr txBox="1">
          <a:spLocks noChangeArrowheads="1"/>
        </xdr:cNvSpPr>
      </xdr:nvSpPr>
      <xdr:spPr bwMode="auto">
        <a:xfrm>
          <a:off x="6223369" y="1215893"/>
          <a:ext cx="386095" cy="235011"/>
        </a:xfrm>
        <a:prstGeom prst="rect">
          <a:avLst/>
        </a:prstGeom>
        <a:noFill/>
        <a:ln w="9525">
          <a:noFill/>
          <a:miter lim="800000"/>
          <a:headEnd/>
          <a:tailEnd/>
        </a:ln>
      </xdr:spPr>
      <xdr:txBody>
        <a:bodyPr vertOverflow="clip" wrap="square" lIns="27432" tIns="27432" rIns="0" bIns="0" anchor="ctr"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a:latin typeface="Arial" pitchFamily="34" charset="0"/>
              <a:ea typeface="+mn-ea"/>
              <a:cs typeface="Arial" pitchFamily="34" charset="0"/>
            </a:rPr>
            <a:t>0.1</a:t>
          </a:r>
          <a:r>
            <a:rPr lang="el-GR" sz="1000" b="0" i="0">
              <a:latin typeface="Arial" pitchFamily="34" charset="0"/>
              <a:ea typeface="+mn-ea"/>
              <a:cs typeface="Arial" pitchFamily="34" charset="0"/>
            </a:rPr>
            <a:t>μ</a:t>
          </a:r>
          <a:r>
            <a:rPr lang="en-US" sz="1000" b="0" i="0">
              <a:latin typeface="Arial" pitchFamily="34" charset="0"/>
              <a:ea typeface="+mn-ea"/>
              <a:cs typeface="Arial" pitchFamily="34" charset="0"/>
            </a:rPr>
            <a:t>F</a:t>
          </a:r>
          <a:endParaRPr lang="en-US" sz="1000">
            <a:latin typeface="Arial" pitchFamily="34" charset="0"/>
            <a:cs typeface="Arial" pitchFamily="34" charset="0"/>
          </a:endParaRPr>
        </a:p>
      </xdr:txBody>
    </xdr:sp>
    <xdr:clientData/>
  </xdr:twoCellAnchor>
  <xdr:twoCellAnchor>
    <xdr:from>
      <xdr:col>2</xdr:col>
      <xdr:colOff>645109</xdr:colOff>
      <xdr:row>11</xdr:row>
      <xdr:rowOff>119603</xdr:rowOff>
    </xdr:from>
    <xdr:to>
      <xdr:col>2</xdr:col>
      <xdr:colOff>998733</xdr:colOff>
      <xdr:row>13</xdr:row>
      <xdr:rowOff>11526</xdr:rowOff>
    </xdr:to>
    <xdr:sp macro="" textlink="'Variable Management'!B276">
      <xdr:nvSpPr>
        <xdr:cNvPr id="179" name="Text Box 281">
          <a:extLst>
            <a:ext uri="{FF2B5EF4-FFF2-40B4-BE49-F238E27FC236}">
              <a16:creationId xmlns:a16="http://schemas.microsoft.com/office/drawing/2014/main" id="{00000000-0008-0000-0100-0000B3000000}"/>
            </a:ext>
          </a:extLst>
        </xdr:cNvPr>
        <xdr:cNvSpPr txBox="1">
          <a:spLocks noChangeArrowheads="1" noTextEdit="1"/>
        </xdr:cNvSpPr>
      </xdr:nvSpPr>
      <xdr:spPr bwMode="auto">
        <a:xfrm>
          <a:off x="2258756" y="1993227"/>
          <a:ext cx="353624" cy="232581"/>
        </a:xfrm>
        <a:prstGeom prst="rect">
          <a:avLst/>
        </a:prstGeom>
        <a:noFill/>
        <a:ln w="9525">
          <a:noFill/>
          <a:miter lim="800000"/>
          <a:headEnd/>
          <a:tailEnd/>
        </a:ln>
      </xdr:spPr>
      <xdr:txBody>
        <a:bodyPr vertOverflow="clip" wrap="square" lIns="27432" tIns="22860" rIns="0" bIns="0" anchor="t" upright="1"/>
        <a:lstStyle/>
        <a:p>
          <a:pPr algn="l" rtl="0">
            <a:defRPr sz="1000"/>
          </a:pPr>
          <a:fld id="{77460045-3ADA-4E36-A50B-8C5C548E137C}" type="TxLink">
            <a:rPr lang="en-US" sz="1000" b="0" i="0" u="none" strike="noStrike">
              <a:solidFill>
                <a:srgbClr val="000000"/>
              </a:solidFill>
              <a:latin typeface="Arial" pitchFamily="34" charset="0"/>
              <a:cs typeface="Arial" pitchFamily="34" charset="0"/>
            </a:rPr>
            <a:pPr algn="l" rtl="0">
              <a:defRPr sz="1000"/>
            </a:pPr>
            <a:t>100nF</a:t>
          </a:fld>
          <a:endParaRPr lang="en-US" sz="1000" b="0" i="0" strike="noStrike">
            <a:solidFill>
              <a:srgbClr val="000000"/>
            </a:solidFill>
            <a:latin typeface="Arial" pitchFamily="34" charset="0"/>
            <a:cs typeface="Arial" pitchFamily="34" charset="0"/>
          </a:endParaRPr>
        </a:p>
      </xdr:txBody>
    </xdr:sp>
    <xdr:clientData/>
  </xdr:twoCellAnchor>
  <xdr:twoCellAnchor>
    <xdr:from>
      <xdr:col>7</xdr:col>
      <xdr:colOff>46043</xdr:colOff>
      <xdr:row>5</xdr:row>
      <xdr:rowOff>167155</xdr:rowOff>
    </xdr:from>
    <xdr:to>
      <xdr:col>7</xdr:col>
      <xdr:colOff>414383</xdr:colOff>
      <xdr:row>7</xdr:row>
      <xdr:rowOff>79129</xdr:rowOff>
    </xdr:to>
    <xdr:sp macro="" textlink="'Variable Management'!B280">
      <xdr:nvSpPr>
        <xdr:cNvPr id="180" name="Text Box 283">
          <a:extLst>
            <a:ext uri="{FF2B5EF4-FFF2-40B4-BE49-F238E27FC236}">
              <a16:creationId xmlns:a16="http://schemas.microsoft.com/office/drawing/2014/main" id="{00000000-0008-0000-0100-0000B4000000}"/>
            </a:ext>
          </a:extLst>
        </xdr:cNvPr>
        <xdr:cNvSpPr txBox="1">
          <a:spLocks noChangeArrowheads="1" noTextEdit="1"/>
        </xdr:cNvSpPr>
      </xdr:nvSpPr>
      <xdr:spPr bwMode="auto">
        <a:xfrm>
          <a:off x="7406067" y="1018802"/>
          <a:ext cx="368340" cy="252633"/>
        </a:xfrm>
        <a:prstGeom prst="rect">
          <a:avLst/>
        </a:prstGeom>
        <a:noFill/>
        <a:ln w="9525">
          <a:noFill/>
          <a:miter lim="800000"/>
          <a:headEnd/>
          <a:tailEnd/>
        </a:ln>
      </xdr:spPr>
      <xdr:txBody>
        <a:bodyPr vertOverflow="clip" wrap="square" lIns="27432" tIns="22860" rIns="0" bIns="0" anchor="t" upright="1"/>
        <a:lstStyle/>
        <a:p>
          <a:pPr algn="l" rtl="0">
            <a:defRPr sz="1000"/>
          </a:pPr>
          <a:fld id="{211B0151-B00E-493E-8C8F-6E492416D93B}" type="TxLink">
            <a:rPr lang="en-US" sz="1200" b="1" i="0" u="none" strike="noStrike">
              <a:solidFill>
                <a:srgbClr val="FF0000"/>
              </a:solidFill>
              <a:latin typeface="Arial" pitchFamily="34" charset="0"/>
              <a:cs typeface="Arial" pitchFamily="34" charset="0"/>
            </a:rPr>
            <a:pPr algn="l" rtl="0">
              <a:defRPr sz="1000"/>
            </a:pPr>
            <a:t>24V</a:t>
          </a:fld>
          <a:endParaRPr lang="en-US" sz="1200" b="1" i="0" strike="noStrike">
            <a:solidFill>
              <a:srgbClr val="FF0000"/>
            </a:solidFill>
            <a:latin typeface="Arial" pitchFamily="34" charset="0"/>
            <a:cs typeface="Arial" pitchFamily="34" charset="0"/>
          </a:endParaRPr>
        </a:p>
      </xdr:txBody>
    </xdr:sp>
    <xdr:clientData/>
  </xdr:twoCellAnchor>
  <xdr:twoCellAnchor>
    <xdr:from>
      <xdr:col>8</xdr:col>
      <xdr:colOff>157103</xdr:colOff>
      <xdr:row>15</xdr:row>
      <xdr:rowOff>106959</xdr:rowOff>
    </xdr:from>
    <xdr:to>
      <xdr:col>8</xdr:col>
      <xdr:colOff>1186074</xdr:colOff>
      <xdr:row>16</xdr:row>
      <xdr:rowOff>168433</xdr:rowOff>
    </xdr:to>
    <xdr:sp macro="" textlink="'Variable Management'!B241">
      <xdr:nvSpPr>
        <xdr:cNvPr id="181" name="Text Box 285">
          <a:extLst>
            <a:ext uri="{FF2B5EF4-FFF2-40B4-BE49-F238E27FC236}">
              <a16:creationId xmlns:a16="http://schemas.microsoft.com/office/drawing/2014/main" id="{00000000-0008-0000-0100-0000B5000000}"/>
            </a:ext>
          </a:extLst>
        </xdr:cNvPr>
        <xdr:cNvSpPr txBox="1">
          <a:spLocks noChangeArrowheads="1" noTextEdit="1"/>
        </xdr:cNvSpPr>
      </xdr:nvSpPr>
      <xdr:spPr bwMode="auto">
        <a:xfrm>
          <a:off x="8619785" y="2661900"/>
          <a:ext cx="1028971" cy="231804"/>
        </a:xfrm>
        <a:prstGeom prst="rect">
          <a:avLst/>
        </a:prstGeom>
        <a:noFill/>
        <a:ln w="9525">
          <a:noFill/>
          <a:miter lim="800000"/>
          <a:headEnd/>
          <a:tailEnd/>
        </a:ln>
      </xdr:spPr>
      <xdr:txBody>
        <a:bodyPr vertOverflow="clip" wrap="square" lIns="27432" tIns="22860" rIns="0" bIns="0" anchor="t" upright="1"/>
        <a:lstStyle/>
        <a:p>
          <a:pPr algn="l" rtl="0">
            <a:defRPr sz="1000"/>
          </a:pPr>
          <a:fld id="{702C2B8A-7C4B-4FDB-B229-3170089D9686}" type="TxLink">
            <a:rPr lang="en-US" sz="1200" b="1" i="0" u="none" strike="noStrike" baseline="0">
              <a:solidFill>
                <a:srgbClr val="FF0000"/>
              </a:solidFill>
              <a:latin typeface="Arial" pitchFamily="34" charset="0"/>
              <a:cs typeface="Arial" pitchFamily="34" charset="0"/>
            </a:rPr>
            <a:pPr algn="l" rtl="0">
              <a:defRPr sz="1000"/>
            </a:pPr>
            <a:t>5.1V</a:t>
          </a:fld>
          <a:endParaRPr lang="en-US" sz="1200" b="1" i="0" u="none" strike="noStrike" baseline="0">
            <a:solidFill>
              <a:srgbClr val="FF0000"/>
            </a:solidFill>
            <a:latin typeface="Arial" pitchFamily="34" charset="0"/>
            <a:cs typeface="Arial" pitchFamily="34" charset="0"/>
          </a:endParaRPr>
        </a:p>
      </xdr:txBody>
    </xdr:sp>
    <xdr:clientData/>
  </xdr:twoCellAnchor>
  <xdr:twoCellAnchor>
    <xdr:from>
      <xdr:col>8</xdr:col>
      <xdr:colOff>157103</xdr:colOff>
      <xdr:row>16</xdr:row>
      <xdr:rowOff>143517</xdr:rowOff>
    </xdr:from>
    <xdr:to>
      <xdr:col>8</xdr:col>
      <xdr:colOff>1197738</xdr:colOff>
      <xdr:row>18</xdr:row>
      <xdr:rowOff>40858</xdr:rowOff>
    </xdr:to>
    <xdr:sp macro="" textlink="'Variable Management'!B279">
      <xdr:nvSpPr>
        <xdr:cNvPr id="182" name="Text Box 286">
          <a:extLst>
            <a:ext uri="{FF2B5EF4-FFF2-40B4-BE49-F238E27FC236}">
              <a16:creationId xmlns:a16="http://schemas.microsoft.com/office/drawing/2014/main" id="{00000000-0008-0000-0100-0000B6000000}"/>
            </a:ext>
          </a:extLst>
        </xdr:cNvPr>
        <xdr:cNvSpPr txBox="1">
          <a:spLocks noChangeArrowheads="1" noTextEdit="1"/>
        </xdr:cNvSpPr>
      </xdr:nvSpPr>
      <xdr:spPr bwMode="auto">
        <a:xfrm>
          <a:off x="8619785" y="2868788"/>
          <a:ext cx="1040635" cy="237999"/>
        </a:xfrm>
        <a:prstGeom prst="rect">
          <a:avLst/>
        </a:prstGeom>
        <a:noFill/>
        <a:ln w="9525">
          <a:noFill/>
          <a:miter lim="800000"/>
          <a:headEnd/>
          <a:tailEnd/>
        </a:ln>
      </xdr:spPr>
      <xdr:txBody>
        <a:bodyPr vertOverflow="clip" wrap="square" lIns="27432" tIns="22860" rIns="0" bIns="0" anchor="t" upright="1"/>
        <a:lstStyle/>
        <a:p>
          <a:pPr algn="l" rtl="0">
            <a:defRPr sz="1000"/>
          </a:pPr>
          <a:fld id="{E0FB88FA-F39E-4ACF-AB5E-DCB628763AAE}" type="TxLink">
            <a:rPr lang="en-US" sz="1200" b="1" i="0" u="none" strike="noStrike">
              <a:solidFill>
                <a:srgbClr val="FF0000"/>
              </a:solidFill>
              <a:latin typeface="Arial" pitchFamily="34" charset="0"/>
              <a:cs typeface="Arial" pitchFamily="34" charset="0"/>
            </a:rPr>
            <a:pPr algn="l" rtl="0">
              <a:defRPr sz="1000"/>
            </a:pPr>
            <a:t>6A</a:t>
          </a:fld>
          <a:endParaRPr lang="en-US" sz="1200" b="1" i="0" strike="noStrike">
            <a:solidFill>
              <a:srgbClr val="FF0000"/>
            </a:solidFill>
            <a:latin typeface="Arial" pitchFamily="34" charset="0"/>
            <a:cs typeface="Arial" pitchFamily="34" charset="0"/>
          </a:endParaRPr>
        </a:p>
      </xdr:txBody>
    </xdr:sp>
    <xdr:clientData/>
  </xdr:twoCellAnchor>
  <xdr:twoCellAnchor>
    <xdr:from>
      <xdr:col>3</xdr:col>
      <xdr:colOff>272376</xdr:colOff>
      <xdr:row>24</xdr:row>
      <xdr:rowOff>76728</xdr:rowOff>
    </xdr:from>
    <xdr:to>
      <xdr:col>3</xdr:col>
      <xdr:colOff>491451</xdr:colOff>
      <xdr:row>24</xdr:row>
      <xdr:rowOff>76728</xdr:rowOff>
    </xdr:to>
    <xdr:sp macro="" textlink="'Variable Management'!B292">
      <xdr:nvSpPr>
        <xdr:cNvPr id="183" name="Text Box 299">
          <a:extLst>
            <a:ext uri="{FF2B5EF4-FFF2-40B4-BE49-F238E27FC236}">
              <a16:creationId xmlns:a16="http://schemas.microsoft.com/office/drawing/2014/main" id="{00000000-0008-0000-0100-0000B7000000}"/>
            </a:ext>
          </a:extLst>
        </xdr:cNvPr>
        <xdr:cNvSpPr txBox="1">
          <a:spLocks noChangeArrowheads="1" noTextEdit="1"/>
        </xdr:cNvSpPr>
      </xdr:nvSpPr>
      <xdr:spPr bwMode="auto">
        <a:xfrm>
          <a:off x="2988682" y="4164634"/>
          <a:ext cx="219075" cy="0"/>
        </a:xfrm>
        <a:prstGeom prst="rect">
          <a:avLst/>
        </a:prstGeom>
        <a:noFill/>
        <a:ln w="9525">
          <a:noFill/>
          <a:miter lim="800000"/>
          <a:headEnd/>
          <a:tailEnd/>
        </a:ln>
      </xdr:spPr>
      <xdr:txBody>
        <a:bodyPr vertOverflow="clip" wrap="square" lIns="27432" tIns="22860" rIns="0" bIns="0" anchor="t" upright="1"/>
        <a:lstStyle/>
        <a:p>
          <a:pPr algn="l" rtl="0">
            <a:defRPr sz="1000"/>
          </a:pPr>
          <a:fld id="{497BFBE6-0671-4D0F-A59C-D9187795E36B}" type="TxLink">
            <a:rPr lang="en-US" sz="1000" b="0" i="0" u="none" strike="noStrike">
              <a:solidFill>
                <a:srgbClr val="000000"/>
              </a:solidFill>
              <a:latin typeface="Calibri"/>
              <a:cs typeface="Arial"/>
            </a:rPr>
            <a:pPr algn="l" rtl="0">
              <a:defRPr sz="1000"/>
            </a:pPr>
            <a:t>13</a:t>
          </a:fld>
          <a:endParaRPr lang="en-US" sz="1000" b="0" i="0" strike="noStrike">
            <a:solidFill>
              <a:srgbClr val="000000"/>
            </a:solidFill>
            <a:latin typeface="Calibri"/>
          </a:endParaRPr>
        </a:p>
      </xdr:txBody>
    </xdr:sp>
    <xdr:clientData/>
  </xdr:twoCellAnchor>
  <xdr:twoCellAnchor>
    <xdr:from>
      <xdr:col>2</xdr:col>
      <xdr:colOff>851741</xdr:colOff>
      <xdr:row>6</xdr:row>
      <xdr:rowOff>95904</xdr:rowOff>
    </xdr:from>
    <xdr:to>
      <xdr:col>3</xdr:col>
      <xdr:colOff>130409</xdr:colOff>
      <xdr:row>8</xdr:row>
      <xdr:rowOff>15777</xdr:rowOff>
    </xdr:to>
    <xdr:sp macro="" textlink="">
      <xdr:nvSpPr>
        <xdr:cNvPr id="184" name="Text Box 251">
          <a:extLst>
            <a:ext uri="{FF2B5EF4-FFF2-40B4-BE49-F238E27FC236}">
              <a16:creationId xmlns:a16="http://schemas.microsoft.com/office/drawing/2014/main" id="{00000000-0008-0000-0100-0000B8000000}"/>
            </a:ext>
          </a:extLst>
        </xdr:cNvPr>
        <xdr:cNvSpPr txBox="1">
          <a:spLocks noChangeArrowheads="1"/>
        </xdr:cNvSpPr>
      </xdr:nvSpPr>
      <xdr:spPr bwMode="auto">
        <a:xfrm>
          <a:off x="2465388" y="1117880"/>
          <a:ext cx="381327" cy="26053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RT</a:t>
          </a:r>
        </a:p>
      </xdr:txBody>
    </xdr:sp>
    <xdr:clientData/>
  </xdr:twoCellAnchor>
  <xdr:twoCellAnchor>
    <xdr:from>
      <xdr:col>2</xdr:col>
      <xdr:colOff>717022</xdr:colOff>
      <xdr:row>7</xdr:row>
      <xdr:rowOff>149973</xdr:rowOff>
    </xdr:from>
    <xdr:to>
      <xdr:col>3</xdr:col>
      <xdr:colOff>145036</xdr:colOff>
      <xdr:row>9</xdr:row>
      <xdr:rowOff>47551</xdr:rowOff>
    </xdr:to>
    <xdr:sp macro="" textlink="'Variable Management'!B275">
      <xdr:nvSpPr>
        <xdr:cNvPr id="185" name="Text Box 281">
          <a:extLst>
            <a:ext uri="{FF2B5EF4-FFF2-40B4-BE49-F238E27FC236}">
              <a16:creationId xmlns:a16="http://schemas.microsoft.com/office/drawing/2014/main" id="{00000000-0008-0000-0100-0000B9000000}"/>
            </a:ext>
          </a:extLst>
        </xdr:cNvPr>
        <xdr:cNvSpPr txBox="1">
          <a:spLocks noChangeArrowheads="1" noTextEdit="1"/>
        </xdr:cNvSpPr>
      </xdr:nvSpPr>
      <xdr:spPr bwMode="auto">
        <a:xfrm>
          <a:off x="2330669" y="1342279"/>
          <a:ext cx="530673" cy="238237"/>
        </a:xfrm>
        <a:prstGeom prst="rect">
          <a:avLst/>
        </a:prstGeom>
        <a:noFill/>
        <a:ln w="9525">
          <a:noFill/>
          <a:miter lim="800000"/>
          <a:headEnd/>
          <a:tailEnd/>
        </a:ln>
      </xdr:spPr>
      <xdr:txBody>
        <a:bodyPr vertOverflow="clip" wrap="square" lIns="27432" tIns="22860" rIns="0" bIns="0" anchor="t" upright="1"/>
        <a:lstStyle/>
        <a:p>
          <a:pPr algn="ctr" rtl="0">
            <a:defRPr sz="1000"/>
          </a:pPr>
          <a:fld id="{84EB9262-B954-486D-9975-AAB24967BDAC}" type="TxLink">
            <a:rPr lang="en-US" sz="1000" b="0" i="0" u="none" strike="noStrike">
              <a:solidFill>
                <a:srgbClr val="000000"/>
              </a:solidFill>
              <a:latin typeface="Arial" pitchFamily="34" charset="0"/>
              <a:cs typeface="Arial" pitchFamily="34" charset="0"/>
            </a:rPr>
            <a:pPr algn="ctr" rtl="0">
              <a:defRPr sz="1000"/>
            </a:pPr>
            <a:t>33.2kΩ</a:t>
          </a:fld>
          <a:endParaRPr lang="en-US" sz="1000" b="0" i="0" strike="noStrike">
            <a:solidFill>
              <a:srgbClr val="000000"/>
            </a:solidFill>
            <a:latin typeface="Arial" pitchFamily="34" charset="0"/>
            <a:cs typeface="Arial" pitchFamily="34" charset="0"/>
          </a:endParaRPr>
        </a:p>
      </xdr:txBody>
    </xdr:sp>
    <xdr:clientData/>
  </xdr:twoCellAnchor>
  <xdr:twoCellAnchor>
    <xdr:from>
      <xdr:col>5</xdr:col>
      <xdr:colOff>908994</xdr:colOff>
      <xdr:row>6</xdr:row>
      <xdr:rowOff>4471</xdr:rowOff>
    </xdr:from>
    <xdr:to>
      <xdr:col>5</xdr:col>
      <xdr:colOff>1315627</xdr:colOff>
      <xdr:row>7</xdr:row>
      <xdr:rowOff>63063</xdr:rowOff>
    </xdr:to>
    <xdr:sp macro="" textlink="">
      <xdr:nvSpPr>
        <xdr:cNvPr id="186" name="Text Box 247">
          <a:extLst>
            <a:ext uri="{FF2B5EF4-FFF2-40B4-BE49-F238E27FC236}">
              <a16:creationId xmlns:a16="http://schemas.microsoft.com/office/drawing/2014/main" id="{00000000-0008-0000-0100-0000BA000000}"/>
            </a:ext>
          </a:extLst>
        </xdr:cNvPr>
        <xdr:cNvSpPr txBox="1">
          <a:spLocks noChangeArrowheads="1"/>
        </xdr:cNvSpPr>
      </xdr:nvSpPr>
      <xdr:spPr bwMode="auto">
        <a:xfrm>
          <a:off x="6198170" y="1026447"/>
          <a:ext cx="406633" cy="228922"/>
        </a:xfrm>
        <a:prstGeom prst="rect">
          <a:avLst/>
        </a:prstGeom>
        <a:noFill/>
        <a:ln w="9525">
          <a:noFill/>
          <a:miter lim="800000"/>
          <a:headEnd/>
          <a:tailEnd/>
        </a:ln>
      </xdr:spPr>
      <xdr:txBody>
        <a:bodyPr vertOverflow="clip" wrap="square" lIns="27432" tIns="27432" rIns="0" bIns="0" anchor="ctr" upright="1"/>
        <a:lstStyle/>
        <a:p>
          <a:pPr algn="ctr" rtl="0">
            <a:defRPr sz="1000"/>
          </a:pPr>
          <a:r>
            <a:rPr lang="en-US" sz="1000" b="0" i="0" strike="noStrike">
              <a:solidFill>
                <a:srgbClr val="000000"/>
              </a:solidFill>
              <a:latin typeface="Arial" pitchFamily="34" charset="0"/>
              <a:cs typeface="Arial" pitchFamily="34" charset="0"/>
            </a:rPr>
            <a:t>C</a:t>
          </a:r>
          <a:r>
            <a:rPr lang="en-US" sz="1000" b="0" i="0" strike="noStrike" baseline="-25000">
              <a:solidFill>
                <a:srgbClr val="000000"/>
              </a:solidFill>
              <a:latin typeface="Arial" pitchFamily="34" charset="0"/>
              <a:cs typeface="Arial" pitchFamily="34" charset="0"/>
            </a:rPr>
            <a:t>BOOT</a:t>
          </a:r>
        </a:p>
      </xdr:txBody>
    </xdr:sp>
    <xdr:clientData/>
  </xdr:twoCellAnchor>
  <xdr:twoCellAnchor>
    <xdr:from>
      <xdr:col>6</xdr:col>
      <xdr:colOff>182535</xdr:colOff>
      <xdr:row>15</xdr:row>
      <xdr:rowOff>47879</xdr:rowOff>
    </xdr:from>
    <xdr:to>
      <xdr:col>6</xdr:col>
      <xdr:colOff>502242</xdr:colOff>
      <xdr:row>16</xdr:row>
      <xdr:rowOff>168628</xdr:rowOff>
    </xdr:to>
    <xdr:sp macro="" textlink="">
      <xdr:nvSpPr>
        <xdr:cNvPr id="187" name="Text Box 244">
          <a:extLst>
            <a:ext uri="{FF2B5EF4-FFF2-40B4-BE49-F238E27FC236}">
              <a16:creationId xmlns:a16="http://schemas.microsoft.com/office/drawing/2014/main" id="{00000000-0008-0000-0100-0000BB000000}"/>
            </a:ext>
          </a:extLst>
        </xdr:cNvPr>
        <xdr:cNvSpPr txBox="1">
          <a:spLocks noChangeArrowheads="1"/>
        </xdr:cNvSpPr>
      </xdr:nvSpPr>
      <xdr:spPr bwMode="auto">
        <a:xfrm>
          <a:off x="6879170" y="2602820"/>
          <a:ext cx="319707" cy="291079"/>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2</a:t>
          </a:r>
        </a:p>
      </xdr:txBody>
    </xdr:sp>
    <xdr:clientData/>
  </xdr:twoCellAnchor>
  <xdr:twoCellAnchor>
    <xdr:from>
      <xdr:col>6</xdr:col>
      <xdr:colOff>172660</xdr:colOff>
      <xdr:row>9</xdr:row>
      <xdr:rowOff>114672</xdr:rowOff>
    </xdr:from>
    <xdr:to>
      <xdr:col>6</xdr:col>
      <xdr:colOff>492367</xdr:colOff>
      <xdr:row>11</xdr:row>
      <xdr:rowOff>45118</xdr:rowOff>
    </xdr:to>
    <xdr:sp macro="" textlink="">
      <xdr:nvSpPr>
        <xdr:cNvPr id="188" name="Text Box 244">
          <a:extLst>
            <a:ext uri="{FF2B5EF4-FFF2-40B4-BE49-F238E27FC236}">
              <a16:creationId xmlns:a16="http://schemas.microsoft.com/office/drawing/2014/main" id="{00000000-0008-0000-0100-0000BC000000}"/>
            </a:ext>
          </a:extLst>
        </xdr:cNvPr>
        <xdr:cNvSpPr txBox="1">
          <a:spLocks noChangeArrowheads="1"/>
        </xdr:cNvSpPr>
      </xdr:nvSpPr>
      <xdr:spPr bwMode="auto">
        <a:xfrm>
          <a:off x="6869295" y="1647637"/>
          <a:ext cx="319707" cy="271105"/>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Q</a:t>
          </a:r>
          <a:r>
            <a:rPr lang="en-US" sz="1000" b="0" i="0" strike="noStrike" baseline="-25000">
              <a:solidFill>
                <a:srgbClr val="000000"/>
              </a:solidFill>
              <a:latin typeface="Arial" pitchFamily="34" charset="0"/>
              <a:cs typeface="Arial" pitchFamily="34" charset="0"/>
            </a:rPr>
            <a:t>1</a:t>
          </a:r>
        </a:p>
      </xdr:txBody>
    </xdr:sp>
    <xdr:clientData/>
  </xdr:twoCellAnchor>
  <xdr:twoCellAnchor>
    <xdr:from>
      <xdr:col>3</xdr:col>
      <xdr:colOff>563008</xdr:colOff>
      <xdr:row>2</xdr:row>
      <xdr:rowOff>66100</xdr:rowOff>
    </xdr:from>
    <xdr:to>
      <xdr:col>3</xdr:col>
      <xdr:colOff>1136548</xdr:colOff>
      <xdr:row>3</xdr:row>
      <xdr:rowOff>119474</xdr:rowOff>
    </xdr:to>
    <xdr:sp macro="" textlink="'Variable Management'!G98">
      <xdr:nvSpPr>
        <xdr:cNvPr id="189" name="Text Box 264">
          <a:extLst>
            <a:ext uri="{FF2B5EF4-FFF2-40B4-BE49-F238E27FC236}">
              <a16:creationId xmlns:a16="http://schemas.microsoft.com/office/drawing/2014/main" id="{00000000-0008-0000-0100-0000BD000000}"/>
            </a:ext>
          </a:extLst>
        </xdr:cNvPr>
        <xdr:cNvSpPr txBox="1">
          <a:spLocks noChangeArrowheads="1" noTextEdit="1"/>
        </xdr:cNvSpPr>
      </xdr:nvSpPr>
      <xdr:spPr bwMode="auto">
        <a:xfrm>
          <a:off x="3279314" y="406759"/>
          <a:ext cx="573540" cy="223703"/>
        </a:xfrm>
        <a:prstGeom prst="rect">
          <a:avLst/>
        </a:prstGeom>
        <a:noFill/>
        <a:ln w="9525">
          <a:noFill/>
          <a:miter lim="800000"/>
          <a:headEnd/>
          <a:tailEnd/>
        </a:ln>
      </xdr:spPr>
      <xdr:txBody>
        <a:bodyPr vertOverflow="clip" wrap="square" lIns="27432" tIns="22860" rIns="0" bIns="0" anchor="t" upright="1"/>
        <a:lstStyle/>
        <a:p>
          <a:pPr algn="r" rtl="0">
            <a:defRPr sz="1000"/>
          </a:pPr>
          <a:fld id="{123D91BC-1DE9-4CAD-9801-8A70C08E2402}" type="TxLink">
            <a:rPr lang="en-US" sz="1000" b="0" i="0" u="none" strike="noStrike" baseline="0">
              <a:solidFill>
                <a:srgbClr val="000000"/>
              </a:solidFill>
              <a:latin typeface="Arialri"/>
              <a:cs typeface="Arial" pitchFamily="34" charset="0"/>
            </a:rPr>
            <a:pPr algn="r" rtl="0">
              <a:defRPr sz="1000"/>
            </a:pPr>
            <a:t>12.7kΩ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3</xdr:col>
      <xdr:colOff>740067</xdr:colOff>
      <xdr:row>1</xdr:row>
      <xdr:rowOff>26121</xdr:rowOff>
    </xdr:from>
    <xdr:to>
      <xdr:col>3</xdr:col>
      <xdr:colOff>1161136</xdr:colOff>
      <xdr:row>2</xdr:row>
      <xdr:rowOff>65483</xdr:rowOff>
    </xdr:to>
    <xdr:sp macro="" textlink="">
      <xdr:nvSpPr>
        <xdr:cNvPr id="190" name="Text Box 255">
          <a:extLst>
            <a:ext uri="{FF2B5EF4-FFF2-40B4-BE49-F238E27FC236}">
              <a16:creationId xmlns:a16="http://schemas.microsoft.com/office/drawing/2014/main" id="{00000000-0008-0000-0100-0000BE000000}"/>
            </a:ext>
          </a:extLst>
        </xdr:cNvPr>
        <xdr:cNvSpPr txBox="1">
          <a:spLocks noChangeArrowheads="1"/>
        </xdr:cNvSpPr>
      </xdr:nvSpPr>
      <xdr:spPr bwMode="auto">
        <a:xfrm>
          <a:off x="3456373" y="196450"/>
          <a:ext cx="421069" cy="209692"/>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UV2</a:t>
          </a:r>
        </a:p>
      </xdr:txBody>
    </xdr:sp>
    <xdr:clientData/>
  </xdr:twoCellAnchor>
  <xdr:twoCellAnchor>
    <xdr:from>
      <xdr:col>3</xdr:col>
      <xdr:colOff>1317116</xdr:colOff>
      <xdr:row>2</xdr:row>
      <xdr:rowOff>55847</xdr:rowOff>
    </xdr:from>
    <xdr:to>
      <xdr:col>4</xdr:col>
      <xdr:colOff>517431</xdr:colOff>
      <xdr:row>3</xdr:row>
      <xdr:rowOff>101509</xdr:rowOff>
    </xdr:to>
    <xdr:sp macro="" textlink="'Variable Management'!G97">
      <xdr:nvSpPr>
        <xdr:cNvPr id="191" name="Text Box 264">
          <a:extLst>
            <a:ext uri="{FF2B5EF4-FFF2-40B4-BE49-F238E27FC236}">
              <a16:creationId xmlns:a16="http://schemas.microsoft.com/office/drawing/2014/main" id="{00000000-0008-0000-0100-0000BF000000}"/>
            </a:ext>
          </a:extLst>
        </xdr:cNvPr>
        <xdr:cNvSpPr txBox="1">
          <a:spLocks noChangeArrowheads="1" noTextEdit="1"/>
        </xdr:cNvSpPr>
      </xdr:nvSpPr>
      <xdr:spPr bwMode="auto">
        <a:xfrm>
          <a:off x="4033422" y="396506"/>
          <a:ext cx="580880" cy="215991"/>
        </a:xfrm>
        <a:prstGeom prst="rect">
          <a:avLst/>
        </a:prstGeom>
        <a:noFill/>
        <a:ln w="9525">
          <a:noFill/>
          <a:miter lim="800000"/>
          <a:headEnd/>
          <a:tailEnd/>
        </a:ln>
      </xdr:spPr>
      <xdr:txBody>
        <a:bodyPr vertOverflow="clip" wrap="square" lIns="27432" tIns="22860" rIns="0" bIns="0" anchor="t" upright="1"/>
        <a:lstStyle/>
        <a:p>
          <a:pPr algn="r" rtl="0">
            <a:defRPr sz="1000"/>
          </a:pPr>
          <a:fld id="{302BC79D-87FA-43D3-B7A3-AC5513B978CE}" type="TxLink">
            <a:rPr lang="en-US" sz="1000" b="0" i="0" u="none" strike="noStrike" baseline="0">
              <a:solidFill>
                <a:srgbClr val="000000"/>
              </a:solidFill>
              <a:latin typeface="Arialri"/>
              <a:cs typeface="Arial" pitchFamily="34" charset="0"/>
            </a:rPr>
            <a:pPr algn="r" rtl="0">
              <a:defRPr sz="1000"/>
            </a:pPr>
            <a:t>75kΩ</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67703</xdr:colOff>
      <xdr:row>1</xdr:row>
      <xdr:rowOff>8965</xdr:rowOff>
    </xdr:from>
    <xdr:to>
      <xdr:col>4</xdr:col>
      <xdr:colOff>497097</xdr:colOff>
      <xdr:row>2</xdr:row>
      <xdr:rowOff>55717</xdr:rowOff>
    </xdr:to>
    <xdr:sp macro="" textlink="">
      <xdr:nvSpPr>
        <xdr:cNvPr id="192" name="Text Box 255">
          <a:extLst>
            <a:ext uri="{FF2B5EF4-FFF2-40B4-BE49-F238E27FC236}">
              <a16:creationId xmlns:a16="http://schemas.microsoft.com/office/drawing/2014/main" id="{00000000-0008-0000-0100-0000C0000000}"/>
            </a:ext>
          </a:extLst>
        </xdr:cNvPr>
        <xdr:cNvSpPr txBox="1">
          <a:spLocks noChangeArrowheads="1"/>
        </xdr:cNvSpPr>
      </xdr:nvSpPr>
      <xdr:spPr bwMode="auto">
        <a:xfrm>
          <a:off x="4164574" y="179294"/>
          <a:ext cx="429394" cy="217082"/>
        </a:xfrm>
        <a:prstGeom prst="rect">
          <a:avLst/>
        </a:prstGeom>
        <a:noFill/>
        <a:ln w="9525">
          <a:noFill/>
          <a:miter lim="800000"/>
          <a:headEnd/>
          <a:tailEnd/>
        </a:ln>
      </xdr:spPr>
      <xdr:txBody>
        <a:bodyPr vertOverflow="clip" wrap="square" lIns="27432" tIns="27432" rIns="0" bIns="0" anchor="t" upright="1"/>
        <a:lstStyle/>
        <a:p>
          <a:pPr algn="r"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UV1</a:t>
          </a:r>
        </a:p>
      </xdr:txBody>
    </xdr:sp>
    <xdr:clientData/>
  </xdr:twoCellAnchor>
  <xdr:twoCellAnchor>
    <xdr:from>
      <xdr:col>7</xdr:col>
      <xdr:colOff>177511</xdr:colOff>
      <xdr:row>16</xdr:row>
      <xdr:rowOff>19224</xdr:rowOff>
    </xdr:from>
    <xdr:to>
      <xdr:col>7</xdr:col>
      <xdr:colOff>690934</xdr:colOff>
      <xdr:row>17</xdr:row>
      <xdr:rowOff>111882</xdr:rowOff>
    </xdr:to>
    <xdr:sp macro="" textlink="'Variable Management'!B239">
      <xdr:nvSpPr>
        <xdr:cNvPr id="193" name="Text Box 275">
          <a:extLst>
            <a:ext uri="{FF2B5EF4-FFF2-40B4-BE49-F238E27FC236}">
              <a16:creationId xmlns:a16="http://schemas.microsoft.com/office/drawing/2014/main" id="{00000000-0008-0000-0100-0000C1000000}"/>
            </a:ext>
          </a:extLst>
        </xdr:cNvPr>
        <xdr:cNvSpPr txBox="1">
          <a:spLocks noChangeArrowheads="1" noTextEdit="1"/>
        </xdr:cNvSpPr>
      </xdr:nvSpPr>
      <xdr:spPr bwMode="auto">
        <a:xfrm>
          <a:off x="7537535" y="2744495"/>
          <a:ext cx="513423" cy="262987"/>
        </a:xfrm>
        <a:prstGeom prst="rect">
          <a:avLst/>
        </a:prstGeom>
        <a:noFill/>
        <a:ln w="9525">
          <a:noFill/>
          <a:miter lim="800000"/>
          <a:headEnd/>
          <a:tailEnd/>
        </a:ln>
      </xdr:spPr>
      <xdr:txBody>
        <a:bodyPr vertOverflow="clip" wrap="square" lIns="27432" tIns="22860" rIns="0" bIns="0" anchor="ctr" upright="1"/>
        <a:lstStyle/>
        <a:p>
          <a:pPr algn="ctr" rtl="0">
            <a:defRPr sz="1000"/>
          </a:pPr>
          <a:fld id="{952677B8-8C18-463F-B0C9-D2099A1EBA1B}" type="TxLink">
            <a:rPr lang="en-US" sz="1000" b="0" i="0" u="none" strike="noStrike" baseline="0">
              <a:solidFill>
                <a:srgbClr val="000000"/>
              </a:solidFill>
              <a:latin typeface="Arialri"/>
              <a:cs typeface="Arial" pitchFamily="34" charset="0"/>
            </a:rPr>
            <a:pPr algn="ctr" rtl="0">
              <a:defRPr sz="1000"/>
            </a:pPr>
            <a:t>5mΩ</a:t>
          </a:fld>
          <a:endParaRPr lang="en-US"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71054</xdr:colOff>
      <xdr:row>26</xdr:row>
      <xdr:rowOff>101970</xdr:rowOff>
    </xdr:from>
    <xdr:to>
      <xdr:col>4</xdr:col>
      <xdr:colOff>577093</xdr:colOff>
      <xdr:row>27</xdr:row>
      <xdr:rowOff>168112</xdr:rowOff>
    </xdr:to>
    <xdr:sp macro="" textlink="">
      <xdr:nvSpPr>
        <xdr:cNvPr id="194" name="Text Box 245">
          <a:extLst>
            <a:ext uri="{FF2B5EF4-FFF2-40B4-BE49-F238E27FC236}">
              <a16:creationId xmlns:a16="http://schemas.microsoft.com/office/drawing/2014/main" id="{00000000-0008-0000-0100-0000C2000000}"/>
            </a:ext>
          </a:extLst>
        </xdr:cNvPr>
        <xdr:cNvSpPr txBox="1">
          <a:spLocks noChangeArrowheads="1"/>
        </xdr:cNvSpPr>
      </xdr:nvSpPr>
      <xdr:spPr bwMode="auto">
        <a:xfrm>
          <a:off x="4167925" y="4530535"/>
          <a:ext cx="506039" cy="236471"/>
        </a:xfrm>
        <a:prstGeom prst="rect">
          <a:avLst/>
        </a:prstGeom>
        <a:noFill/>
        <a:ln w="9525">
          <a:noFill/>
          <a:miter lim="800000"/>
          <a:headEnd/>
          <a:tailEnd/>
        </a:ln>
      </xdr:spPr>
      <xdr:txBody>
        <a:bodyPr vertOverflow="clip" wrap="square" lIns="27432" tIns="27432" rIns="0" bIns="0" anchor="t" upright="1"/>
        <a:lstStyle/>
        <a:p>
          <a:pPr algn="l" rtl="0">
            <a:defRPr sz="1000"/>
          </a:pPr>
          <a:r>
            <a:rPr lang="en-US" sz="1000" b="0" i="0" strike="noStrike">
              <a:solidFill>
                <a:srgbClr val="000000"/>
              </a:solidFill>
              <a:latin typeface="Arial" pitchFamily="34" charset="0"/>
              <a:cs typeface="Arial" pitchFamily="34" charset="0"/>
            </a:rPr>
            <a:t>R</a:t>
          </a:r>
          <a:r>
            <a:rPr lang="en-US" sz="1000" b="0" i="0" strike="noStrike" baseline="-25000">
              <a:solidFill>
                <a:srgbClr val="000000"/>
              </a:solidFill>
              <a:latin typeface="Arial" pitchFamily="34" charset="0"/>
              <a:cs typeface="Arial" pitchFamily="34" charset="0"/>
            </a:rPr>
            <a:t>PGOOD</a:t>
          </a:r>
        </a:p>
      </xdr:txBody>
    </xdr:sp>
    <xdr:clientData/>
  </xdr:twoCellAnchor>
  <xdr:twoCellAnchor>
    <xdr:from>
      <xdr:col>4</xdr:col>
      <xdr:colOff>88402</xdr:colOff>
      <xdr:row>27</xdr:row>
      <xdr:rowOff>119498</xdr:rowOff>
    </xdr:from>
    <xdr:to>
      <xdr:col>4</xdr:col>
      <xdr:colOff>715194</xdr:colOff>
      <xdr:row>29</xdr:row>
      <xdr:rowOff>28235</xdr:rowOff>
    </xdr:to>
    <xdr:sp macro="" textlink="'Variable Management'!B274">
      <xdr:nvSpPr>
        <xdr:cNvPr id="195" name="Text Box 281">
          <a:extLst>
            <a:ext uri="{FF2B5EF4-FFF2-40B4-BE49-F238E27FC236}">
              <a16:creationId xmlns:a16="http://schemas.microsoft.com/office/drawing/2014/main" id="{00000000-0008-0000-0100-0000C3000000}"/>
            </a:ext>
          </a:extLst>
        </xdr:cNvPr>
        <xdr:cNvSpPr txBox="1">
          <a:spLocks noChangeArrowheads="1" noTextEdit="1"/>
        </xdr:cNvSpPr>
      </xdr:nvSpPr>
      <xdr:spPr bwMode="auto">
        <a:xfrm>
          <a:off x="4185273" y="4718392"/>
          <a:ext cx="626792" cy="249396"/>
        </a:xfrm>
        <a:prstGeom prst="rect">
          <a:avLst/>
        </a:prstGeom>
        <a:noFill/>
        <a:ln w="9525">
          <a:noFill/>
          <a:miter lim="800000"/>
          <a:headEnd/>
          <a:tailEnd/>
        </a:ln>
      </xdr:spPr>
      <xdr:txBody>
        <a:bodyPr vertOverflow="clip" wrap="square" lIns="27432" tIns="22860" rIns="0" bIns="0" anchor="ctr" upright="1"/>
        <a:lstStyle/>
        <a:p>
          <a:pPr algn="l" rtl="0">
            <a:defRPr sz="1000"/>
          </a:pPr>
          <a:fld id="{89760BEF-9E88-4172-89E5-A2E0AD0D10FF}" type="TxLink">
            <a:rPr lang="en-US" sz="1000" b="0" i="0" u="none" strike="noStrike">
              <a:solidFill>
                <a:srgbClr val="000000"/>
              </a:solidFill>
              <a:latin typeface="Arialri"/>
              <a:cs typeface="Arial" pitchFamily="34" charset="0"/>
            </a:rPr>
            <a:pPr algn="l" rtl="0">
              <a:defRPr sz="1000"/>
            </a:pPr>
            <a:t>20kΩ</a:t>
          </a:fld>
          <a:endParaRPr lang="en-US" sz="1000" b="0" i="0" strike="noStrike">
            <a:solidFill>
              <a:srgbClr val="000000"/>
            </a:solidFill>
            <a:latin typeface="Arial" pitchFamily="34" charset="0"/>
            <a:cs typeface="Arial" pitchFamily="34" charset="0"/>
          </a:endParaRPr>
        </a:p>
      </xdr:txBody>
    </xdr:sp>
    <xdr:clientData/>
  </xdr:twoCellAnchor>
  <xdr:twoCellAnchor>
    <xdr:from>
      <xdr:col>6</xdr:col>
      <xdr:colOff>394329</xdr:colOff>
      <xdr:row>21</xdr:row>
      <xdr:rowOff>15885</xdr:rowOff>
    </xdr:from>
    <xdr:to>
      <xdr:col>7</xdr:col>
      <xdr:colOff>301938</xdr:colOff>
      <xdr:row>22</xdr:row>
      <xdr:rowOff>154585</xdr:rowOff>
    </xdr:to>
    <xdr:sp macro="" textlink="'Variable Management'!B269">
      <xdr:nvSpPr>
        <xdr:cNvPr id="196" name="Text Box 270">
          <a:extLst>
            <a:ext uri="{FF2B5EF4-FFF2-40B4-BE49-F238E27FC236}">
              <a16:creationId xmlns:a16="http://schemas.microsoft.com/office/drawing/2014/main" id="{00000000-0008-0000-0100-0000C4000000}"/>
            </a:ext>
          </a:extLst>
        </xdr:cNvPr>
        <xdr:cNvSpPr txBox="1">
          <a:spLocks noChangeArrowheads="1" noTextEdit="1"/>
        </xdr:cNvSpPr>
      </xdr:nvSpPr>
      <xdr:spPr bwMode="auto">
        <a:xfrm>
          <a:off x="7090964" y="3592803"/>
          <a:ext cx="570998" cy="309029"/>
        </a:xfrm>
        <a:prstGeom prst="rect">
          <a:avLst/>
        </a:prstGeom>
        <a:noFill/>
        <a:ln w="9525">
          <a:noFill/>
          <a:miter lim="800000"/>
          <a:headEnd/>
          <a:tailEnd/>
        </a:ln>
      </xdr:spPr>
      <xdr:txBody>
        <a:bodyPr vertOverflow="clip" wrap="square" lIns="27432" tIns="22860" rIns="0" bIns="0" anchor="t" upright="1"/>
        <a:lstStyle/>
        <a:p>
          <a:pPr algn="l" rtl="0">
            <a:defRPr sz="1000"/>
          </a:pPr>
          <a:fld id="{B99E8AFA-CC9D-495E-8F5C-E82A30AF7894}"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6</xdr:col>
      <xdr:colOff>461004</xdr:colOff>
      <xdr:row>19</xdr:row>
      <xdr:rowOff>139149</xdr:rowOff>
    </xdr:from>
    <xdr:to>
      <xdr:col>7</xdr:col>
      <xdr:colOff>368613</xdr:colOff>
      <xdr:row>21</xdr:row>
      <xdr:rowOff>22765</xdr:rowOff>
    </xdr:to>
    <xdr:sp macro="" textlink="'Variable Management'!A269">
      <xdr:nvSpPr>
        <xdr:cNvPr id="197" name="Text Box 270">
          <a:extLst>
            <a:ext uri="{FF2B5EF4-FFF2-40B4-BE49-F238E27FC236}">
              <a16:creationId xmlns:a16="http://schemas.microsoft.com/office/drawing/2014/main" id="{00000000-0008-0000-0100-0000C5000000}"/>
            </a:ext>
          </a:extLst>
        </xdr:cNvPr>
        <xdr:cNvSpPr txBox="1">
          <a:spLocks noChangeArrowheads="1" noTextEdit="1"/>
        </xdr:cNvSpPr>
      </xdr:nvSpPr>
      <xdr:spPr bwMode="auto">
        <a:xfrm>
          <a:off x="7157639" y="3375408"/>
          <a:ext cx="570998" cy="224275"/>
        </a:xfrm>
        <a:prstGeom prst="rect">
          <a:avLst/>
        </a:prstGeom>
        <a:noFill/>
        <a:ln w="9525">
          <a:noFill/>
          <a:miter lim="800000"/>
          <a:headEnd/>
          <a:tailEnd/>
        </a:ln>
      </xdr:spPr>
      <xdr:txBody>
        <a:bodyPr vertOverflow="clip" wrap="square" lIns="27432" tIns="22860" rIns="0" bIns="0" anchor="t" upright="1"/>
        <a:lstStyle/>
        <a:p>
          <a:pPr algn="l" rtl="0">
            <a:defRPr sz="1000"/>
          </a:pPr>
          <a:fld id="{70DB96BF-E1DF-48E4-A6D6-40F1646A7E3C}" type="TxLink">
            <a:rPr lang="en-US" sz="1000" b="0" i="0" u="none" strike="noStrike" baseline="0">
              <a:solidFill>
                <a:srgbClr val="000000"/>
              </a:solidFill>
              <a:latin typeface="Arial"/>
              <a:cs typeface="Arial"/>
            </a:rPr>
            <a:pPr algn="l" rtl="0">
              <a:defRPr sz="1000"/>
            </a:pPr>
            <a:t> </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4</xdr:col>
      <xdr:colOff>301193</xdr:colOff>
      <xdr:row>28</xdr:row>
      <xdr:rowOff>133859</xdr:rowOff>
    </xdr:from>
    <xdr:to>
      <xdr:col>4</xdr:col>
      <xdr:colOff>781482</xdr:colOff>
      <xdr:row>30</xdr:row>
      <xdr:rowOff>66204</xdr:rowOff>
    </xdr:to>
    <xdr:sp macro="" textlink="'Variable Management'!A270">
      <xdr:nvSpPr>
        <xdr:cNvPr id="198" name="Text Box 231">
          <a:extLst>
            <a:ext uri="{FF2B5EF4-FFF2-40B4-BE49-F238E27FC236}">
              <a16:creationId xmlns:a16="http://schemas.microsoft.com/office/drawing/2014/main" id="{00000000-0008-0000-0100-0000C6000000}"/>
            </a:ext>
          </a:extLst>
        </xdr:cNvPr>
        <xdr:cNvSpPr txBox="1">
          <a:spLocks noChangeArrowheads="1"/>
        </xdr:cNvSpPr>
      </xdr:nvSpPr>
      <xdr:spPr bwMode="auto">
        <a:xfrm>
          <a:off x="4398064" y="4903083"/>
          <a:ext cx="480289" cy="273003"/>
        </a:xfrm>
        <a:prstGeom prst="rect">
          <a:avLst/>
        </a:prstGeom>
        <a:noFill/>
        <a:ln w="9525">
          <a:noFill/>
          <a:miter lim="800000"/>
          <a:headEnd/>
          <a:tailEnd/>
        </a:ln>
      </xdr:spPr>
      <xdr:txBody>
        <a:bodyPr vertOverflow="clip" wrap="square" lIns="27432" tIns="27432" rIns="0" bIns="0" anchor="t" upright="1"/>
        <a:lstStyle/>
        <a:p>
          <a:pPr algn="l" rtl="0">
            <a:defRPr sz="1000"/>
          </a:pPr>
          <a:fld id="{6DDDD961-FD77-4006-A9BF-86BA94AAC47A}" type="TxLink">
            <a:rPr lang="en-US" sz="1000" b="0" i="0" u="none" strike="noStrike">
              <a:solidFill>
                <a:srgbClr val="000000"/>
              </a:solidFill>
              <a:latin typeface="Arial"/>
              <a:cs typeface="Arial"/>
            </a:rPr>
            <a:pPr algn="l" rtl="0">
              <a:defRPr sz="1000"/>
            </a:pPr>
            <a:t>Cilim</a:t>
          </a:fld>
          <a:endParaRPr lang="en-US" sz="1000" b="0" i="0" strike="noStrike" baseline="-25000">
            <a:solidFill>
              <a:srgbClr val="000000"/>
            </a:solidFill>
            <a:latin typeface="Arial" pitchFamily="34" charset="0"/>
            <a:cs typeface="Arial" pitchFamily="34" charset="0"/>
          </a:endParaRPr>
        </a:p>
      </xdr:txBody>
    </xdr:sp>
    <xdr:clientData/>
  </xdr:twoCellAnchor>
  <xdr:twoCellAnchor>
    <xdr:from>
      <xdr:col>4</xdr:col>
      <xdr:colOff>293386</xdr:colOff>
      <xdr:row>30</xdr:row>
      <xdr:rowOff>8945</xdr:rowOff>
    </xdr:from>
    <xdr:to>
      <xdr:col>4</xdr:col>
      <xdr:colOff>872203</xdr:colOff>
      <xdr:row>31</xdr:row>
      <xdr:rowOff>64079</xdr:rowOff>
    </xdr:to>
    <xdr:sp macro="" textlink="'Variable Management'!B270">
      <xdr:nvSpPr>
        <xdr:cNvPr id="199" name="Text Box 270">
          <a:extLst>
            <a:ext uri="{FF2B5EF4-FFF2-40B4-BE49-F238E27FC236}">
              <a16:creationId xmlns:a16="http://schemas.microsoft.com/office/drawing/2014/main" id="{00000000-0008-0000-0100-0000C7000000}"/>
            </a:ext>
          </a:extLst>
        </xdr:cNvPr>
        <xdr:cNvSpPr txBox="1">
          <a:spLocks noChangeArrowheads="1" noTextEdit="1"/>
        </xdr:cNvSpPr>
      </xdr:nvSpPr>
      <xdr:spPr bwMode="auto">
        <a:xfrm>
          <a:off x="4390257" y="5118827"/>
          <a:ext cx="578817" cy="225464"/>
        </a:xfrm>
        <a:prstGeom prst="rect">
          <a:avLst/>
        </a:prstGeom>
        <a:noFill/>
        <a:ln w="9525">
          <a:noFill/>
          <a:miter lim="800000"/>
          <a:headEnd/>
          <a:tailEnd/>
        </a:ln>
      </xdr:spPr>
      <xdr:txBody>
        <a:bodyPr vertOverflow="clip" wrap="square" lIns="27432" tIns="22860" rIns="0" bIns="0" anchor="t" upright="1"/>
        <a:lstStyle/>
        <a:p>
          <a:pPr algn="l" rtl="0">
            <a:defRPr sz="1000"/>
          </a:pPr>
          <a:fld id="{F1AA52B6-2C20-478B-832B-81CF265F500F}" type="TxLink">
            <a:rPr lang="en-US" sz="1000" b="0" i="0" u="none" strike="noStrike" baseline="0">
              <a:solidFill>
                <a:srgbClr val="000000"/>
              </a:solidFill>
              <a:latin typeface="Arial"/>
              <a:cs typeface="Arial"/>
            </a:rPr>
            <a:pPr algn="l" rtl="0">
              <a:defRPr sz="1000"/>
            </a:pPr>
            <a:t>22pF</a:t>
          </a:fld>
          <a:endParaRPr lang="el-GR" sz="1000" b="0" i="0" u="none" strike="noStrike" baseline="0">
            <a:solidFill>
              <a:srgbClr val="000000"/>
            </a:solidFill>
            <a:latin typeface="Arial" pitchFamily="34" charset="0"/>
            <a:cs typeface="Arial" pitchFamily="34" charset="0"/>
          </a:endParaRPr>
        </a:p>
      </xdr:txBody>
    </xdr:sp>
    <xdr:clientData/>
  </xdr:twoCellAnchor>
  <xdr:twoCellAnchor>
    <xdr:from>
      <xdr:col>7</xdr:col>
      <xdr:colOff>40170</xdr:colOff>
      <xdr:row>7</xdr:row>
      <xdr:rowOff>60644</xdr:rowOff>
    </xdr:from>
    <xdr:to>
      <xdr:col>8</xdr:col>
      <xdr:colOff>80513</xdr:colOff>
      <xdr:row>8</xdr:row>
      <xdr:rowOff>133915</xdr:rowOff>
    </xdr:to>
    <xdr:sp macro="" textlink="'Variable Management'!B281">
      <xdr:nvSpPr>
        <xdr:cNvPr id="200" name="Text Box 283">
          <a:extLst>
            <a:ext uri="{FF2B5EF4-FFF2-40B4-BE49-F238E27FC236}">
              <a16:creationId xmlns:a16="http://schemas.microsoft.com/office/drawing/2014/main" id="{00000000-0008-0000-0100-0000C8000000}"/>
            </a:ext>
          </a:extLst>
        </xdr:cNvPr>
        <xdr:cNvSpPr txBox="1">
          <a:spLocks noChangeArrowheads="1" noTextEdit="1"/>
        </xdr:cNvSpPr>
      </xdr:nvSpPr>
      <xdr:spPr bwMode="auto">
        <a:xfrm>
          <a:off x="7400194" y="1252950"/>
          <a:ext cx="1143001" cy="243600"/>
        </a:xfrm>
        <a:prstGeom prst="rect">
          <a:avLst/>
        </a:prstGeom>
        <a:noFill/>
        <a:ln w="9525">
          <a:noFill/>
          <a:miter lim="800000"/>
          <a:headEnd/>
          <a:tailEnd/>
        </a:ln>
      </xdr:spPr>
      <xdr:txBody>
        <a:bodyPr vertOverflow="clip" wrap="square" lIns="27432" tIns="22860" rIns="0" bIns="0" anchor="t" upright="1"/>
        <a:lstStyle/>
        <a:p>
          <a:pPr algn="l" rtl="0">
            <a:defRPr sz="1000"/>
          </a:pPr>
          <a:fld id="{EF361795-4FFE-464C-BBFA-7CAE15CC7442}" type="TxLink">
            <a:rPr lang="en-US" sz="1200" b="1" i="0" u="none" strike="noStrike">
              <a:solidFill>
                <a:srgbClr val="0000FF"/>
              </a:solidFill>
              <a:latin typeface="Arial"/>
              <a:cs typeface="Arial"/>
            </a:rPr>
            <a:pPr algn="l" rtl="0">
              <a:defRPr sz="1000"/>
            </a:pPr>
            <a:t>18V to 36V</a:t>
          </a:fld>
          <a:endParaRPr lang="en-US" sz="2400" b="1" i="0" strike="noStrike">
            <a:solidFill>
              <a:srgbClr val="0000FF"/>
            </a:solidFill>
            <a:latin typeface="Arial" pitchFamily="34" charset="0"/>
            <a:cs typeface="Arial" pitchFamily="34" charset="0"/>
          </a:endParaRPr>
        </a:p>
      </xdr:txBody>
    </xdr:sp>
    <xdr:clientData/>
  </xdr:twoCellAnchor>
  <xdr:twoCellAnchor>
    <xdr:from>
      <xdr:col>3</xdr:col>
      <xdr:colOff>1163340</xdr:colOff>
      <xdr:row>14</xdr:row>
      <xdr:rowOff>130124</xdr:rowOff>
    </xdr:from>
    <xdr:to>
      <xdr:col>4</xdr:col>
      <xdr:colOff>831538</xdr:colOff>
      <xdr:row>16</xdr:row>
      <xdr:rowOff>145682</xdr:rowOff>
    </xdr:to>
    <xdr:sp macro="" textlink="'Variable Management'!U12">
      <xdr:nvSpPr>
        <xdr:cNvPr id="201" name="Text Box 24">
          <a:extLst>
            <a:ext uri="{FF2B5EF4-FFF2-40B4-BE49-F238E27FC236}">
              <a16:creationId xmlns:a16="http://schemas.microsoft.com/office/drawing/2014/main" id="{00000000-0008-0000-0100-0000C9000000}"/>
            </a:ext>
          </a:extLst>
        </xdr:cNvPr>
        <xdr:cNvSpPr txBox="1">
          <a:spLocks noChangeArrowheads="1" noTextEdit="1"/>
        </xdr:cNvSpPr>
      </xdr:nvSpPr>
      <xdr:spPr bwMode="auto">
        <a:xfrm>
          <a:off x="3879646" y="2514736"/>
          <a:ext cx="1048763" cy="356217"/>
        </a:xfrm>
        <a:prstGeom prst="rect">
          <a:avLst/>
        </a:prstGeom>
        <a:solidFill>
          <a:srgbClr val="7DC4D6"/>
        </a:solidFill>
        <a:ln w="9525">
          <a:noFill/>
          <a:miter lim="800000"/>
          <a:headEnd/>
          <a:tailEnd/>
        </a:ln>
      </xdr:spPr>
      <xdr:txBody>
        <a:bodyPr wrap="square" lIns="27432" tIns="22860" rIns="0" bIns="22860" anchor="ctr" upright="1"/>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rtl="0">
            <a:defRPr sz="1000"/>
          </a:pPr>
          <a:fld id="{FE4215C9-6CF6-4ED6-BE24-17A843393DAB}" type="TxLink">
            <a:rPr lang="en-US" sz="1400" b="1" i="0" u="none" strike="noStrike" baseline="0">
              <a:solidFill>
                <a:srgbClr val="FF0000"/>
              </a:solidFill>
              <a:latin typeface="Arial"/>
              <a:cs typeface="Arial"/>
            </a:rPr>
            <a:pPr algn="ctr" rtl="0">
              <a:defRPr sz="1000"/>
            </a:pPr>
            <a:t>LM25145</a:t>
          </a:fld>
          <a:endParaRPr lang="en-US" sz="2000" b="1" i="0" u="none" strike="noStrike" baseline="0">
            <a:solidFill>
              <a:srgbClr val="FF0000"/>
            </a:solidFill>
            <a:latin typeface="Arial" pitchFamily="34" charset="0"/>
            <a:cs typeface="Arial"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336176</xdr:colOff>
      <xdr:row>4</xdr:row>
      <xdr:rowOff>123263</xdr:rowOff>
    </xdr:from>
    <xdr:to>
      <xdr:col>12</xdr:col>
      <xdr:colOff>103841</xdr:colOff>
      <xdr:row>38</xdr:row>
      <xdr:rowOff>89647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863" b="1395"/>
        <a:stretch/>
      </xdr:blipFill>
      <xdr:spPr>
        <a:xfrm>
          <a:off x="336176" y="1400734"/>
          <a:ext cx="7029077" cy="5703795"/>
        </a:xfrm>
        <a:prstGeom prst="rect">
          <a:avLst/>
        </a:prstGeom>
      </xdr:spPr>
    </xdr:pic>
    <xdr:clientData/>
  </xdr:twoCellAnchor>
  <xdr:twoCellAnchor editAs="oneCell">
    <xdr:from>
      <xdr:col>14</xdr:col>
      <xdr:colOff>403411</xdr:colOff>
      <xdr:row>4</xdr:row>
      <xdr:rowOff>11205</xdr:rowOff>
    </xdr:from>
    <xdr:to>
      <xdr:col>27</xdr:col>
      <xdr:colOff>358587</xdr:colOff>
      <xdr:row>39</xdr:row>
      <xdr:rowOff>69528</xdr:rowOff>
    </xdr:to>
    <xdr:pic>
      <xdr:nvPicPr>
        <xdr:cNvPr id="10" name="Picture 9">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65558" y="1288676"/>
          <a:ext cx="8269941" cy="59526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381001</xdr:colOff>
      <xdr:row>48</xdr:row>
      <xdr:rowOff>104404</xdr:rowOff>
    </xdr:from>
    <xdr:to>
      <xdr:col>11</xdr:col>
      <xdr:colOff>280149</xdr:colOff>
      <xdr:row>73</xdr:row>
      <xdr:rowOff>34633</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81001" y="8688110"/>
          <a:ext cx="6555442" cy="4053994"/>
        </a:xfrm>
        <a:prstGeom prst="rect">
          <a:avLst/>
        </a:prstGeom>
      </xdr:spPr>
    </xdr:pic>
    <xdr:clientData/>
  </xdr:twoCellAnchor>
  <xdr:twoCellAnchor editAs="oneCell">
    <xdr:from>
      <xdr:col>0</xdr:col>
      <xdr:colOff>369795</xdr:colOff>
      <xdr:row>76</xdr:row>
      <xdr:rowOff>134469</xdr:rowOff>
    </xdr:from>
    <xdr:to>
      <xdr:col>11</xdr:col>
      <xdr:colOff>246531</xdr:colOff>
      <xdr:row>103</xdr:row>
      <xdr:rowOff>78440</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6353" t="8842" r="3320" b="10752"/>
        <a:stretch/>
      </xdr:blipFill>
      <xdr:spPr>
        <a:xfrm>
          <a:off x="369795" y="13211734"/>
          <a:ext cx="6533030" cy="4381500"/>
        </a:xfrm>
        <a:prstGeom prst="rect">
          <a:avLst/>
        </a:prstGeom>
      </xdr:spPr>
    </xdr:pic>
    <xdr:clientData/>
  </xdr:twoCellAnchor>
  <xdr:twoCellAnchor editAs="oneCell">
    <xdr:from>
      <xdr:col>15</xdr:col>
      <xdr:colOff>268945</xdr:colOff>
      <xdr:row>48</xdr:row>
      <xdr:rowOff>123265</xdr:rowOff>
    </xdr:from>
    <xdr:to>
      <xdr:col>26</xdr:col>
      <xdr:colOff>583270</xdr:colOff>
      <xdr:row>72</xdr:row>
      <xdr:rowOff>54909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36210" y="8807824"/>
          <a:ext cx="7418854" cy="38985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75</xdr:row>
      <xdr:rowOff>78443</xdr:rowOff>
    </xdr:from>
    <xdr:to>
      <xdr:col>26</xdr:col>
      <xdr:colOff>583270</xdr:colOff>
      <xdr:row>98</xdr:row>
      <xdr:rowOff>119345</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536210" y="13200531"/>
          <a:ext cx="7418854" cy="38509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268945</xdr:colOff>
      <xdr:row>101</xdr:row>
      <xdr:rowOff>42024</xdr:rowOff>
    </xdr:from>
    <xdr:to>
      <xdr:col>26</xdr:col>
      <xdr:colOff>583270</xdr:colOff>
      <xdr:row>125</xdr:row>
      <xdr:rowOff>45945</xdr:rowOff>
    </xdr:to>
    <xdr:pic>
      <xdr:nvPicPr>
        <xdr:cNvPr id="8" name="Picture 7">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536210" y="17444759"/>
          <a:ext cx="7418854" cy="38699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257735</xdr:colOff>
      <xdr:row>128</xdr:row>
      <xdr:rowOff>67235</xdr:rowOff>
    </xdr:from>
    <xdr:to>
      <xdr:col>26</xdr:col>
      <xdr:colOff>560294</xdr:colOff>
      <xdr:row>152</xdr:row>
      <xdr:rowOff>90207</xdr:rowOff>
    </xdr:to>
    <xdr:pic>
      <xdr:nvPicPr>
        <xdr:cNvPr id="9" name="Picture 8">
          <a:extLst>
            <a:ext uri="{FF2B5EF4-FFF2-40B4-BE49-F238E27FC236}">
              <a16:creationId xmlns:a16="http://schemas.microsoft.com/office/drawing/2014/main" id="{00000000-0008-0000-0200-000009000000}"/>
            </a:ext>
          </a:extLst>
        </xdr:cNvPr>
        <xdr:cNvPicPr>
          <a:picLocks noChangeAspect="1" noChangeArrowheads="1"/>
        </xdr:cNvPicPr>
      </xdr:nvPicPr>
      <xdr:blipFill rotWithShape="1">
        <a:blip xmlns:r="http://schemas.openxmlformats.org/officeDocument/2006/relationships" r:embed="rId8">
          <a:extLst>
            <a:ext uri="{28A0092B-C50C-407E-A947-70E740481C1C}">
              <a14:useLocalDpi xmlns:a14="http://schemas.microsoft.com/office/drawing/2010/main" val="0"/>
            </a:ext>
          </a:extLst>
        </a:blip>
        <a:srcRect l="1038" r="942"/>
        <a:stretch/>
      </xdr:blipFill>
      <xdr:spPr bwMode="auto">
        <a:xfrm>
          <a:off x="9525000" y="21806647"/>
          <a:ext cx="7407088" cy="38890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220980</xdr:colOff>
          <xdr:row>10</xdr:row>
          <xdr:rowOff>114300</xdr:rowOff>
        </xdr:from>
        <xdr:to>
          <xdr:col>16</xdr:col>
          <xdr:colOff>30480</xdr:colOff>
          <xdr:row>31</xdr:row>
          <xdr:rowOff>121920</xdr:rowOff>
        </xdr:to>
        <xdr:sp macro="" textlink="">
          <xdr:nvSpPr>
            <xdr:cNvPr id="3073" name="Object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36</xdr:col>
      <xdr:colOff>200025</xdr:colOff>
      <xdr:row>8</xdr:row>
      <xdr:rowOff>19050</xdr:rowOff>
    </xdr:from>
    <xdr:to>
      <xdr:col>44</xdr:col>
      <xdr:colOff>742950</xdr:colOff>
      <xdr:row>30</xdr:row>
      <xdr:rowOff>85725</xdr:rowOff>
    </xdr:to>
    <xdr:graphicFrame macro="">
      <xdr:nvGraphicFramePr>
        <xdr:cNvPr id="21446051" name="Chart 11">
          <a:extLst>
            <a:ext uri="{FF2B5EF4-FFF2-40B4-BE49-F238E27FC236}">
              <a16:creationId xmlns:a16="http://schemas.microsoft.com/office/drawing/2014/main" id="{00000000-0008-0000-0500-0000A3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200025</xdr:colOff>
      <xdr:row>8</xdr:row>
      <xdr:rowOff>28575</xdr:rowOff>
    </xdr:from>
    <xdr:to>
      <xdr:col>36</xdr:col>
      <xdr:colOff>180975</xdr:colOff>
      <xdr:row>30</xdr:row>
      <xdr:rowOff>123825</xdr:rowOff>
    </xdr:to>
    <xdr:graphicFrame macro="">
      <xdr:nvGraphicFramePr>
        <xdr:cNvPr id="21446052" name="Chart 15">
          <a:extLst>
            <a:ext uri="{FF2B5EF4-FFF2-40B4-BE49-F238E27FC236}">
              <a16:creationId xmlns:a16="http://schemas.microsoft.com/office/drawing/2014/main" id="{00000000-0008-0000-0500-0000A4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9525</xdr:colOff>
      <xdr:row>30</xdr:row>
      <xdr:rowOff>152400</xdr:rowOff>
    </xdr:from>
    <xdr:to>
      <xdr:col>36</xdr:col>
      <xdr:colOff>209550</xdr:colOff>
      <xdr:row>53</xdr:row>
      <xdr:rowOff>95250</xdr:rowOff>
    </xdr:to>
    <xdr:graphicFrame macro="">
      <xdr:nvGraphicFramePr>
        <xdr:cNvPr id="21446053" name="Chart 16">
          <a:extLst>
            <a:ext uri="{FF2B5EF4-FFF2-40B4-BE49-F238E27FC236}">
              <a16:creationId xmlns:a16="http://schemas.microsoft.com/office/drawing/2014/main" id="{00000000-0008-0000-0500-0000A5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75</xdr:col>
      <xdr:colOff>466725</xdr:colOff>
      <xdr:row>6</xdr:row>
      <xdr:rowOff>76200</xdr:rowOff>
    </xdr:from>
    <xdr:to>
      <xdr:col>84</xdr:col>
      <xdr:colOff>238125</xdr:colOff>
      <xdr:row>29</xdr:row>
      <xdr:rowOff>19050</xdr:rowOff>
    </xdr:to>
    <xdr:graphicFrame macro="">
      <xdr:nvGraphicFramePr>
        <xdr:cNvPr id="21446054" name="Chart 18">
          <a:extLst>
            <a:ext uri="{FF2B5EF4-FFF2-40B4-BE49-F238E27FC236}">
              <a16:creationId xmlns:a16="http://schemas.microsoft.com/office/drawing/2014/main" id="{00000000-0008-0000-0500-0000A63D47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704849</xdr:colOff>
      <xdr:row>6</xdr:row>
      <xdr:rowOff>438149</xdr:rowOff>
    </xdr:from>
    <xdr:to>
      <xdr:col>1</xdr:col>
      <xdr:colOff>8915399</xdr:colOff>
      <xdr:row>8</xdr:row>
      <xdr:rowOff>1127</xdr:rowOff>
    </xdr:to>
    <xdr:pic>
      <xdr:nvPicPr>
        <xdr:cNvPr id="4" name="Picture 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4849" y="6362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704849</xdr:colOff>
      <xdr:row>3</xdr:row>
      <xdr:rowOff>161924</xdr:rowOff>
    </xdr:from>
    <xdr:to>
      <xdr:col>1</xdr:col>
      <xdr:colOff>8915399</xdr:colOff>
      <xdr:row>5</xdr:row>
      <xdr:rowOff>1127</xdr:rowOff>
    </xdr:to>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04849" y="647699"/>
          <a:ext cx="8915400" cy="51255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236220</xdr:colOff>
      <xdr:row>49</xdr:row>
      <xdr:rowOff>74295</xdr:rowOff>
    </xdr:from>
    <xdr:to>
      <xdr:col>19</xdr:col>
      <xdr:colOff>179070</xdr:colOff>
      <xdr:row>78</xdr:row>
      <xdr:rowOff>93345</xdr:rowOff>
    </xdr:to>
    <xdr:graphicFrame macro="">
      <xdr:nvGraphicFramePr>
        <xdr:cNvPr id="22259766" name="Chart 1">
          <a:extLst>
            <a:ext uri="{FF2B5EF4-FFF2-40B4-BE49-F238E27FC236}">
              <a16:creationId xmlns:a16="http://schemas.microsoft.com/office/drawing/2014/main" id="{00000000-0008-0000-0700-000036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247650</xdr:colOff>
      <xdr:row>11</xdr:row>
      <xdr:rowOff>57150</xdr:rowOff>
    </xdr:from>
    <xdr:to>
      <xdr:col>30</xdr:col>
      <xdr:colOff>533400</xdr:colOff>
      <xdr:row>40</xdr:row>
      <xdr:rowOff>85725</xdr:rowOff>
    </xdr:to>
    <xdr:graphicFrame macro="">
      <xdr:nvGraphicFramePr>
        <xdr:cNvPr id="22259767" name="Chart 2">
          <a:extLst>
            <a:ext uri="{FF2B5EF4-FFF2-40B4-BE49-F238E27FC236}">
              <a16:creationId xmlns:a16="http://schemas.microsoft.com/office/drawing/2014/main" id="{00000000-0008-0000-0700-000037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219075</xdr:colOff>
      <xdr:row>11</xdr:row>
      <xdr:rowOff>64770</xdr:rowOff>
    </xdr:from>
    <xdr:to>
      <xdr:col>19</xdr:col>
      <xdr:colOff>152400</xdr:colOff>
      <xdr:row>40</xdr:row>
      <xdr:rowOff>93345</xdr:rowOff>
    </xdr:to>
    <xdr:graphicFrame macro="">
      <xdr:nvGraphicFramePr>
        <xdr:cNvPr id="22259768" name="Chart 4">
          <a:extLst>
            <a:ext uri="{FF2B5EF4-FFF2-40B4-BE49-F238E27FC236}">
              <a16:creationId xmlns:a16="http://schemas.microsoft.com/office/drawing/2014/main" id="{00000000-0008-0000-0700-000038A85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bwMode="auto">
        <a:noFill/>
        <a:ln w="9525">
          <a:noFill/>
          <a:miter lim="800000"/>
          <a:headEnd/>
          <a:tailEnd/>
        </a:ln>
      </a:spPr>
      <a:bodyPr vertOverflow="clip" wrap="square" lIns="27432" tIns="27432" rIns="0" bIns="0" anchor="t" upright="1"/>
      <a:lstStyle>
        <a:defPPr algn="l" rtl="0">
          <a:defRPr sz="1100" b="0" i="0" strike="noStrike">
            <a:solidFill>
              <a:srgbClr val="000000"/>
            </a:solidFill>
            <a:latin typeface="Calibri"/>
          </a:defRPr>
        </a:defPPr>
      </a:lst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drawing" Target="../drawings/drawing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omments" Target="../comments1.xml"/><Relationship Id="rId2" Type="http://schemas.openxmlformats.org/officeDocument/2006/relationships/printerSettings" Target="../printerSettings/printerSettings1.bin"/><Relationship Id="rId16" Type="http://schemas.openxmlformats.org/officeDocument/2006/relationships/ctrlProp" Target="../ctrlProps/ctrlProp11.xml"/><Relationship Id="rId1" Type="http://schemas.openxmlformats.org/officeDocument/2006/relationships/hyperlink" Target="http://www.ti.com/pol"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2.vml"/><Relationship Id="rId15" Type="http://schemas.openxmlformats.org/officeDocument/2006/relationships/ctrlProp" Target="../ctrlProps/ctrlProp10.xml"/><Relationship Id="rId10" Type="http://schemas.openxmlformats.org/officeDocument/2006/relationships/ctrlProp" Target="../ctrlProps/ctrlProp5.xml"/><Relationship Id="rId4" Type="http://schemas.openxmlformats.org/officeDocument/2006/relationships/vmlDrawing" Target="../drawings/vmlDrawing1.v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18" Type="http://schemas.openxmlformats.org/officeDocument/2006/relationships/ctrlProp" Target="../ctrlProps/ctrlProp26.xml"/><Relationship Id="rId26" Type="http://schemas.openxmlformats.org/officeDocument/2006/relationships/ctrlProp" Target="../ctrlProps/ctrlProp34.xml"/><Relationship Id="rId3" Type="http://schemas.openxmlformats.org/officeDocument/2006/relationships/vmlDrawing" Target="../drawings/vmlDrawing3.vml"/><Relationship Id="rId21" Type="http://schemas.openxmlformats.org/officeDocument/2006/relationships/ctrlProp" Target="../ctrlProps/ctrlProp29.xml"/><Relationship Id="rId7" Type="http://schemas.openxmlformats.org/officeDocument/2006/relationships/ctrlProp" Target="../ctrlProps/ctrlProp15.xml"/><Relationship Id="rId12" Type="http://schemas.openxmlformats.org/officeDocument/2006/relationships/ctrlProp" Target="../ctrlProps/ctrlProp20.xml"/><Relationship Id="rId17" Type="http://schemas.openxmlformats.org/officeDocument/2006/relationships/ctrlProp" Target="../ctrlProps/ctrlProp25.xml"/><Relationship Id="rId25" Type="http://schemas.openxmlformats.org/officeDocument/2006/relationships/ctrlProp" Target="../ctrlProps/ctrlProp33.xml"/><Relationship Id="rId2" Type="http://schemas.openxmlformats.org/officeDocument/2006/relationships/drawing" Target="../drawings/drawing3.xml"/><Relationship Id="rId16" Type="http://schemas.openxmlformats.org/officeDocument/2006/relationships/ctrlProp" Target="../ctrlProps/ctrlProp24.xml"/><Relationship Id="rId20" Type="http://schemas.openxmlformats.org/officeDocument/2006/relationships/ctrlProp" Target="../ctrlProps/ctrlProp28.xml"/><Relationship Id="rId1" Type="http://schemas.openxmlformats.org/officeDocument/2006/relationships/printerSettings" Target="../printerSettings/printerSettings2.bin"/><Relationship Id="rId6" Type="http://schemas.openxmlformats.org/officeDocument/2006/relationships/ctrlProp" Target="../ctrlProps/ctrlProp14.xml"/><Relationship Id="rId11" Type="http://schemas.openxmlformats.org/officeDocument/2006/relationships/ctrlProp" Target="../ctrlProps/ctrlProp19.xml"/><Relationship Id="rId24" Type="http://schemas.openxmlformats.org/officeDocument/2006/relationships/ctrlProp" Target="../ctrlProps/ctrlProp32.xml"/><Relationship Id="rId5" Type="http://schemas.openxmlformats.org/officeDocument/2006/relationships/ctrlProp" Target="../ctrlProps/ctrlProp13.xml"/><Relationship Id="rId15" Type="http://schemas.openxmlformats.org/officeDocument/2006/relationships/ctrlProp" Target="../ctrlProps/ctrlProp23.xml"/><Relationship Id="rId23" Type="http://schemas.openxmlformats.org/officeDocument/2006/relationships/ctrlProp" Target="../ctrlProps/ctrlProp31.xml"/><Relationship Id="rId28" Type="http://schemas.openxmlformats.org/officeDocument/2006/relationships/ctrlProp" Target="../ctrlProps/ctrlProp36.xml"/><Relationship Id="rId10" Type="http://schemas.openxmlformats.org/officeDocument/2006/relationships/ctrlProp" Target="../ctrlProps/ctrlProp18.xml"/><Relationship Id="rId19" Type="http://schemas.openxmlformats.org/officeDocument/2006/relationships/ctrlProp" Target="../ctrlProps/ctrlProp27.xml"/><Relationship Id="rId4" Type="http://schemas.openxmlformats.org/officeDocument/2006/relationships/ctrlProp" Target="../ctrlProps/ctrlProp12.xml"/><Relationship Id="rId9" Type="http://schemas.openxmlformats.org/officeDocument/2006/relationships/ctrlProp" Target="../ctrlProps/ctrlProp17.xml"/><Relationship Id="rId14" Type="http://schemas.openxmlformats.org/officeDocument/2006/relationships/ctrlProp" Target="../ctrlProps/ctrlProp22.xml"/><Relationship Id="rId22" Type="http://schemas.openxmlformats.org/officeDocument/2006/relationships/ctrlProp" Target="../ctrlProps/ctrlProp30.xml"/><Relationship Id="rId27" Type="http://schemas.openxmlformats.org/officeDocument/2006/relationships/ctrlProp" Target="../ctrlProps/ctrlProp35.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18.emf"/><Relationship Id="rId4" Type="http://schemas.openxmlformats.org/officeDocument/2006/relationships/oleObject" Target="../embeddings/Microsoft_Visio_2003-2010_Drawing.vsd"/></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A1:AI459"/>
  <sheetViews>
    <sheetView tabSelected="1" topLeftCell="A84" zoomScale="102" zoomScaleNormal="100" zoomScaleSheetLayoutView="100" workbookViewId="0">
      <selection activeCell="E63" sqref="E63"/>
    </sheetView>
  </sheetViews>
  <sheetFormatPr defaultColWidth="9.109375" defaultRowHeight="13.8" x14ac:dyDescent="0.3"/>
  <cols>
    <col min="1" max="1" width="8.33203125" style="276" customWidth="1"/>
    <col min="2" max="2" width="8.33203125" style="123" customWidth="1"/>
    <col min="3" max="3" width="14.5546875" style="123" customWidth="1"/>
    <col min="4" max="4" width="8" style="123" customWidth="1"/>
    <col min="5" max="5" width="7" style="123" customWidth="1"/>
    <col min="6" max="6" width="8.33203125" style="123" customWidth="1"/>
    <col min="7" max="7" width="9.109375" style="123" customWidth="1"/>
    <col min="8" max="8" width="11.88671875" style="123" customWidth="1"/>
    <col min="9" max="9" width="9.109375" style="123"/>
    <col min="10" max="10" width="12.44140625" style="123" bestFit="1" customWidth="1"/>
    <col min="11" max="11" width="9.109375" style="123"/>
    <col min="12" max="12" width="12.44140625" style="123" bestFit="1" customWidth="1"/>
    <col min="13" max="15" width="9.109375" style="123"/>
    <col min="16" max="16" width="10.109375" style="123" customWidth="1"/>
    <col min="17" max="17" width="41.88671875" style="123" customWidth="1"/>
    <col min="18" max="18" width="3.109375" style="123" customWidth="1"/>
    <col min="19" max="19" width="10" style="123" bestFit="1" customWidth="1"/>
    <col min="20" max="16384" width="9.109375" style="123"/>
  </cols>
  <sheetData>
    <row r="1" spans="1:18" ht="50.25" customHeight="1" x14ac:dyDescent="0.3">
      <c r="A1" s="516" t="s">
        <v>750</v>
      </c>
      <c r="B1" s="517"/>
      <c r="C1" s="517"/>
      <c r="D1" s="517"/>
      <c r="E1" s="517"/>
      <c r="F1" s="517"/>
      <c r="G1" s="517"/>
      <c r="H1" s="517"/>
      <c r="I1" s="517"/>
      <c r="J1" s="517"/>
      <c r="K1" s="517"/>
      <c r="L1" s="517"/>
      <c r="M1" s="517"/>
      <c r="N1" s="517"/>
      <c r="O1" s="517"/>
      <c r="P1" s="517"/>
      <c r="Q1" s="517"/>
      <c r="R1" s="365"/>
    </row>
    <row r="2" spans="1:18" ht="13.5" customHeight="1" x14ac:dyDescent="0.55000000000000004">
      <c r="A2" s="491"/>
      <c r="B2" s="369"/>
      <c r="C2" s="369"/>
      <c r="D2" s="369"/>
      <c r="E2" s="369"/>
      <c r="F2" s="369"/>
      <c r="G2" s="369"/>
      <c r="H2" s="369"/>
      <c r="I2" s="369"/>
      <c r="J2" s="369"/>
      <c r="K2" s="369"/>
      <c r="L2" s="369"/>
      <c r="M2" s="480"/>
      <c r="N2" s="485"/>
      <c r="O2" s="486"/>
      <c r="P2" s="485"/>
      <c r="Q2" s="485"/>
      <c r="R2" s="365"/>
    </row>
    <row r="3" spans="1:18" ht="14.25" customHeight="1" x14ac:dyDescent="0.55000000000000004">
      <c r="A3" s="379" t="s">
        <v>478</v>
      </c>
      <c r="B3" s="370"/>
      <c r="C3" s="380" t="s">
        <v>479</v>
      </c>
      <c r="D3" s="371"/>
      <c r="E3" s="177"/>
      <c r="F3" s="373" t="s">
        <v>285</v>
      </c>
      <c r="G3" s="372"/>
      <c r="H3" s="369"/>
      <c r="I3" s="369"/>
      <c r="J3" s="372"/>
      <c r="K3" s="374"/>
      <c r="L3" s="375"/>
      <c r="M3" s="481"/>
      <c r="N3" s="489"/>
      <c r="O3" s="515" t="s">
        <v>117</v>
      </c>
      <c r="P3" s="515"/>
      <c r="Q3" s="365" t="s">
        <v>320</v>
      </c>
      <c r="R3" s="365"/>
    </row>
    <row r="4" spans="1:18" ht="13.5" customHeight="1" thickBot="1" x14ac:dyDescent="0.4">
      <c r="A4" s="376"/>
      <c r="B4" s="377"/>
      <c r="C4" s="378"/>
      <c r="D4" s="378"/>
      <c r="E4" s="378"/>
      <c r="F4" s="378"/>
      <c r="G4" s="378"/>
      <c r="H4" s="378"/>
      <c r="I4" s="378"/>
      <c r="J4" s="378"/>
      <c r="K4" s="378"/>
      <c r="L4" s="378"/>
      <c r="M4" s="482"/>
      <c r="N4" s="487"/>
      <c r="O4" s="487"/>
      <c r="P4" s="487"/>
      <c r="Q4" s="488"/>
      <c r="R4" s="365"/>
    </row>
    <row r="5" spans="1:18" ht="20.100000000000001" customHeight="1" thickBot="1" x14ac:dyDescent="0.4">
      <c r="A5" s="214" t="s">
        <v>441</v>
      </c>
      <c r="B5" s="176"/>
      <c r="C5" s="124"/>
      <c r="D5" s="124"/>
      <c r="E5" s="126"/>
      <c r="F5" s="124"/>
      <c r="G5" s="160"/>
      <c r="H5" s="127"/>
      <c r="I5" s="127"/>
      <c r="J5" s="127"/>
      <c r="K5" s="127"/>
      <c r="L5" s="127"/>
      <c r="M5" s="483"/>
      <c r="N5" s="483"/>
      <c r="O5" s="483"/>
      <c r="P5" s="483"/>
      <c r="Q5" s="484"/>
      <c r="R5" s="365"/>
    </row>
    <row r="6" spans="1:18" ht="14.1" customHeight="1" x14ac:dyDescent="0.35">
      <c r="A6" s="271"/>
      <c r="B6" s="224"/>
      <c r="C6" s="225"/>
      <c r="D6" s="226" t="s">
        <v>571</v>
      </c>
      <c r="E6" s="227">
        <v>18</v>
      </c>
      <c r="F6" s="228" t="s">
        <v>0</v>
      </c>
      <c r="G6" s="186"/>
      <c r="H6" s="184"/>
      <c r="I6" s="127"/>
      <c r="J6" s="127"/>
      <c r="K6" s="127"/>
      <c r="L6" s="127"/>
      <c r="M6" s="127"/>
      <c r="N6" s="127"/>
      <c r="O6" s="127"/>
      <c r="P6" s="127"/>
      <c r="Q6" s="159"/>
      <c r="R6" s="365"/>
    </row>
    <row r="7" spans="1:18" ht="14.1" customHeight="1" x14ac:dyDescent="0.35">
      <c r="A7" s="382"/>
      <c r="B7" s="184"/>
      <c r="C7" s="181"/>
      <c r="D7" s="219" t="s">
        <v>572</v>
      </c>
      <c r="E7" s="185">
        <v>24</v>
      </c>
      <c r="F7" s="229" t="s">
        <v>0</v>
      </c>
      <c r="G7" s="186"/>
      <c r="H7" s="184"/>
      <c r="I7" s="127"/>
      <c r="J7" s="127"/>
      <c r="K7" s="127"/>
      <c r="L7" s="127"/>
      <c r="M7" s="127"/>
      <c r="N7" s="127"/>
      <c r="O7" s="127"/>
      <c r="P7" s="127"/>
      <c r="Q7" s="159"/>
      <c r="R7" s="365"/>
    </row>
    <row r="8" spans="1:18" ht="14.1" customHeight="1" x14ac:dyDescent="0.35">
      <c r="A8" s="382"/>
      <c r="B8" s="184"/>
      <c r="C8" s="181"/>
      <c r="D8" s="219" t="s">
        <v>573</v>
      </c>
      <c r="E8" s="185">
        <v>36</v>
      </c>
      <c r="F8" s="229" t="s">
        <v>0</v>
      </c>
      <c r="G8" s="186"/>
      <c r="H8" s="184"/>
      <c r="I8" s="127"/>
      <c r="J8" s="127"/>
      <c r="K8" s="127"/>
      <c r="L8" s="127"/>
      <c r="M8" s="127"/>
      <c r="N8" s="127"/>
      <c r="O8" s="127"/>
      <c r="P8" s="127"/>
      <c r="Q8" s="159"/>
      <c r="R8" s="365"/>
    </row>
    <row r="9" spans="1:18" ht="14.1" customHeight="1" x14ac:dyDescent="0.35">
      <c r="A9" s="183"/>
      <c r="B9" s="184"/>
      <c r="C9" s="181"/>
      <c r="D9" s="219" t="s">
        <v>566</v>
      </c>
      <c r="E9" s="185">
        <v>5.0999999999999996</v>
      </c>
      <c r="F9" s="229" t="s">
        <v>0</v>
      </c>
      <c r="G9" s="186"/>
      <c r="H9" s="184"/>
      <c r="I9" s="127"/>
      <c r="J9" s="127"/>
      <c r="K9" s="127"/>
      <c r="L9" s="127"/>
      <c r="M9" s="127"/>
      <c r="N9" s="127"/>
      <c r="O9" s="127"/>
      <c r="P9" s="127"/>
      <c r="Q9" s="159"/>
      <c r="R9" s="365"/>
    </row>
    <row r="10" spans="1:18" ht="14.1" customHeight="1" x14ac:dyDescent="0.35">
      <c r="A10" s="183"/>
      <c r="B10" s="184"/>
      <c r="C10" s="181"/>
      <c r="D10" s="219" t="s">
        <v>565</v>
      </c>
      <c r="E10" s="185">
        <v>6</v>
      </c>
      <c r="F10" s="229" t="s">
        <v>2</v>
      </c>
      <c r="G10" s="186"/>
      <c r="H10" s="184"/>
      <c r="I10" s="127"/>
      <c r="J10" s="127"/>
      <c r="K10" s="127"/>
      <c r="L10" s="127"/>
      <c r="M10" s="127"/>
      <c r="N10" s="127"/>
      <c r="O10" s="127"/>
      <c r="P10" s="127"/>
      <c r="Q10" s="159"/>
      <c r="R10" s="365"/>
    </row>
    <row r="11" spans="1:18" ht="14.1" customHeight="1" x14ac:dyDescent="0.35">
      <c r="A11" s="183"/>
      <c r="B11" s="184"/>
      <c r="C11" s="181"/>
      <c r="D11" s="219" t="s">
        <v>624</v>
      </c>
      <c r="E11" s="187">
        <v>300</v>
      </c>
      <c r="F11" s="229" t="s">
        <v>3</v>
      </c>
      <c r="G11" s="186"/>
      <c r="H11" s="184"/>
      <c r="I11" s="127"/>
      <c r="J11" s="127"/>
      <c r="K11" s="127"/>
      <c r="L11" s="127"/>
      <c r="M11" s="127"/>
      <c r="N11" s="127"/>
      <c r="O11" s="127"/>
      <c r="P11" s="127"/>
      <c r="Q11" s="159"/>
      <c r="R11" s="365"/>
    </row>
    <row r="12" spans="1:18" ht="14.1" customHeight="1" x14ac:dyDescent="0.35">
      <c r="A12" s="183"/>
      <c r="B12" s="184"/>
      <c r="C12" s="181"/>
      <c r="D12" s="219" t="s">
        <v>625</v>
      </c>
      <c r="E12" s="187">
        <v>230</v>
      </c>
      <c r="F12" s="229" t="s">
        <v>3</v>
      </c>
      <c r="G12" s="188"/>
      <c r="H12" s="184"/>
      <c r="I12" s="127"/>
      <c r="J12" s="127"/>
      <c r="K12" s="127"/>
      <c r="L12" s="127"/>
      <c r="M12" s="127"/>
      <c r="N12" s="127"/>
      <c r="O12" s="127"/>
      <c r="P12" s="127"/>
      <c r="Q12" s="159"/>
      <c r="R12" s="365"/>
    </row>
    <row r="13" spans="1:18" ht="15.9" customHeight="1" thickBot="1" x14ac:dyDescent="0.4">
      <c r="A13" s="230"/>
      <c r="B13" s="231"/>
      <c r="C13" s="182"/>
      <c r="D13" s="182" t="s">
        <v>568</v>
      </c>
      <c r="E13" s="182">
        <f>'Standard Value Calculator'!S4/1000</f>
        <v>33.200000000000003</v>
      </c>
      <c r="F13" s="232" t="s">
        <v>116</v>
      </c>
      <c r="G13" s="186"/>
      <c r="H13" s="184"/>
      <c r="I13" s="127"/>
      <c r="J13" s="127"/>
      <c r="K13" s="127"/>
      <c r="L13" s="127"/>
      <c r="M13" s="127"/>
      <c r="N13" s="127"/>
      <c r="O13" s="127"/>
      <c r="P13" s="127"/>
      <c r="Q13" s="159"/>
      <c r="R13" s="365"/>
    </row>
    <row r="14" spans="1:18" ht="14.1" customHeight="1" x14ac:dyDescent="0.3">
      <c r="A14" s="183"/>
      <c r="B14" s="184"/>
      <c r="C14" s="184"/>
      <c r="D14" s="189"/>
      <c r="E14" s="190"/>
      <c r="F14" s="184"/>
      <c r="G14" s="186"/>
      <c r="H14" s="184"/>
      <c r="I14" s="127"/>
      <c r="J14" s="127"/>
      <c r="K14" s="127"/>
      <c r="L14" s="127"/>
      <c r="M14" s="127"/>
      <c r="N14" s="127"/>
      <c r="O14" s="127"/>
      <c r="P14" s="127"/>
      <c r="Q14" s="159"/>
      <c r="R14" s="365"/>
    </row>
    <row r="15" spans="1:18" ht="20.100000000000001" customHeight="1" thickBot="1" x14ac:dyDescent="0.35">
      <c r="A15" s="214" t="s">
        <v>430</v>
      </c>
      <c r="B15" s="191"/>
      <c r="C15" s="192"/>
      <c r="D15" s="192"/>
      <c r="E15" s="193"/>
      <c r="F15" s="192"/>
      <c r="G15" s="186"/>
      <c r="H15" s="184"/>
      <c r="I15" s="127"/>
      <c r="J15" s="127"/>
      <c r="K15" s="127"/>
      <c r="L15" s="127"/>
      <c r="M15" s="127"/>
      <c r="N15" s="127"/>
      <c r="O15" s="127"/>
      <c r="P15" s="127"/>
      <c r="Q15" s="159"/>
      <c r="R15" s="365"/>
    </row>
    <row r="16" spans="1:18" ht="14.1" customHeight="1" x14ac:dyDescent="0.3">
      <c r="A16" s="271"/>
      <c r="B16" s="224"/>
      <c r="C16" s="225"/>
      <c r="D16" s="225" t="s">
        <v>461</v>
      </c>
      <c r="E16" s="460">
        <f>Lout1*1000000</f>
        <v>6.7004504504504494</v>
      </c>
      <c r="F16" s="233" t="s">
        <v>413</v>
      </c>
      <c r="G16" s="186"/>
      <c r="H16" s="184"/>
      <c r="I16" s="127"/>
      <c r="J16" s="127"/>
      <c r="K16" s="127"/>
      <c r="L16" s="127"/>
      <c r="M16" s="127"/>
      <c r="N16" s="127"/>
      <c r="O16" s="127"/>
      <c r="P16" s="127"/>
      <c r="Q16" s="159"/>
      <c r="R16" s="365"/>
    </row>
    <row r="17" spans="1:19" ht="14.1" customHeight="1" x14ac:dyDescent="0.35">
      <c r="A17" s="183"/>
      <c r="B17" s="184"/>
      <c r="C17" s="181"/>
      <c r="D17" s="219" t="s">
        <v>567</v>
      </c>
      <c r="E17" s="185">
        <v>7.4</v>
      </c>
      <c r="F17" s="229" t="s">
        <v>413</v>
      </c>
      <c r="G17" s="186"/>
      <c r="H17" s="184"/>
      <c r="I17" s="127"/>
      <c r="J17" s="127"/>
      <c r="K17" s="127"/>
      <c r="L17" s="127"/>
      <c r="M17" s="127"/>
      <c r="N17" s="127"/>
      <c r="O17" s="127"/>
      <c r="P17" s="127"/>
      <c r="Q17" s="159"/>
      <c r="R17" s="365"/>
    </row>
    <row r="18" spans="1:19" ht="14.1" customHeight="1" x14ac:dyDescent="0.3">
      <c r="A18" s="183"/>
      <c r="B18" s="184"/>
      <c r="C18" s="181"/>
      <c r="D18" s="219" t="s">
        <v>462</v>
      </c>
      <c r="E18" s="185">
        <v>5</v>
      </c>
      <c r="F18" s="229" t="s">
        <v>115</v>
      </c>
      <c r="G18" s="186"/>
      <c r="H18" s="184"/>
      <c r="I18" s="127"/>
      <c r="J18" s="127"/>
      <c r="K18" s="127"/>
      <c r="L18" s="127"/>
      <c r="M18" s="127"/>
      <c r="N18" s="127"/>
      <c r="O18" s="127"/>
      <c r="P18" s="127"/>
      <c r="Q18" s="159"/>
      <c r="R18" s="365"/>
    </row>
    <row r="19" spans="1:19" ht="15" customHeight="1" x14ac:dyDescent="0.35">
      <c r="A19" s="183"/>
      <c r="B19" s="184"/>
      <c r="C19" s="181"/>
      <c r="D19" s="381" t="s">
        <v>570</v>
      </c>
      <c r="E19" s="216">
        <f>Iripple1</f>
        <v>1.8325337837837832</v>
      </c>
      <c r="F19" s="234" t="s">
        <v>446</v>
      </c>
      <c r="G19" s="186"/>
      <c r="H19" s="184"/>
      <c r="I19" s="127"/>
      <c r="J19" s="127"/>
      <c r="K19" s="127"/>
      <c r="L19" s="127"/>
      <c r="M19" s="127"/>
      <c r="N19" s="127"/>
      <c r="O19" s="127"/>
      <c r="P19" s="127"/>
      <c r="Q19" s="159"/>
      <c r="R19" s="365"/>
    </row>
    <row r="20" spans="1:19" ht="15" customHeight="1" x14ac:dyDescent="0.35">
      <c r="A20" s="382"/>
      <c r="B20" s="184"/>
      <c r="C20" s="181"/>
      <c r="D20" s="181" t="s">
        <v>548</v>
      </c>
      <c r="E20" s="217">
        <f>Iripple1/Iout*100</f>
        <v>30.542229729729719</v>
      </c>
      <c r="F20" s="234" t="s">
        <v>300</v>
      </c>
      <c r="G20" s="186"/>
      <c r="H20" s="184"/>
      <c r="I20" s="127"/>
      <c r="J20" s="127"/>
      <c r="K20" s="127"/>
      <c r="L20" s="127"/>
      <c r="M20" s="127"/>
      <c r="N20" s="127"/>
      <c r="O20" s="127"/>
      <c r="P20" s="127"/>
      <c r="Q20" s="159"/>
      <c r="R20" s="365"/>
    </row>
    <row r="21" spans="1:19" ht="15" customHeight="1" thickBot="1" x14ac:dyDescent="0.35">
      <c r="A21" s="230"/>
      <c r="B21" s="231"/>
      <c r="C21" s="280"/>
      <c r="D21" s="512" t="s">
        <v>774</v>
      </c>
      <c r="E21" s="349">
        <v>0.2</v>
      </c>
      <c r="F21" s="513" t="s">
        <v>208</v>
      </c>
      <c r="G21" s="186"/>
      <c r="H21" s="184"/>
      <c r="I21" s="127"/>
      <c r="J21" s="127"/>
      <c r="K21" s="127"/>
      <c r="L21" s="127"/>
      <c r="M21" s="127"/>
      <c r="N21" s="127"/>
      <c r="O21" s="127"/>
      <c r="P21" s="127"/>
      <c r="Q21" s="159"/>
      <c r="R21" s="365"/>
    </row>
    <row r="22" spans="1:19" ht="14.1" customHeight="1" x14ac:dyDescent="0.3">
      <c r="A22" s="183"/>
      <c r="B22" s="184"/>
      <c r="C22" s="184"/>
      <c r="D22" s="184"/>
      <c r="E22" s="184"/>
      <c r="F22" s="184"/>
      <c r="G22" s="186"/>
      <c r="H22" s="184"/>
      <c r="I22" s="127"/>
      <c r="J22" s="127"/>
      <c r="K22" s="127"/>
      <c r="L22" s="127"/>
      <c r="M22" s="127"/>
      <c r="N22" s="127"/>
      <c r="O22" s="127"/>
      <c r="P22" s="127"/>
      <c r="Q22" s="159"/>
      <c r="R22" s="365"/>
    </row>
    <row r="23" spans="1:19" ht="20.100000000000001" customHeight="1" thickBot="1" x14ac:dyDescent="0.45">
      <c r="A23" s="214" t="s">
        <v>564</v>
      </c>
      <c r="B23" s="191"/>
      <c r="C23" s="184"/>
      <c r="D23" s="184"/>
      <c r="E23" s="184"/>
      <c r="F23" s="184"/>
      <c r="G23" s="186"/>
      <c r="H23" s="184"/>
      <c r="I23" s="127"/>
      <c r="J23" s="127"/>
      <c r="K23" s="127"/>
      <c r="L23" s="127"/>
      <c r="M23" s="127"/>
      <c r="N23" s="127"/>
      <c r="O23" s="127"/>
      <c r="P23" s="127"/>
      <c r="Q23" s="159"/>
      <c r="R23" s="365"/>
    </row>
    <row r="24" spans="1:19" ht="15" customHeight="1" x14ac:dyDescent="0.35">
      <c r="A24" s="397"/>
      <c r="B24" s="278"/>
      <c r="C24" s="398"/>
      <c r="D24" s="402" t="s">
        <v>604</v>
      </c>
      <c r="E24" s="404">
        <v>6</v>
      </c>
      <c r="F24" s="403" t="s">
        <v>115</v>
      </c>
      <c r="G24" s="186"/>
      <c r="H24" s="184"/>
      <c r="I24" s="127"/>
      <c r="J24" s="127"/>
      <c r="K24" s="127"/>
      <c r="L24" s="127"/>
      <c r="M24" s="127"/>
      <c r="N24" s="127"/>
      <c r="O24" s="127"/>
      <c r="P24" s="127"/>
      <c r="Q24" s="159"/>
      <c r="R24" s="365"/>
      <c r="S24" s="123" t="s">
        <v>384</v>
      </c>
    </row>
    <row r="25" spans="1:19" ht="15" customHeight="1" x14ac:dyDescent="0.3">
      <c r="A25" s="183"/>
      <c r="B25" s="184"/>
      <c r="C25" s="184"/>
      <c r="D25" s="219" t="s">
        <v>463</v>
      </c>
      <c r="E25" s="185">
        <v>10</v>
      </c>
      <c r="F25" s="229" t="s">
        <v>2</v>
      </c>
      <c r="G25" s="186"/>
      <c r="H25" s="184"/>
      <c r="I25" s="127"/>
      <c r="J25" s="127"/>
      <c r="K25" s="127"/>
      <c r="L25" s="127"/>
      <c r="M25" s="127"/>
      <c r="N25" s="127"/>
      <c r="O25" s="127"/>
      <c r="P25" s="127"/>
      <c r="Q25" s="159"/>
      <c r="R25" s="365"/>
    </row>
    <row r="26" spans="1:19" ht="15" customHeight="1" x14ac:dyDescent="0.35">
      <c r="A26" s="184"/>
      <c r="B26" s="184"/>
      <c r="C26" s="184"/>
      <c r="D26" s="181" t="s">
        <v>588</v>
      </c>
      <c r="E26" s="217">
        <f>IF(RDSON_sense=1, Rilim_Rdson, Rilim_shunt)</f>
        <v>274</v>
      </c>
      <c r="F26" s="234" t="s">
        <v>274</v>
      </c>
      <c r="G26" s="188"/>
      <c r="H26" s="184"/>
      <c r="I26" s="127"/>
      <c r="J26" s="127"/>
      <c r="K26" s="127"/>
      <c r="L26" s="127"/>
      <c r="M26" s="127"/>
      <c r="N26" s="127"/>
      <c r="O26" s="127"/>
      <c r="P26" s="127"/>
      <c r="Q26" s="159"/>
      <c r="R26" s="365"/>
    </row>
    <row r="27" spans="1:19" ht="14.1" customHeight="1" x14ac:dyDescent="0.35">
      <c r="A27" s="183"/>
      <c r="B27" s="184"/>
      <c r="C27" s="184"/>
      <c r="D27" s="181" t="s">
        <v>569</v>
      </c>
      <c r="E27" s="216">
        <f>'Variable Management'!B51</f>
        <v>13.2</v>
      </c>
      <c r="F27" s="234" t="s">
        <v>2</v>
      </c>
      <c r="G27" s="184"/>
      <c r="H27" s="184"/>
      <c r="I27" s="127"/>
      <c r="J27" s="127"/>
      <c r="K27" s="127"/>
      <c r="L27" s="127"/>
      <c r="M27" s="127"/>
      <c r="N27" s="127"/>
      <c r="O27" s="127"/>
      <c r="P27" s="127"/>
      <c r="Q27" s="159"/>
      <c r="R27" s="365"/>
    </row>
    <row r="28" spans="1:19" ht="14.1" customHeight="1" thickBot="1" x14ac:dyDescent="0.4">
      <c r="A28" s="230"/>
      <c r="B28" s="231"/>
      <c r="C28" s="231"/>
      <c r="D28" s="399" t="s">
        <v>596</v>
      </c>
      <c r="E28" s="400">
        <f>_Rs3</f>
        <v>0.16</v>
      </c>
      <c r="F28" s="257" t="s">
        <v>208</v>
      </c>
      <c r="G28" s="184"/>
      <c r="H28" s="184"/>
      <c r="I28" s="127"/>
      <c r="J28" s="127"/>
      <c r="K28" s="127"/>
      <c r="L28" s="127"/>
      <c r="M28" s="127"/>
      <c r="N28" s="127"/>
      <c r="O28" s="127"/>
      <c r="P28" s="127"/>
      <c r="Q28" s="159"/>
      <c r="R28" s="365"/>
    </row>
    <row r="29" spans="1:19" ht="14.1" customHeight="1" x14ac:dyDescent="0.3">
      <c r="A29" s="277"/>
      <c r="B29" s="170"/>
      <c r="C29" s="170"/>
      <c r="D29" s="170"/>
      <c r="E29" s="170"/>
      <c r="F29" s="170"/>
      <c r="G29" s="184"/>
      <c r="H29" s="184"/>
      <c r="I29" s="127"/>
      <c r="J29" s="127"/>
      <c r="K29" s="127"/>
      <c r="L29" s="127"/>
      <c r="M29" s="127"/>
      <c r="N29" s="127"/>
      <c r="O29" s="127"/>
      <c r="P29" s="127"/>
      <c r="Q29" s="159"/>
      <c r="R29" s="365"/>
    </row>
    <row r="30" spans="1:19" ht="18" thickBot="1" x14ac:dyDescent="0.35">
      <c r="A30" s="214" t="s">
        <v>732</v>
      </c>
      <c r="B30" s="191"/>
      <c r="C30" s="192"/>
      <c r="D30" s="192"/>
      <c r="E30" s="193"/>
      <c r="F30" s="192"/>
      <c r="G30" s="184"/>
      <c r="H30" s="184"/>
      <c r="I30" s="127"/>
      <c r="J30" s="127"/>
      <c r="K30" s="127"/>
      <c r="L30" s="127"/>
      <c r="M30" s="127"/>
      <c r="N30" s="127"/>
      <c r="O30" s="127"/>
      <c r="P30" s="127"/>
      <c r="Q30" s="159"/>
      <c r="R30" s="365"/>
    </row>
    <row r="31" spans="1:19" ht="14.1" customHeight="1" x14ac:dyDescent="0.35">
      <c r="A31" s="250"/>
      <c r="B31" s="236"/>
      <c r="C31" s="225"/>
      <c r="D31" s="237" t="s">
        <v>464</v>
      </c>
      <c r="E31" s="238">
        <v>20</v>
      </c>
      <c r="F31" s="228" t="s">
        <v>447</v>
      </c>
      <c r="G31" s="184"/>
      <c r="H31" s="184"/>
      <c r="I31" s="127"/>
      <c r="J31" s="127"/>
      <c r="K31" s="127"/>
      <c r="L31" s="127"/>
      <c r="M31" s="127"/>
      <c r="N31" s="127"/>
      <c r="O31" s="127"/>
      <c r="P31" s="127"/>
      <c r="Q31" s="159"/>
      <c r="R31" s="365"/>
    </row>
    <row r="32" spans="1:19" ht="14.1" customHeight="1" x14ac:dyDescent="0.3">
      <c r="A32" s="183"/>
      <c r="B32" s="184"/>
      <c r="C32" s="181"/>
      <c r="D32" s="181" t="s">
        <v>465</v>
      </c>
      <c r="E32" s="217">
        <f>Coutmin*1000000</f>
        <v>38.177787162162147</v>
      </c>
      <c r="F32" s="234" t="s">
        <v>414</v>
      </c>
      <c r="G32" s="184"/>
      <c r="H32" s="184"/>
      <c r="I32" s="127"/>
      <c r="J32" s="127"/>
      <c r="K32" s="127"/>
      <c r="L32" s="127"/>
      <c r="M32" s="127"/>
      <c r="N32" s="127"/>
      <c r="O32" s="127"/>
      <c r="P32" s="127"/>
      <c r="Q32" s="159"/>
      <c r="R32" s="365"/>
    </row>
    <row r="33" spans="1:18" ht="14.1" customHeight="1" x14ac:dyDescent="0.35">
      <c r="A33" s="183"/>
      <c r="B33" s="184"/>
      <c r="C33" s="181"/>
      <c r="D33" s="180" t="s">
        <v>738</v>
      </c>
      <c r="E33" s="185">
        <v>132</v>
      </c>
      <c r="F33" s="229" t="s">
        <v>414</v>
      </c>
      <c r="G33" s="186"/>
      <c r="H33" s="184"/>
      <c r="I33" s="127"/>
      <c r="J33" s="127"/>
      <c r="K33" s="127"/>
      <c r="L33" s="127"/>
      <c r="M33" s="127"/>
      <c r="N33" s="127"/>
      <c r="O33" s="127"/>
      <c r="P33" s="127"/>
      <c r="Q33" s="159"/>
      <c r="R33" s="365"/>
    </row>
    <row r="34" spans="1:18" ht="14.1" customHeight="1" x14ac:dyDescent="0.3">
      <c r="A34" s="183"/>
      <c r="B34" s="184"/>
      <c r="C34" s="181"/>
      <c r="D34" s="181" t="s">
        <v>466</v>
      </c>
      <c r="E34" s="218">
        <f>IF(ISERROR(Resrmax*1000),"N/A",Resrmax*1000)</f>
        <v>10.447402975915685</v>
      </c>
      <c r="F34" s="234" t="s">
        <v>115</v>
      </c>
      <c r="G34" s="186"/>
      <c r="H34" s="184"/>
      <c r="I34" s="127"/>
      <c r="J34" s="127"/>
      <c r="K34" s="127"/>
      <c r="L34" s="127"/>
      <c r="M34" s="127"/>
      <c r="N34" s="127"/>
      <c r="O34" s="127"/>
      <c r="P34" s="127"/>
      <c r="Q34" s="159"/>
      <c r="R34" s="365"/>
    </row>
    <row r="35" spans="1:18" ht="14.1" customHeight="1" x14ac:dyDescent="0.3">
      <c r="A35" s="183"/>
      <c r="B35" s="184"/>
      <c r="C35" s="181"/>
      <c r="D35" s="180" t="s">
        <v>467</v>
      </c>
      <c r="E35" s="187">
        <v>10</v>
      </c>
      <c r="F35" s="229" t="s">
        <v>115</v>
      </c>
      <c r="G35" s="186"/>
      <c r="H35" s="184"/>
      <c r="I35" s="127"/>
      <c r="J35" s="127"/>
      <c r="K35" s="127"/>
      <c r="L35" s="127"/>
      <c r="M35" s="127"/>
      <c r="N35" s="127"/>
      <c r="O35" s="127"/>
      <c r="P35" s="127"/>
      <c r="Q35" s="159"/>
      <c r="R35" s="365"/>
    </row>
    <row r="36" spans="1:18" ht="14.1" customHeight="1" x14ac:dyDescent="0.35">
      <c r="A36" s="183"/>
      <c r="B36" s="184"/>
      <c r="C36" s="184"/>
      <c r="D36" s="181" t="s">
        <v>468</v>
      </c>
      <c r="E36" s="217">
        <f>Vripple2*1000</f>
        <v>19.216623009929982</v>
      </c>
      <c r="F36" s="234" t="s">
        <v>457</v>
      </c>
      <c r="G36" s="186"/>
      <c r="H36" s="184"/>
      <c r="I36" s="127"/>
      <c r="J36" s="127"/>
      <c r="K36" s="127"/>
      <c r="L36" s="127"/>
      <c r="M36" s="127"/>
      <c r="N36" s="127"/>
      <c r="O36" s="127"/>
      <c r="P36" s="127"/>
      <c r="Q36" s="159"/>
      <c r="R36" s="365"/>
    </row>
    <row r="37" spans="1:18" ht="14.1" customHeight="1" thickBot="1" x14ac:dyDescent="0.35">
      <c r="A37" s="230"/>
      <c r="B37" s="231"/>
      <c r="C37" s="231"/>
      <c r="D37" s="182" t="s">
        <v>469</v>
      </c>
      <c r="E37" s="235">
        <f>Icoutrms</f>
        <v>0.52900693668332532</v>
      </c>
      <c r="F37" s="232" t="s">
        <v>282</v>
      </c>
      <c r="G37" s="188"/>
      <c r="H37" s="184"/>
      <c r="I37" s="127"/>
      <c r="J37" s="127"/>
      <c r="K37" s="161"/>
      <c r="L37" s="127"/>
      <c r="M37" s="127"/>
      <c r="N37" s="127"/>
      <c r="O37" s="127"/>
      <c r="P37" s="127"/>
      <c r="Q37" s="159"/>
      <c r="R37" s="365"/>
    </row>
    <row r="38" spans="1:18" ht="14.1" customHeight="1" x14ac:dyDescent="0.3">
      <c r="A38" s="272"/>
      <c r="B38" s="194"/>
      <c r="C38" s="194"/>
      <c r="D38" s="194"/>
      <c r="E38" s="194"/>
      <c r="F38" s="194"/>
      <c r="G38" s="184"/>
      <c r="H38" s="184"/>
      <c r="I38" s="127"/>
      <c r="J38" s="127"/>
      <c r="K38" s="127"/>
      <c r="L38" s="127"/>
      <c r="M38" s="127"/>
      <c r="N38" s="127"/>
      <c r="O38" s="127"/>
      <c r="P38" s="127"/>
      <c r="Q38" s="159"/>
      <c r="R38" s="365"/>
    </row>
    <row r="39" spans="1:18" ht="18" thickBot="1" x14ac:dyDescent="0.35">
      <c r="A39" s="214" t="s">
        <v>733</v>
      </c>
      <c r="B39" s="191"/>
      <c r="C39" s="192"/>
      <c r="D39" s="192"/>
      <c r="E39" s="184"/>
      <c r="F39" s="184"/>
      <c r="G39" s="184"/>
      <c r="H39" s="184"/>
      <c r="I39" s="127"/>
      <c r="J39" s="127"/>
      <c r="K39" s="127"/>
      <c r="L39" s="162"/>
      <c r="M39" s="127"/>
      <c r="N39" s="127"/>
      <c r="O39" s="127"/>
      <c r="P39" s="127"/>
      <c r="Q39" s="159"/>
      <c r="R39" s="365"/>
    </row>
    <row r="40" spans="1:18" ht="14.1" customHeight="1" x14ac:dyDescent="0.35">
      <c r="A40" s="250"/>
      <c r="B40" s="236"/>
      <c r="C40" s="224"/>
      <c r="D40" s="226" t="s">
        <v>470</v>
      </c>
      <c r="E40" s="238">
        <v>50</v>
      </c>
      <c r="F40" s="228" t="s">
        <v>447</v>
      </c>
      <c r="G40" s="184"/>
      <c r="H40" s="184"/>
      <c r="I40" s="127"/>
      <c r="J40" s="163"/>
      <c r="K40" s="127"/>
      <c r="L40" s="127"/>
      <c r="M40" s="127"/>
      <c r="N40" s="127"/>
      <c r="O40" s="127"/>
      <c r="P40" s="127"/>
      <c r="Q40" s="159"/>
      <c r="R40" s="365"/>
    </row>
    <row r="41" spans="1:18" ht="14.1" customHeight="1" x14ac:dyDescent="0.3">
      <c r="A41" s="195"/>
      <c r="B41" s="192"/>
      <c r="C41" s="184"/>
      <c r="D41" s="181" t="s">
        <v>471</v>
      </c>
      <c r="E41" s="217">
        <f>'Variable Management'!B80*1000000</f>
        <v>67.566974999999985</v>
      </c>
      <c r="F41" s="234" t="s">
        <v>414</v>
      </c>
      <c r="G41" s="184"/>
      <c r="H41" s="184"/>
      <c r="I41" s="127"/>
      <c r="J41" s="163"/>
      <c r="K41" s="127"/>
      <c r="L41" s="127"/>
      <c r="M41" s="127"/>
      <c r="N41" s="127"/>
      <c r="O41" s="127"/>
      <c r="P41" s="127"/>
      <c r="Q41" s="159"/>
      <c r="R41" s="365"/>
    </row>
    <row r="42" spans="1:18" ht="14.1" customHeight="1" x14ac:dyDescent="0.35">
      <c r="A42" s="183"/>
      <c r="B42" s="184"/>
      <c r="C42" s="192"/>
      <c r="D42" s="219" t="s">
        <v>739</v>
      </c>
      <c r="E42" s="185">
        <v>110</v>
      </c>
      <c r="F42" s="229" t="s">
        <v>414</v>
      </c>
      <c r="G42" s="184"/>
      <c r="H42" s="184"/>
      <c r="I42" s="127"/>
      <c r="J42" s="163"/>
      <c r="K42" s="127"/>
      <c r="L42" s="127"/>
      <c r="M42" s="127"/>
      <c r="N42" s="127"/>
      <c r="O42" s="127"/>
      <c r="P42" s="127"/>
      <c r="Q42" s="159"/>
      <c r="R42" s="365"/>
    </row>
    <row r="43" spans="1:18" ht="14.1" customHeight="1" x14ac:dyDescent="0.3">
      <c r="A43" s="183"/>
      <c r="B43" s="184"/>
      <c r="C43" s="192"/>
      <c r="D43" s="181" t="s">
        <v>466</v>
      </c>
      <c r="E43" s="218">
        <f>IF(CinEsrMax*1000&lt;0,"N/A",CinEsrMax*1000)</f>
        <v>2.7887499048041549</v>
      </c>
      <c r="F43" s="234" t="s">
        <v>115</v>
      </c>
      <c r="G43" s="184"/>
      <c r="H43" s="184"/>
      <c r="I43" s="127"/>
      <c r="J43" s="164"/>
      <c r="K43" s="127"/>
      <c r="L43" s="127"/>
      <c r="M43" s="127"/>
      <c r="N43" s="127"/>
      <c r="O43" s="127"/>
      <c r="P43" s="127"/>
      <c r="Q43" s="159" t="s">
        <v>343</v>
      </c>
      <c r="R43" s="365"/>
    </row>
    <row r="44" spans="1:18" ht="14.1" customHeight="1" x14ac:dyDescent="0.3">
      <c r="A44" s="183"/>
      <c r="B44" s="184"/>
      <c r="C44" s="192"/>
      <c r="D44" s="219" t="s">
        <v>472</v>
      </c>
      <c r="E44" s="185">
        <v>2</v>
      </c>
      <c r="F44" s="229" t="s">
        <v>115</v>
      </c>
      <c r="G44" s="184"/>
      <c r="H44" s="184"/>
      <c r="I44" s="127"/>
      <c r="J44" s="164"/>
      <c r="K44" s="127"/>
      <c r="L44" s="127"/>
      <c r="M44" s="127"/>
      <c r="N44" s="127"/>
      <c r="O44" s="127"/>
      <c r="P44" s="127"/>
      <c r="Q44" s="159"/>
      <c r="R44" s="365"/>
    </row>
    <row r="45" spans="1:18" ht="14.1" customHeight="1" x14ac:dyDescent="0.35">
      <c r="A45" s="183"/>
      <c r="B45" s="184"/>
      <c r="C45" s="192"/>
      <c r="D45" s="181" t="s">
        <v>473</v>
      </c>
      <c r="E45" s="217">
        <f>Vinripple2*1000</f>
        <v>44.544795147420146</v>
      </c>
      <c r="F45" s="234" t="s">
        <v>457</v>
      </c>
      <c r="G45" s="184"/>
      <c r="H45" s="184"/>
      <c r="I45" s="127"/>
      <c r="J45" s="164"/>
      <c r="K45" s="127"/>
      <c r="L45" s="127"/>
      <c r="M45" s="127"/>
      <c r="N45" s="127"/>
      <c r="O45" s="127"/>
      <c r="P45" s="127"/>
      <c r="Q45" s="159"/>
      <c r="R45" s="365"/>
    </row>
    <row r="46" spans="1:18" ht="14.1" customHeight="1" thickBot="1" x14ac:dyDescent="0.35">
      <c r="A46" s="230"/>
      <c r="B46" s="231"/>
      <c r="C46" s="231"/>
      <c r="D46" s="182" t="s">
        <v>474</v>
      </c>
      <c r="E46" s="235">
        <f>Icinrms</f>
        <v>2.4659739962132612</v>
      </c>
      <c r="F46" s="232" t="s">
        <v>282</v>
      </c>
      <c r="G46" s="184"/>
      <c r="H46" s="184"/>
      <c r="I46" s="127"/>
      <c r="J46" s="127"/>
      <c r="K46" s="127"/>
      <c r="L46" s="127"/>
      <c r="M46" s="127"/>
      <c r="N46" s="127"/>
      <c r="O46" s="127"/>
      <c r="P46" s="127"/>
      <c r="Q46" s="159"/>
      <c r="R46" s="365"/>
    </row>
    <row r="47" spans="1:18" ht="14.1" customHeight="1" x14ac:dyDescent="0.3">
      <c r="A47" s="183"/>
      <c r="B47" s="184"/>
      <c r="C47" s="184"/>
      <c r="D47" s="181"/>
      <c r="E47" s="184"/>
      <c r="F47" s="184"/>
      <c r="G47" s="184"/>
      <c r="H47" s="184"/>
      <c r="I47" s="127"/>
      <c r="J47" s="127"/>
      <c r="K47" s="127"/>
      <c r="L47" s="127"/>
      <c r="M47" s="127"/>
      <c r="N47" s="127"/>
      <c r="O47" s="127"/>
      <c r="P47" s="127"/>
      <c r="Q47" s="159"/>
      <c r="R47" s="365"/>
    </row>
    <row r="48" spans="1:18" ht="18" thickBot="1" x14ac:dyDescent="0.35">
      <c r="A48" s="214" t="s">
        <v>613</v>
      </c>
      <c r="B48" s="191"/>
      <c r="C48" s="184"/>
      <c r="D48" s="181"/>
      <c r="E48" s="184"/>
      <c r="F48" s="184"/>
      <c r="G48" s="184"/>
      <c r="H48" s="196"/>
      <c r="I48" s="170"/>
      <c r="J48" s="170"/>
      <c r="K48" s="170"/>
      <c r="L48" s="170"/>
      <c r="M48" s="170"/>
      <c r="N48" s="127"/>
      <c r="O48" s="127"/>
      <c r="P48" s="127"/>
      <c r="Q48" s="159"/>
      <c r="R48" s="365"/>
    </row>
    <row r="49" spans="1:35" ht="14.1" customHeight="1" x14ac:dyDescent="0.35">
      <c r="A49" s="271"/>
      <c r="B49" s="224"/>
      <c r="C49" s="224"/>
      <c r="D49" s="239" t="s">
        <v>616</v>
      </c>
      <c r="E49" s="227">
        <v>8</v>
      </c>
      <c r="F49" s="228" t="s">
        <v>291</v>
      </c>
      <c r="G49" s="184"/>
      <c r="H49" s="194"/>
      <c r="I49" s="170"/>
      <c r="J49" s="170"/>
      <c r="K49" s="170"/>
      <c r="L49" s="170"/>
      <c r="M49" s="170"/>
      <c r="N49" s="127"/>
      <c r="O49" s="127"/>
      <c r="P49" s="127"/>
      <c r="Q49" s="159"/>
      <c r="R49" s="365"/>
    </row>
    <row r="50" spans="1:35" ht="14.1" customHeight="1" x14ac:dyDescent="0.35">
      <c r="A50" s="183"/>
      <c r="B50" s="184"/>
      <c r="C50" s="184"/>
      <c r="D50" s="181" t="s">
        <v>617</v>
      </c>
      <c r="E50" s="218">
        <f>Css_u*1000000000</f>
        <v>100</v>
      </c>
      <c r="F50" s="234" t="s">
        <v>278</v>
      </c>
      <c r="G50" s="184"/>
      <c r="H50" s="194"/>
      <c r="I50" s="170"/>
      <c r="J50" s="170"/>
      <c r="K50" s="170"/>
      <c r="L50" s="170"/>
      <c r="M50" s="170"/>
      <c r="N50" s="127"/>
      <c r="O50" s="127"/>
      <c r="P50" s="127"/>
      <c r="Q50" s="159"/>
      <c r="R50" s="365"/>
    </row>
    <row r="51" spans="1:35" ht="14.1" customHeight="1" x14ac:dyDescent="0.3">
      <c r="A51" s="183"/>
      <c r="B51" s="184"/>
      <c r="C51" s="192"/>
      <c r="D51" s="180" t="s">
        <v>614</v>
      </c>
      <c r="E51" s="308">
        <v>8.33</v>
      </c>
      <c r="F51" s="229" t="s">
        <v>0</v>
      </c>
      <c r="G51" s="184"/>
      <c r="H51" s="184"/>
      <c r="I51" s="127"/>
      <c r="J51" s="125"/>
      <c r="K51" s="179"/>
      <c r="L51" s="127"/>
      <c r="M51" s="170"/>
      <c r="N51" s="127"/>
      <c r="O51" s="127"/>
      <c r="P51" s="127"/>
      <c r="Q51" s="159"/>
      <c r="R51" s="365"/>
    </row>
    <row r="52" spans="1:35" ht="14.1" customHeight="1" x14ac:dyDescent="0.3">
      <c r="A52" s="183"/>
      <c r="B52" s="184"/>
      <c r="C52" s="192"/>
      <c r="D52" s="180" t="s">
        <v>615</v>
      </c>
      <c r="E52" s="308">
        <v>7.58</v>
      </c>
      <c r="F52" s="229" t="s">
        <v>0</v>
      </c>
      <c r="G52" s="184"/>
      <c r="H52" s="184"/>
      <c r="I52" s="127"/>
      <c r="J52" s="125"/>
      <c r="K52" s="179"/>
      <c r="L52" s="127"/>
      <c r="M52" s="170"/>
      <c r="N52" s="127"/>
      <c r="O52" s="127"/>
      <c r="P52" s="127"/>
      <c r="Q52" s="159"/>
      <c r="R52" s="365"/>
    </row>
    <row r="53" spans="1:35" ht="14.1" customHeight="1" x14ac:dyDescent="0.35">
      <c r="A53" s="183"/>
      <c r="B53" s="184"/>
      <c r="C53" s="184"/>
      <c r="D53" s="181" t="s">
        <v>597</v>
      </c>
      <c r="E53" s="181">
        <f>'Variable Management'!F97</f>
        <v>75</v>
      </c>
      <c r="F53" s="234" t="s">
        <v>116</v>
      </c>
      <c r="G53" s="184"/>
      <c r="H53" s="184"/>
      <c r="I53" s="127"/>
      <c r="J53" s="125"/>
      <c r="K53" s="179"/>
      <c r="L53" s="127"/>
      <c r="M53" s="170"/>
      <c r="N53" s="127"/>
      <c r="O53" s="127"/>
      <c r="P53" s="127"/>
      <c r="Q53" s="159"/>
      <c r="R53" s="365"/>
    </row>
    <row r="54" spans="1:35" ht="14.1" customHeight="1" thickBot="1" x14ac:dyDescent="0.4">
      <c r="A54" s="230"/>
      <c r="B54" s="231"/>
      <c r="C54" s="231"/>
      <c r="D54" s="182" t="s">
        <v>598</v>
      </c>
      <c r="E54" s="182">
        <f>'Variable Management'!F98</f>
        <v>12.700000000000001</v>
      </c>
      <c r="F54" s="232" t="s">
        <v>116</v>
      </c>
      <c r="G54" s="184"/>
      <c r="H54" s="184"/>
      <c r="I54" s="127"/>
      <c r="J54" s="125"/>
      <c r="K54" s="179"/>
      <c r="L54" s="127"/>
      <c r="M54" s="170"/>
      <c r="N54" s="127"/>
      <c r="O54" s="127"/>
      <c r="P54" s="127"/>
      <c r="Q54" s="159"/>
      <c r="R54" s="365"/>
    </row>
    <row r="55" spans="1:35" ht="14.1" customHeight="1" x14ac:dyDescent="0.3">
      <c r="A55" s="183" t="s">
        <v>734</v>
      </c>
      <c r="B55" s="184"/>
      <c r="C55" s="184"/>
      <c r="D55" s="181"/>
      <c r="E55" s="197"/>
      <c r="F55" s="184"/>
      <c r="G55" s="184"/>
      <c r="H55" s="184"/>
      <c r="I55" s="127"/>
      <c r="J55" s="125"/>
      <c r="K55" s="179"/>
      <c r="L55" s="127"/>
      <c r="M55" s="170"/>
      <c r="N55" s="127"/>
      <c r="O55" s="127"/>
      <c r="P55" s="127"/>
      <c r="Q55" s="159"/>
      <c r="R55" s="365"/>
    </row>
    <row r="56" spans="1:35" ht="14.1" customHeight="1" x14ac:dyDescent="0.3">
      <c r="A56" s="272" t="s">
        <v>735</v>
      </c>
      <c r="B56" s="170"/>
      <c r="C56" s="170"/>
      <c r="D56" s="170"/>
      <c r="E56" s="170"/>
      <c r="F56" s="170"/>
      <c r="G56" s="184"/>
      <c r="H56" s="184"/>
      <c r="I56" s="127"/>
      <c r="J56" s="125"/>
      <c r="K56" s="179"/>
      <c r="L56" s="127"/>
      <c r="M56" s="170"/>
      <c r="N56" s="127"/>
      <c r="O56" s="127"/>
      <c r="P56" s="127"/>
      <c r="Q56" s="159"/>
      <c r="R56" s="365"/>
    </row>
    <row r="57" spans="1:35" ht="14.1" customHeight="1" x14ac:dyDescent="0.3">
      <c r="A57" s="277"/>
      <c r="B57" s="184"/>
      <c r="C57" s="184"/>
      <c r="D57" s="181"/>
      <c r="E57" s="197"/>
      <c r="F57" s="184"/>
      <c r="G57" s="184"/>
      <c r="H57" s="184"/>
      <c r="I57" s="127"/>
      <c r="J57" s="125"/>
      <c r="K57" s="179"/>
      <c r="L57" s="127"/>
      <c r="M57" s="170"/>
      <c r="N57" s="127"/>
      <c r="O57" s="127"/>
      <c r="P57" s="127"/>
      <c r="Q57" s="159"/>
      <c r="R57" s="365"/>
    </row>
    <row r="58" spans="1:35" ht="24.9" customHeight="1" thickBot="1" x14ac:dyDescent="0.35">
      <c r="A58" s="270" t="s">
        <v>459</v>
      </c>
      <c r="B58" s="199"/>
      <c r="C58" s="192"/>
      <c r="D58" s="192"/>
      <c r="E58" s="193"/>
      <c r="F58" s="192"/>
      <c r="G58" s="184"/>
      <c r="H58" s="184"/>
      <c r="I58" s="127"/>
      <c r="J58" s="127"/>
      <c r="K58" s="127"/>
      <c r="L58" s="127"/>
      <c r="M58" s="127"/>
      <c r="N58" s="127"/>
      <c r="O58" s="127"/>
      <c r="P58" s="127"/>
      <c r="Q58" s="159"/>
      <c r="R58" s="366"/>
      <c r="S58" s="85"/>
      <c r="T58" s="85"/>
      <c r="W58" s="85"/>
      <c r="X58" s="85"/>
      <c r="Y58" s="85"/>
      <c r="AB58" s="85"/>
      <c r="AC58" s="85"/>
      <c r="AD58" s="85"/>
      <c r="AG58" s="85"/>
      <c r="AH58" s="85"/>
      <c r="AI58" s="85"/>
    </row>
    <row r="59" spans="1:35" ht="14.1" customHeight="1" x14ac:dyDescent="0.3">
      <c r="A59" s="271"/>
      <c r="B59" s="224"/>
      <c r="C59" s="225"/>
      <c r="D59" s="225" t="s">
        <v>475</v>
      </c>
      <c r="E59" s="241">
        <f>Fo/1000</f>
        <v>5.0775136278873312</v>
      </c>
      <c r="F59" s="233" t="s">
        <v>3</v>
      </c>
      <c r="G59" s="184"/>
      <c r="H59" s="184"/>
      <c r="I59" s="127"/>
      <c r="J59" s="127"/>
      <c r="K59" s="127"/>
      <c r="L59" s="127"/>
      <c r="M59" s="127"/>
      <c r="N59" s="127"/>
      <c r="O59" s="127"/>
      <c r="P59" s="127"/>
      <c r="Q59" s="159"/>
      <c r="R59" s="366"/>
      <c r="S59" s="85"/>
      <c r="T59" s="85"/>
      <c r="W59" s="85"/>
      <c r="X59" s="85"/>
      <c r="Y59" s="85"/>
      <c r="AB59" s="85"/>
      <c r="AC59" s="85"/>
      <c r="AD59" s="85"/>
      <c r="AG59" s="85"/>
      <c r="AH59" s="85"/>
      <c r="AI59" s="85"/>
    </row>
    <row r="60" spans="1:35" ht="14.1" customHeight="1" x14ac:dyDescent="0.3">
      <c r="A60" s="183"/>
      <c r="B60" s="184"/>
      <c r="C60" s="181"/>
      <c r="D60" s="181" t="s">
        <v>476</v>
      </c>
      <c r="E60" s="217">
        <f>Fesr/1000</f>
        <v>120.5719267225427</v>
      </c>
      <c r="F60" s="234" t="s">
        <v>3</v>
      </c>
      <c r="G60" s="184"/>
      <c r="H60" s="184"/>
      <c r="I60" s="127"/>
      <c r="J60" s="127"/>
      <c r="K60" s="127"/>
      <c r="L60" s="127"/>
      <c r="M60" s="127"/>
      <c r="N60" s="127"/>
      <c r="O60" s="127"/>
      <c r="P60" s="127"/>
      <c r="Q60" s="159"/>
      <c r="R60" s="366"/>
      <c r="S60" s="85"/>
      <c r="T60" s="85"/>
      <c r="W60" s="85"/>
      <c r="X60" s="85"/>
      <c r="Y60" s="85"/>
      <c r="AB60" s="85"/>
      <c r="AC60" s="85"/>
      <c r="AD60" s="85"/>
      <c r="AG60" s="85"/>
      <c r="AH60" s="85"/>
      <c r="AI60" s="85"/>
    </row>
    <row r="61" spans="1:35" ht="14.1" customHeight="1" x14ac:dyDescent="0.3">
      <c r="A61" s="183"/>
      <c r="B61" s="184"/>
      <c r="C61" s="181"/>
      <c r="D61" s="180" t="s">
        <v>485</v>
      </c>
      <c r="E61" s="220">
        <v>30</v>
      </c>
      <c r="F61" s="405" t="s">
        <v>612</v>
      </c>
      <c r="G61" s="184"/>
      <c r="H61" s="184"/>
      <c r="I61" s="127"/>
      <c r="J61" s="127"/>
      <c r="K61" s="127"/>
      <c r="L61" s="127"/>
      <c r="M61" s="127"/>
      <c r="N61" s="127"/>
      <c r="O61" s="127"/>
      <c r="P61" s="127"/>
      <c r="Q61" s="159"/>
      <c r="R61" s="366"/>
      <c r="S61" s="85"/>
      <c r="T61" s="85"/>
      <c r="W61" s="85"/>
      <c r="X61" s="85"/>
      <c r="Y61" s="85"/>
      <c r="AB61" s="85"/>
      <c r="AC61" s="85"/>
      <c r="AD61" s="85"/>
      <c r="AG61" s="85"/>
      <c r="AH61" s="85"/>
      <c r="AI61" s="85"/>
    </row>
    <row r="62" spans="1:35" ht="14.1" customHeight="1" x14ac:dyDescent="0.3">
      <c r="A62" s="183"/>
      <c r="B62" s="184"/>
      <c r="C62" s="181"/>
      <c r="D62" s="181" t="s">
        <v>477</v>
      </c>
      <c r="E62" s="215">
        <f>Kmidband</f>
        <v>0.39389357598478109</v>
      </c>
      <c r="F62" s="234" t="s">
        <v>49</v>
      </c>
      <c r="G62" s="184"/>
      <c r="H62" s="184"/>
      <c r="I62" s="127"/>
      <c r="J62" s="127"/>
      <c r="K62" s="127"/>
      <c r="L62" s="127"/>
      <c r="M62" s="127"/>
      <c r="N62" s="127"/>
      <c r="O62" s="127"/>
      <c r="P62" s="127"/>
      <c r="Q62" s="159"/>
      <c r="R62" s="366"/>
      <c r="S62" s="85"/>
      <c r="T62" s="85"/>
      <c r="W62" s="85"/>
      <c r="X62" s="85"/>
      <c r="Y62" s="85"/>
      <c r="AB62" s="85"/>
      <c r="AC62" s="85"/>
      <c r="AD62" s="85"/>
      <c r="AG62" s="85"/>
      <c r="AH62" s="85"/>
      <c r="AI62" s="85"/>
    </row>
    <row r="63" spans="1:35" ht="15.9" customHeight="1" x14ac:dyDescent="0.35">
      <c r="A63" s="183"/>
      <c r="B63" s="184"/>
      <c r="C63" s="181"/>
      <c r="D63" s="180" t="s">
        <v>599</v>
      </c>
      <c r="E63" s="221">
        <v>22.1</v>
      </c>
      <c r="F63" s="229" t="s">
        <v>116</v>
      </c>
      <c r="G63" s="184"/>
      <c r="H63" s="184"/>
      <c r="I63" s="127"/>
      <c r="J63" s="127"/>
      <c r="K63" s="127"/>
      <c r="L63" s="127"/>
      <c r="M63" s="127"/>
      <c r="N63" s="127"/>
      <c r="O63" s="127"/>
      <c r="P63" s="127"/>
      <c r="Q63" s="159"/>
      <c r="R63" s="366"/>
      <c r="S63" s="85"/>
      <c r="T63" s="85"/>
      <c r="W63" s="85"/>
      <c r="X63" s="85"/>
      <c r="Y63" s="85"/>
      <c r="AB63" s="85"/>
      <c r="AC63" s="85"/>
      <c r="AD63" s="85"/>
      <c r="AG63" s="85"/>
      <c r="AH63" s="85"/>
      <c r="AI63" s="85"/>
    </row>
    <row r="64" spans="1:35" ht="15.9" customHeight="1" x14ac:dyDescent="0.35">
      <c r="A64" s="382"/>
      <c r="B64" s="184"/>
      <c r="C64" s="181"/>
      <c r="D64" s="181" t="s">
        <v>600</v>
      </c>
      <c r="E64" s="181">
        <f>IF(Vout=Vref,"OPEN",Rfb2_u/1000)</f>
        <v>4.12</v>
      </c>
      <c r="F64" s="234" t="str">
        <f>IF(Vout=Vref,"","kΩ")</f>
        <v>kΩ</v>
      </c>
      <c r="G64" s="184"/>
      <c r="H64" s="184"/>
      <c r="I64" s="127"/>
      <c r="J64" s="127"/>
      <c r="K64" s="127"/>
      <c r="L64" s="127"/>
      <c r="M64" s="127"/>
      <c r="N64" s="127"/>
      <c r="O64" s="127"/>
      <c r="P64" s="127"/>
      <c r="Q64" s="159"/>
      <c r="R64" s="366"/>
      <c r="S64" s="85"/>
      <c r="T64" s="85"/>
      <c r="W64" s="85"/>
      <c r="X64" s="85"/>
      <c r="Y64" s="85"/>
      <c r="AB64" s="85"/>
      <c r="AC64" s="85"/>
      <c r="AD64" s="85"/>
      <c r="AG64" s="85"/>
      <c r="AH64" s="85"/>
      <c r="AI64" s="85"/>
    </row>
    <row r="65" spans="1:35" ht="15.9" customHeight="1" thickBot="1" x14ac:dyDescent="0.4">
      <c r="A65" s="230"/>
      <c r="B65" s="280"/>
      <c r="C65" s="280"/>
      <c r="D65" s="399" t="s">
        <v>707</v>
      </c>
      <c r="E65" s="490">
        <f>'Variable Management'!B129</f>
        <v>5.0912621359223307</v>
      </c>
      <c r="F65" s="257" t="s">
        <v>0</v>
      </c>
      <c r="G65" s="184"/>
      <c r="H65" s="184"/>
      <c r="I65" s="127"/>
      <c r="J65" s="127"/>
      <c r="K65" s="127"/>
      <c r="L65" s="127"/>
      <c r="M65" s="127"/>
      <c r="N65" s="127"/>
      <c r="O65" s="127"/>
      <c r="P65" s="127"/>
      <c r="Q65" s="159"/>
      <c r="R65" s="366"/>
      <c r="S65" s="85"/>
      <c r="T65" s="85"/>
      <c r="W65" s="85"/>
      <c r="X65" s="85"/>
      <c r="Y65" s="85"/>
      <c r="AB65" s="85"/>
      <c r="AC65" s="85"/>
      <c r="AD65" s="85"/>
      <c r="AG65" s="85"/>
      <c r="AH65" s="85"/>
      <c r="AI65" s="85"/>
    </row>
    <row r="66" spans="1:35" ht="14.4" thickBot="1" x14ac:dyDescent="0.35">
      <c r="A66" s="183"/>
      <c r="B66" s="184"/>
      <c r="C66" s="181"/>
      <c r="D66" s="200"/>
      <c r="E66" s="201"/>
      <c r="F66" s="202"/>
      <c r="G66" s="184"/>
      <c r="H66" s="184"/>
      <c r="I66" s="127"/>
      <c r="J66" s="127"/>
      <c r="K66" s="127"/>
      <c r="L66" s="127"/>
      <c r="M66" s="127"/>
      <c r="N66" s="127"/>
      <c r="O66" s="127"/>
      <c r="P66" s="127"/>
      <c r="Q66" s="159"/>
      <c r="R66" s="366"/>
      <c r="S66" s="85"/>
      <c r="T66" s="85"/>
      <c r="W66" s="85"/>
      <c r="X66" s="85"/>
      <c r="Y66" s="85"/>
      <c r="AB66" s="85"/>
      <c r="AC66" s="85"/>
      <c r="AD66" s="85"/>
      <c r="AG66" s="85"/>
      <c r="AH66" s="85"/>
      <c r="AI66" s="85"/>
    </row>
    <row r="67" spans="1:35" ht="15.9" customHeight="1" x14ac:dyDescent="0.3">
      <c r="A67" s="348" t="s">
        <v>736</v>
      </c>
      <c r="B67" s="278"/>
      <c r="C67" s="278"/>
      <c r="D67" s="281" t="s">
        <v>537</v>
      </c>
      <c r="E67" s="282">
        <f>Fo/1000*0.7</f>
        <v>3.5542595395211314</v>
      </c>
      <c r="F67" s="284" t="str">
        <f>"      kHz  "</f>
        <v xml:space="preserve">      kHz  </v>
      </c>
      <c r="G67" s="204"/>
      <c r="H67" s="205"/>
      <c r="I67" s="127"/>
      <c r="J67" s="127"/>
      <c r="K67" s="127"/>
      <c r="L67" s="127"/>
      <c r="M67" s="127"/>
      <c r="N67" s="127"/>
      <c r="O67" s="127"/>
      <c r="P67" s="127"/>
      <c r="Q67" s="159"/>
      <c r="R67" s="366"/>
      <c r="S67" s="85"/>
      <c r="T67" s="85"/>
      <c r="W67" s="85"/>
      <c r="X67" s="85"/>
      <c r="Y67" s="85"/>
      <c r="AB67" s="85"/>
      <c r="AC67" s="85"/>
      <c r="AD67" s="85"/>
      <c r="AG67" s="85"/>
      <c r="AH67" s="85"/>
      <c r="AI67" s="85"/>
    </row>
    <row r="68" spans="1:35" ht="15.9" customHeight="1" x14ac:dyDescent="0.3">
      <c r="A68" s="355" t="str">
        <f>" Baseline P/Z Frequencies:"</f>
        <v xml:space="preserve"> Baseline P/Z Frequencies:</v>
      </c>
      <c r="B68" s="170"/>
      <c r="C68" s="170"/>
      <c r="D68" s="203" t="s">
        <v>538</v>
      </c>
      <c r="E68" s="222">
        <f>Fo/1000*0.9</f>
        <v>4.5697622650985981</v>
      </c>
      <c r="F68" s="240" t="str">
        <f>"      kHz"</f>
        <v xml:space="preserve">      kHz</v>
      </c>
      <c r="G68" s="204"/>
      <c r="H68" s="205"/>
      <c r="I68" s="127"/>
      <c r="J68" s="127"/>
      <c r="K68" s="127"/>
      <c r="L68" s="127"/>
      <c r="M68" s="127"/>
      <c r="N68" s="127"/>
      <c r="O68" s="127"/>
      <c r="P68" s="127"/>
      <c r="Q68" s="159"/>
      <c r="R68" s="366"/>
      <c r="S68" s="85"/>
      <c r="T68" s="85"/>
      <c r="W68" s="85"/>
      <c r="X68" s="85"/>
      <c r="Y68" s="85"/>
      <c r="AB68" s="85"/>
      <c r="AC68" s="85"/>
      <c r="AD68" s="85"/>
      <c r="AG68" s="85"/>
      <c r="AH68" s="85"/>
      <c r="AI68" s="85"/>
    </row>
    <row r="69" spans="1:35" ht="15.9" customHeight="1" x14ac:dyDescent="0.3">
      <c r="A69" s="277"/>
      <c r="B69" s="170"/>
      <c r="C69" s="170"/>
      <c r="D69" s="206" t="s">
        <v>535</v>
      </c>
      <c r="E69" s="223">
        <f>Fesr/1000</f>
        <v>120.5719267225427</v>
      </c>
      <c r="F69" s="240" t="str">
        <f>"      kHz"</f>
        <v xml:space="preserve">      kHz</v>
      </c>
      <c r="G69" s="207"/>
      <c r="H69" s="205"/>
      <c r="I69" s="127"/>
      <c r="J69" s="127"/>
      <c r="K69" s="127"/>
      <c r="L69" s="127"/>
      <c r="M69" s="127"/>
      <c r="N69" s="127"/>
      <c r="O69" s="127"/>
      <c r="P69" s="127"/>
      <c r="Q69" s="159"/>
      <c r="R69" s="366"/>
      <c r="S69" s="85"/>
      <c r="T69" s="85"/>
      <c r="W69" s="85"/>
      <c r="X69" s="85"/>
      <c r="Y69" s="85"/>
      <c r="AB69" s="85"/>
      <c r="AC69" s="85"/>
      <c r="AD69" s="85"/>
      <c r="AG69" s="85"/>
      <c r="AH69" s="85"/>
      <c r="AI69" s="85"/>
    </row>
    <row r="70" spans="1:35" ht="15.9" customHeight="1" thickBot="1" x14ac:dyDescent="0.35">
      <c r="A70" s="279"/>
      <c r="B70" s="280"/>
      <c r="C70" s="280"/>
      <c r="D70" s="267" t="s">
        <v>536</v>
      </c>
      <c r="E70" s="268">
        <f>Fsw/2000</f>
        <v>150</v>
      </c>
      <c r="F70" s="269" t="str">
        <f>"      kHz"</f>
        <v xml:space="preserve">      kHz</v>
      </c>
      <c r="G70" s="207"/>
      <c r="H70" s="205"/>
      <c r="I70" s="127"/>
      <c r="J70" s="127"/>
      <c r="K70" s="127"/>
      <c r="L70" s="127"/>
      <c r="M70" s="127"/>
      <c r="N70" s="127"/>
      <c r="O70" s="127"/>
      <c r="P70" s="127"/>
      <c r="Q70" s="159"/>
      <c r="R70" s="366"/>
      <c r="S70" s="85"/>
      <c r="T70" s="85"/>
      <c r="W70" s="85"/>
      <c r="X70" s="85"/>
      <c r="Y70" s="85"/>
      <c r="AB70" s="85"/>
      <c r="AC70" s="85"/>
      <c r="AD70" s="85"/>
      <c r="AG70" s="85"/>
      <c r="AH70" s="85"/>
      <c r="AI70" s="85"/>
    </row>
    <row r="71" spans="1:35" ht="15.75" customHeight="1" x14ac:dyDescent="0.3">
      <c r="A71" s="273"/>
      <c r="B71" s="208"/>
      <c r="C71" s="209"/>
      <c r="D71" s="194"/>
      <c r="E71" s="194"/>
      <c r="F71" s="194"/>
      <c r="G71" s="207"/>
      <c r="H71" s="205"/>
      <c r="I71" s="127"/>
      <c r="J71" s="127"/>
      <c r="K71" s="127"/>
      <c r="L71" s="127"/>
      <c r="M71" s="127"/>
      <c r="N71" s="127"/>
      <c r="O71" s="127"/>
      <c r="P71" s="127"/>
      <c r="Q71" s="159"/>
      <c r="R71" s="366"/>
      <c r="S71" s="85"/>
      <c r="T71" s="85"/>
      <c r="W71" s="85"/>
      <c r="X71" s="85"/>
      <c r="Y71" s="85"/>
      <c r="AB71" s="85"/>
      <c r="AC71" s="85"/>
      <c r="AD71" s="85"/>
      <c r="AG71" s="85"/>
      <c r="AH71" s="85"/>
      <c r="AI71" s="85"/>
    </row>
    <row r="72" spans="1:35" ht="18" customHeight="1" x14ac:dyDescent="0.3">
      <c r="A72" s="195" t="s">
        <v>444</v>
      </c>
      <c r="B72" s="210"/>
      <c r="C72" s="181"/>
      <c r="D72" s="200"/>
      <c r="E72" s="201"/>
      <c r="F72" s="202"/>
      <c r="G72" s="211"/>
      <c r="H72" s="184"/>
      <c r="I72" s="127"/>
      <c r="J72" s="127"/>
      <c r="K72" s="127"/>
      <c r="L72" s="127"/>
      <c r="M72" s="127"/>
      <c r="N72" s="127"/>
      <c r="O72" s="127"/>
      <c r="P72" s="127"/>
      <c r="Q72" s="159"/>
      <c r="R72" s="366"/>
      <c r="S72" s="285"/>
      <c r="T72" s="285"/>
      <c r="U72" s="286"/>
      <c r="V72" s="286"/>
      <c r="W72" s="285"/>
      <c r="X72" s="285"/>
      <c r="Y72" s="285"/>
      <c r="Z72" s="286"/>
      <c r="AA72" s="286"/>
      <c r="AB72" s="285"/>
      <c r="AC72" s="285"/>
      <c r="AD72" s="285"/>
      <c r="AE72" s="286"/>
      <c r="AF72" s="286"/>
      <c r="AG72" s="85"/>
      <c r="AH72" s="85"/>
      <c r="AI72" s="85"/>
    </row>
    <row r="73" spans="1:35" s="298" customFormat="1" ht="13.5" customHeight="1" thickBot="1" x14ac:dyDescent="0.35">
      <c r="A73" s="300"/>
      <c r="B73" s="301" t="s">
        <v>460</v>
      </c>
      <c r="C73" s="304" t="s">
        <v>443</v>
      </c>
      <c r="D73" s="302" t="str">
        <f>"    Selected"</f>
        <v xml:space="preserve">    Selected</v>
      </c>
      <c r="E73" s="303"/>
      <c r="F73" s="514" t="s">
        <v>445</v>
      </c>
      <c r="G73" s="514"/>
      <c r="H73" s="514"/>
      <c r="I73" s="293"/>
      <c r="J73" s="293"/>
      <c r="K73" s="293"/>
      <c r="L73" s="293"/>
      <c r="M73" s="293"/>
      <c r="N73" s="293"/>
      <c r="O73" s="293"/>
      <c r="P73" s="293"/>
      <c r="Q73" s="294"/>
      <c r="R73" s="367"/>
      <c r="S73" s="295"/>
      <c r="T73" s="295"/>
      <c r="U73" s="296"/>
      <c r="V73" s="296"/>
      <c r="W73" s="295"/>
      <c r="X73" s="295"/>
      <c r="Y73" s="295"/>
      <c r="Z73" s="296"/>
      <c r="AA73" s="296"/>
      <c r="AB73" s="295"/>
      <c r="AC73" s="295"/>
      <c r="AD73" s="295"/>
      <c r="AE73" s="296"/>
      <c r="AF73" s="296"/>
      <c r="AG73" s="297"/>
      <c r="AH73" s="297"/>
      <c r="AI73" s="297"/>
    </row>
    <row r="74" spans="1:35" ht="15.6" x14ac:dyDescent="0.35">
      <c r="A74" s="248" t="s">
        <v>448</v>
      </c>
      <c r="B74" s="264">
        <f>Rcea1/1000</f>
        <v>8.7050480292636614</v>
      </c>
      <c r="C74" s="242">
        <f>'Standard Value Calculator'!S27</f>
        <v>8.66</v>
      </c>
      <c r="D74" s="243">
        <f>C74</f>
        <v>8.66</v>
      </c>
      <c r="E74" s="244" t="s">
        <v>116</v>
      </c>
      <c r="F74" s="246">
        <f>Fz1_u/1000</f>
        <v>3.9102487168629652</v>
      </c>
      <c r="G74" s="263" t="s">
        <v>449</v>
      </c>
      <c r="H74" s="194"/>
      <c r="I74" s="127"/>
      <c r="J74" s="127"/>
      <c r="K74" s="127"/>
      <c r="L74" s="127"/>
      <c r="M74" s="127"/>
      <c r="N74" s="127"/>
      <c r="O74" s="127"/>
      <c r="P74" s="127"/>
      <c r="Q74" s="159"/>
      <c r="R74" s="366"/>
      <c r="S74" s="285"/>
      <c r="T74" s="285"/>
      <c r="U74" s="286"/>
      <c r="V74" s="286"/>
      <c r="W74" s="285"/>
      <c r="X74" s="285"/>
      <c r="Y74" s="285"/>
      <c r="Z74" s="286"/>
      <c r="AA74" s="286"/>
      <c r="AB74" s="285"/>
      <c r="AC74" s="285"/>
      <c r="AD74" s="285"/>
      <c r="AE74" s="286"/>
      <c r="AF74" s="286"/>
      <c r="AG74" s="85"/>
      <c r="AH74" s="85"/>
      <c r="AI74" s="85"/>
    </row>
    <row r="75" spans="1:35" ht="15.6" x14ac:dyDescent="0.35">
      <c r="A75" s="249" t="s">
        <v>450</v>
      </c>
      <c r="B75" s="265">
        <f>Cc1ea*1000000000000</f>
        <v>5143.9865311492049</v>
      </c>
      <c r="C75" s="205">
        <f>'Standard Value Calculator'!S28</f>
        <v>4700</v>
      </c>
      <c r="D75" s="212">
        <f>C75</f>
        <v>4700</v>
      </c>
      <c r="E75" s="245" t="s">
        <v>53</v>
      </c>
      <c r="F75" s="247">
        <f>Fz2_u/1000</f>
        <v>4.6200163509465106</v>
      </c>
      <c r="G75" s="240" t="s">
        <v>451</v>
      </c>
      <c r="H75" s="194"/>
      <c r="I75" s="127"/>
      <c r="J75" s="127"/>
      <c r="K75" s="127"/>
      <c r="L75" s="127"/>
      <c r="M75" s="127"/>
      <c r="N75" s="127"/>
      <c r="O75" s="127"/>
      <c r="P75" s="127"/>
      <c r="Q75" s="159"/>
      <c r="R75" s="366"/>
      <c r="S75" s="285"/>
      <c r="T75" s="285"/>
      <c r="U75" s="286"/>
      <c r="V75" s="286"/>
      <c r="W75" s="285"/>
      <c r="X75" s="285"/>
      <c r="Y75" s="285"/>
      <c r="Z75" s="286"/>
      <c r="AA75" s="286"/>
      <c r="AB75" s="285"/>
      <c r="AC75" s="285"/>
      <c r="AD75" s="285"/>
      <c r="AE75" s="286"/>
      <c r="AF75" s="286"/>
      <c r="AG75" s="85"/>
      <c r="AH75" s="85"/>
      <c r="AI75" s="85"/>
    </row>
    <row r="76" spans="1:35" ht="15.6" x14ac:dyDescent="0.35">
      <c r="A76" s="249" t="s">
        <v>452</v>
      </c>
      <c r="B76" s="265">
        <f>Cc2ea*1000000000000</f>
        <v>124.84530544908066</v>
      </c>
      <c r="C76" s="205">
        <f>'Standard Value Calculator'!S29</f>
        <v>120</v>
      </c>
      <c r="D76" s="212">
        <f>C76</f>
        <v>120</v>
      </c>
      <c r="E76" s="245" t="s">
        <v>53</v>
      </c>
      <c r="F76" s="423">
        <f>Fp1_u/1000</f>
        <v>122.52112646170623</v>
      </c>
      <c r="G76" s="240" t="s">
        <v>453</v>
      </c>
      <c r="H76" s="194"/>
      <c r="I76" s="127"/>
      <c r="J76" s="127"/>
      <c r="K76" s="127"/>
      <c r="L76" s="127"/>
      <c r="M76" s="127"/>
      <c r="N76" s="127"/>
      <c r="O76" s="127"/>
      <c r="P76" s="127"/>
      <c r="Q76" s="159"/>
      <c r="R76" s="366"/>
      <c r="S76" s="285"/>
      <c r="T76" s="285"/>
      <c r="U76" s="286"/>
      <c r="V76" s="286"/>
      <c r="W76" s="285"/>
      <c r="X76" s="285"/>
      <c r="Y76" s="285"/>
      <c r="Z76" s="286"/>
      <c r="AA76" s="286"/>
      <c r="AB76" s="285"/>
      <c r="AC76" s="285"/>
      <c r="AD76" s="285"/>
      <c r="AE76" s="286"/>
      <c r="AF76" s="286"/>
      <c r="AG76" s="85"/>
      <c r="AH76" s="85"/>
      <c r="AI76" s="85"/>
    </row>
    <row r="77" spans="1:35" ht="16.2" customHeight="1" x14ac:dyDescent="0.35">
      <c r="A77" s="249" t="s">
        <v>454</v>
      </c>
      <c r="B77" s="265">
        <f>Rcea2</f>
        <v>870.60225583746148</v>
      </c>
      <c r="C77" s="205">
        <f>'Standard Value Calculator'!S30</f>
        <v>866</v>
      </c>
      <c r="D77" s="212">
        <f>C77</f>
        <v>866</v>
      </c>
      <c r="E77" s="245" t="s">
        <v>274</v>
      </c>
      <c r="F77" s="423">
        <f>Fp2_u/1000</f>
        <v>157.06165679399575</v>
      </c>
      <c r="G77" s="240" t="s">
        <v>455</v>
      </c>
      <c r="H77" s="194"/>
      <c r="I77" s="127"/>
      <c r="J77" s="127"/>
      <c r="K77" s="127"/>
      <c r="L77" s="127"/>
      <c r="M77" s="127"/>
      <c r="N77" s="127"/>
      <c r="O77" s="127"/>
      <c r="P77" s="127"/>
      <c r="Q77" s="159"/>
      <c r="R77" s="366"/>
      <c r="S77" s="285"/>
      <c r="T77" s="285"/>
      <c r="U77" s="286"/>
      <c r="V77" s="286"/>
      <c r="W77" s="285"/>
      <c r="X77" s="285"/>
      <c r="Y77" s="285"/>
      <c r="Z77" s="286"/>
      <c r="AA77" s="286"/>
      <c r="AB77" s="285"/>
      <c r="AC77" s="285"/>
      <c r="AD77" s="285"/>
      <c r="AE77" s="286"/>
      <c r="AF77" s="286"/>
      <c r="AG77" s="85"/>
      <c r="AH77" s="85"/>
      <c r="AI77" s="85"/>
    </row>
    <row r="78" spans="1:35" ht="15" customHeight="1" thickBot="1" x14ac:dyDescent="0.4">
      <c r="A78" s="274" t="s">
        <v>456</v>
      </c>
      <c r="B78" s="266">
        <f>Cc3ea*1000000000000</f>
        <v>1516.191798435266</v>
      </c>
      <c r="C78" s="258">
        <f>'Standard Value Calculator'!S31</f>
        <v>1500</v>
      </c>
      <c r="D78" s="259">
        <f>C78</f>
        <v>1500</v>
      </c>
      <c r="E78" s="260" t="s">
        <v>53</v>
      </c>
      <c r="F78" s="261"/>
      <c r="G78" s="262"/>
      <c r="H78" s="194"/>
      <c r="I78" s="127"/>
      <c r="J78" s="127"/>
      <c r="K78" s="127"/>
      <c r="L78" s="180" t="s">
        <v>745</v>
      </c>
      <c r="M78" s="185">
        <v>0.4</v>
      </c>
      <c r="N78" s="192" t="s">
        <v>208</v>
      </c>
      <c r="O78" s="127"/>
      <c r="P78" s="127"/>
      <c r="Q78" s="159"/>
      <c r="R78" s="366"/>
      <c r="S78" s="285"/>
      <c r="T78" s="285"/>
      <c r="U78" s="286"/>
      <c r="V78" s="286"/>
      <c r="W78" s="285"/>
      <c r="X78" s="285"/>
      <c r="Y78" s="285"/>
      <c r="Z78" s="286"/>
      <c r="AA78" s="286"/>
      <c r="AB78" s="285"/>
      <c r="AC78" s="285"/>
      <c r="AD78" s="285"/>
      <c r="AE78" s="286"/>
      <c r="AF78" s="286"/>
      <c r="AG78" s="85"/>
      <c r="AH78" s="85"/>
      <c r="AI78" s="85"/>
    </row>
    <row r="79" spans="1:35" ht="14.4" thickBot="1" x14ac:dyDescent="0.35">
      <c r="A79" s="183"/>
      <c r="B79" s="181"/>
      <c r="C79" s="181"/>
      <c r="D79" s="184"/>
      <c r="E79" s="184"/>
      <c r="F79" s="184"/>
      <c r="G79" s="184"/>
      <c r="H79" s="184"/>
      <c r="I79" s="127"/>
      <c r="J79" s="127"/>
      <c r="K79" s="127"/>
      <c r="L79" s="127"/>
      <c r="M79" s="127"/>
      <c r="N79" s="127"/>
      <c r="O79" s="127"/>
      <c r="P79" s="127"/>
      <c r="Q79" s="159"/>
      <c r="R79" s="366"/>
      <c r="S79" s="285"/>
      <c r="T79" s="285"/>
      <c r="U79" s="286"/>
      <c r="V79" s="286"/>
      <c r="W79" s="285"/>
      <c r="X79" s="285"/>
      <c r="Y79" s="285"/>
      <c r="Z79" s="286"/>
      <c r="AA79" s="286"/>
      <c r="AB79" s="285"/>
      <c r="AC79" s="285"/>
      <c r="AD79" s="285"/>
      <c r="AE79" s="286"/>
      <c r="AF79" s="286"/>
      <c r="AG79" s="85"/>
      <c r="AH79" s="85"/>
      <c r="AI79" s="85"/>
    </row>
    <row r="80" spans="1:35" s="130" customFormat="1" ht="18" thickBot="1" x14ac:dyDescent="0.35">
      <c r="A80" s="275" t="s">
        <v>458</v>
      </c>
      <c r="B80" s="198"/>
      <c r="C80" s="213"/>
      <c r="D80" s="213"/>
      <c r="E80" s="213"/>
      <c r="F80" s="213"/>
      <c r="G80" s="213"/>
      <c r="H80" s="213"/>
      <c r="I80" s="128"/>
      <c r="J80" s="128"/>
      <c r="K80" s="128"/>
      <c r="L80" s="128"/>
      <c r="M80" s="128"/>
      <c r="N80" s="128"/>
      <c r="O80" s="128"/>
      <c r="P80" s="128"/>
      <c r="Q80" s="129"/>
      <c r="R80" s="368"/>
      <c r="S80" s="287"/>
      <c r="T80" s="287"/>
      <c r="U80" s="288"/>
      <c r="V80" s="288"/>
      <c r="W80" s="287"/>
      <c r="X80" s="287"/>
      <c r="Y80" s="287"/>
      <c r="Z80" s="288"/>
      <c r="AA80" s="288"/>
      <c r="AB80" s="287"/>
      <c r="AC80" s="287"/>
      <c r="AD80" s="287"/>
      <c r="AE80" s="288"/>
      <c r="AF80" s="288"/>
      <c r="AG80" s="86"/>
      <c r="AH80" s="86"/>
      <c r="AI80" s="86"/>
    </row>
    <row r="81" spans="1:35" x14ac:dyDescent="0.3">
      <c r="A81" s="272"/>
      <c r="B81" s="194"/>
      <c r="C81" s="184"/>
      <c r="D81" s="184"/>
      <c r="E81" s="184"/>
      <c r="F81" s="184"/>
      <c r="G81" s="184"/>
      <c r="H81" s="184"/>
      <c r="I81" s="127"/>
      <c r="J81" s="127"/>
      <c r="K81" s="127"/>
      <c r="L81" s="127"/>
      <c r="M81" s="127"/>
      <c r="N81" s="127"/>
      <c r="O81" s="127"/>
      <c r="P81" s="127"/>
      <c r="Q81" s="159"/>
      <c r="R81" s="366"/>
      <c r="S81" s="285"/>
      <c r="T81" s="285"/>
      <c r="U81" s="286"/>
      <c r="V81" s="286"/>
      <c r="W81" s="285"/>
      <c r="X81" s="285"/>
      <c r="Y81" s="285"/>
      <c r="Z81" s="286"/>
      <c r="AA81" s="286"/>
      <c r="AB81" s="285"/>
      <c r="AC81" s="285"/>
      <c r="AD81" s="285"/>
      <c r="AE81" s="286"/>
      <c r="AF81" s="286"/>
      <c r="AG81" s="85"/>
      <c r="AH81" s="85"/>
      <c r="AI81" s="85"/>
    </row>
    <row r="82" spans="1:35" ht="17.399999999999999" x14ac:dyDescent="0.3">
      <c r="A82" s="214" t="s">
        <v>362</v>
      </c>
      <c r="B82" s="191"/>
      <c r="C82" s="184"/>
      <c r="D82" s="184"/>
      <c r="E82" s="184"/>
      <c r="F82" s="184"/>
      <c r="G82" s="184"/>
      <c r="H82" s="184"/>
      <c r="I82" s="127"/>
      <c r="J82" s="127"/>
      <c r="K82" s="127"/>
      <c r="L82" s="127"/>
      <c r="M82" s="127"/>
      <c r="N82" s="127"/>
      <c r="O82" s="127"/>
      <c r="P82" s="127"/>
      <c r="Q82" s="159"/>
      <c r="R82" s="366"/>
      <c r="S82" s="285"/>
      <c r="T82" s="285"/>
      <c r="U82" s="286"/>
      <c r="V82" s="286"/>
      <c r="W82" s="285"/>
      <c r="X82" s="285"/>
      <c r="Y82" s="285"/>
      <c r="Z82" s="286"/>
      <c r="AA82" s="286"/>
      <c r="AB82" s="285"/>
      <c r="AC82" s="285"/>
      <c r="AD82" s="285"/>
      <c r="AE82" s="286"/>
      <c r="AF82" s="286"/>
      <c r="AG82" s="85"/>
      <c r="AH82" s="85"/>
      <c r="AI82" s="85"/>
    </row>
    <row r="83" spans="1:35" ht="13.5" customHeight="1" thickBot="1" x14ac:dyDescent="0.35">
      <c r="A83" s="183"/>
      <c r="B83" s="184"/>
      <c r="C83" s="184"/>
      <c r="D83" s="184"/>
      <c r="E83" s="184"/>
      <c r="F83" s="184"/>
      <c r="G83" s="184"/>
      <c r="H83" s="184"/>
      <c r="I83" s="127"/>
      <c r="J83" s="127"/>
      <c r="K83" s="127"/>
      <c r="L83" s="127"/>
      <c r="M83" s="127"/>
      <c r="N83" s="127"/>
      <c r="O83" s="127"/>
      <c r="P83" s="127"/>
      <c r="Q83" s="159"/>
      <c r="R83" s="366"/>
      <c r="S83" s="285"/>
      <c r="T83" s="178"/>
      <c r="U83" s="178"/>
      <c r="V83" s="286"/>
      <c r="W83" s="285"/>
      <c r="X83" s="285"/>
      <c r="Y83" s="285"/>
      <c r="Z83" s="286"/>
      <c r="AA83" s="286"/>
      <c r="AB83" s="285"/>
      <c r="AC83" s="285"/>
      <c r="AD83" s="285"/>
      <c r="AE83" s="286"/>
      <c r="AF83" s="286"/>
      <c r="AG83" s="85"/>
      <c r="AH83" s="85"/>
      <c r="AI83" s="85"/>
    </row>
    <row r="84" spans="1:35" ht="18" customHeight="1" x14ac:dyDescent="0.35">
      <c r="A84" s="250"/>
      <c r="B84" s="251"/>
      <c r="C84" s="252"/>
      <c r="D84" s="299" t="s">
        <v>533</v>
      </c>
      <c r="E84" s="353" t="s">
        <v>773</v>
      </c>
      <c r="F84" s="253"/>
      <c r="G84" s="184"/>
      <c r="H84" s="184"/>
      <c r="I84" s="127"/>
      <c r="J84" s="127"/>
      <c r="K84" s="127"/>
      <c r="L84" s="127"/>
      <c r="M84" s="127"/>
      <c r="N84" s="127"/>
      <c r="O84" s="127"/>
      <c r="P84" s="127"/>
      <c r="Q84" s="159"/>
      <c r="R84" s="366"/>
      <c r="S84" s="285"/>
      <c r="T84" s="178"/>
      <c r="U84" s="178"/>
      <c r="V84" s="286"/>
      <c r="W84" s="285"/>
      <c r="X84" s="285"/>
      <c r="Y84" s="285"/>
      <c r="Z84" s="286"/>
      <c r="AA84" s="286"/>
      <c r="AB84" s="285"/>
      <c r="AC84" s="285"/>
      <c r="AD84" s="285"/>
      <c r="AE84" s="286"/>
      <c r="AF84" s="286"/>
      <c r="AG84" s="85"/>
      <c r="AH84" s="85"/>
      <c r="AI84" s="85"/>
    </row>
    <row r="85" spans="1:35" ht="14.4" customHeight="1" x14ac:dyDescent="0.35">
      <c r="A85" s="183"/>
      <c r="B85" s="184"/>
      <c r="C85" s="192"/>
      <c r="D85" s="180" t="s">
        <v>549</v>
      </c>
      <c r="E85" s="185">
        <v>6</v>
      </c>
      <c r="F85" s="234" t="s">
        <v>115</v>
      </c>
      <c r="G85" s="184"/>
      <c r="H85" s="184"/>
      <c r="I85" s="127"/>
      <c r="J85" s="127"/>
      <c r="K85" s="127"/>
      <c r="L85" s="127"/>
      <c r="M85" s="127"/>
      <c r="N85" s="127"/>
      <c r="O85" s="127"/>
      <c r="P85" s="127"/>
      <c r="Q85" s="159"/>
      <c r="R85" s="366"/>
      <c r="S85" s="285"/>
      <c r="T85" s="178"/>
      <c r="U85" s="178"/>
      <c r="V85" s="286"/>
      <c r="W85" s="285"/>
      <c r="X85" s="285"/>
      <c r="Y85" s="285"/>
      <c r="Z85" s="286"/>
      <c r="AA85" s="286"/>
      <c r="AB85" s="285"/>
      <c r="AC85" s="285"/>
      <c r="AD85" s="285"/>
      <c r="AE85" s="286"/>
      <c r="AF85" s="286"/>
      <c r="AG85" s="85"/>
      <c r="AH85" s="85"/>
      <c r="AI85" s="85"/>
    </row>
    <row r="86" spans="1:35" ht="14.4" customHeight="1" x14ac:dyDescent="0.35">
      <c r="A86" s="183"/>
      <c r="B86" s="184"/>
      <c r="C86" s="192"/>
      <c r="D86" s="180" t="s">
        <v>550</v>
      </c>
      <c r="E86" s="185">
        <v>11.5</v>
      </c>
      <c r="F86" s="234" t="s">
        <v>136</v>
      </c>
      <c r="G86" s="184"/>
      <c r="H86" s="184"/>
      <c r="I86" s="127"/>
      <c r="J86" s="127"/>
      <c r="K86" s="127"/>
      <c r="L86" s="127"/>
      <c r="M86" s="127"/>
      <c r="N86" s="127"/>
      <c r="O86" s="127"/>
      <c r="P86" s="127"/>
      <c r="Q86" s="159"/>
      <c r="R86" s="366"/>
      <c r="S86" s="285"/>
      <c r="T86" s="178"/>
      <c r="U86" s="178"/>
      <c r="V86" s="286"/>
      <c r="W86" s="285"/>
      <c r="X86" s="285"/>
      <c r="Y86" s="285"/>
      <c r="Z86" s="286"/>
      <c r="AA86" s="286"/>
      <c r="AB86" s="285"/>
      <c r="AC86" s="285"/>
      <c r="AD86" s="285"/>
      <c r="AE86" s="286"/>
      <c r="AF86" s="286"/>
      <c r="AG86" s="85"/>
      <c r="AH86" s="85"/>
      <c r="AI86" s="85"/>
    </row>
    <row r="87" spans="1:35" ht="14.4" customHeight="1" x14ac:dyDescent="0.35">
      <c r="A87" s="183"/>
      <c r="B87" s="184"/>
      <c r="C87" s="192"/>
      <c r="D87" s="180" t="s">
        <v>551</v>
      </c>
      <c r="E87" s="185">
        <v>2.9</v>
      </c>
      <c r="F87" s="234" t="s">
        <v>136</v>
      </c>
      <c r="G87" s="184"/>
      <c r="H87" s="184"/>
      <c r="I87" s="127"/>
      <c r="J87" s="127"/>
      <c r="K87" s="127"/>
      <c r="L87" s="127"/>
      <c r="M87" s="127"/>
      <c r="N87" s="127"/>
      <c r="O87" s="127"/>
      <c r="P87" s="127"/>
      <c r="Q87" s="159"/>
      <c r="R87" s="366"/>
      <c r="S87" s="285"/>
      <c r="T87" s="178"/>
      <c r="U87" s="178"/>
      <c r="V87" s="286"/>
      <c r="W87" s="285"/>
      <c r="X87" s="285"/>
      <c r="Y87" s="285"/>
      <c r="Z87" s="286"/>
      <c r="AA87" s="286"/>
      <c r="AB87" s="285"/>
      <c r="AC87" s="285"/>
      <c r="AD87" s="285"/>
      <c r="AE87" s="286"/>
      <c r="AF87" s="286"/>
      <c r="AG87" s="85"/>
      <c r="AH87" s="85"/>
      <c r="AI87" s="85"/>
    </row>
    <row r="88" spans="1:35" ht="14.4" customHeight="1" x14ac:dyDescent="0.35">
      <c r="A88" s="183"/>
      <c r="B88" s="184"/>
      <c r="C88" s="192"/>
      <c r="D88" s="180" t="s">
        <v>552</v>
      </c>
      <c r="E88" s="185">
        <v>3.3</v>
      </c>
      <c r="F88" s="234" t="s">
        <v>136</v>
      </c>
      <c r="G88" s="184"/>
      <c r="H88" s="184"/>
      <c r="I88" s="127"/>
      <c r="J88" s="127"/>
      <c r="K88" s="127"/>
      <c r="L88" s="127"/>
      <c r="M88" s="127"/>
      <c r="N88" s="127"/>
      <c r="O88" s="127"/>
      <c r="P88" s="127"/>
      <c r="Q88" s="159"/>
      <c r="R88" s="366"/>
      <c r="S88" s="285"/>
      <c r="T88" s="178"/>
      <c r="U88" s="178"/>
      <c r="V88" s="286"/>
      <c r="W88" s="285"/>
      <c r="X88" s="285"/>
      <c r="Y88" s="285"/>
      <c r="Z88" s="286"/>
      <c r="AA88" s="286"/>
      <c r="AB88" s="285"/>
      <c r="AC88" s="285"/>
      <c r="AD88" s="285"/>
      <c r="AE88" s="286"/>
      <c r="AF88" s="286"/>
      <c r="AG88" s="85"/>
      <c r="AH88" s="85"/>
      <c r="AI88" s="85"/>
    </row>
    <row r="89" spans="1:35" ht="14.4" customHeight="1" x14ac:dyDescent="0.35">
      <c r="A89" s="183"/>
      <c r="B89" s="184"/>
      <c r="C89" s="192"/>
      <c r="D89" s="180" t="s">
        <v>725</v>
      </c>
      <c r="E89" s="185">
        <v>280</v>
      </c>
      <c r="F89" s="234" t="s">
        <v>53</v>
      </c>
      <c r="G89" s="184"/>
      <c r="H89" s="184"/>
      <c r="I89" s="127"/>
      <c r="J89" s="127"/>
      <c r="K89" s="127"/>
      <c r="L89" s="127"/>
      <c r="M89" s="127"/>
      <c r="N89" s="127"/>
      <c r="O89" s="127"/>
      <c r="P89" s="127"/>
      <c r="Q89" s="159"/>
      <c r="R89" s="366"/>
      <c r="S89" s="285"/>
      <c r="T89" s="178"/>
      <c r="U89" s="178"/>
      <c r="V89" s="286"/>
      <c r="W89" s="285"/>
      <c r="X89" s="285"/>
      <c r="Y89" s="285"/>
      <c r="Z89" s="286"/>
      <c r="AA89" s="286"/>
      <c r="AB89" s="285"/>
      <c r="AC89" s="285"/>
      <c r="AD89" s="285"/>
      <c r="AE89" s="286"/>
      <c r="AF89" s="286"/>
      <c r="AG89" s="85"/>
      <c r="AH89" s="85"/>
      <c r="AI89" s="85"/>
    </row>
    <row r="90" spans="1:35" ht="14.4" customHeight="1" x14ac:dyDescent="0.35">
      <c r="A90" s="183"/>
      <c r="B90" s="184"/>
      <c r="C90" s="192"/>
      <c r="D90" s="180" t="s">
        <v>553</v>
      </c>
      <c r="E90" s="185">
        <v>1.5</v>
      </c>
      <c r="F90" s="234" t="s">
        <v>274</v>
      </c>
      <c r="G90" s="184"/>
      <c r="H90" s="184"/>
      <c r="I90" s="127"/>
      <c r="J90" s="127"/>
      <c r="K90" s="127"/>
      <c r="L90" s="127"/>
      <c r="M90" s="127"/>
      <c r="N90" s="127"/>
      <c r="O90" s="127"/>
      <c r="P90" s="127"/>
      <c r="Q90" s="159"/>
      <c r="R90" s="366"/>
      <c r="S90" s="285"/>
      <c r="T90" s="178"/>
      <c r="U90" s="178"/>
      <c r="V90" s="286"/>
      <c r="W90" s="285"/>
      <c r="X90" s="285"/>
      <c r="Y90" s="285"/>
      <c r="Z90" s="286"/>
      <c r="AA90" s="286"/>
      <c r="AB90" s="285"/>
      <c r="AC90" s="285"/>
      <c r="AD90" s="285"/>
      <c r="AE90" s="286"/>
      <c r="AF90" s="286"/>
      <c r="AG90" s="85"/>
      <c r="AH90" s="85"/>
      <c r="AI90" s="85"/>
    </row>
    <row r="91" spans="1:35" ht="14.4" customHeight="1" x14ac:dyDescent="0.35">
      <c r="A91" s="183"/>
      <c r="B91" s="184"/>
      <c r="C91" s="192"/>
      <c r="D91" s="180" t="s">
        <v>554</v>
      </c>
      <c r="E91" s="185">
        <v>100</v>
      </c>
      <c r="F91" s="234" t="s">
        <v>137</v>
      </c>
      <c r="G91" s="184"/>
      <c r="H91" s="184"/>
      <c r="I91" s="127"/>
      <c r="J91" s="127"/>
      <c r="K91" s="127"/>
      <c r="L91" s="127"/>
      <c r="M91" s="127"/>
      <c r="N91" s="127"/>
      <c r="O91" s="127"/>
      <c r="P91" s="127"/>
      <c r="Q91" s="159"/>
      <c r="R91" s="366"/>
      <c r="S91" s="285"/>
      <c r="T91" s="178"/>
      <c r="U91" s="178"/>
      <c r="V91" s="286"/>
      <c r="W91" s="285"/>
      <c r="X91" s="285"/>
      <c r="Y91" s="285"/>
      <c r="Z91" s="286"/>
      <c r="AA91" s="286"/>
      <c r="AB91" s="285"/>
      <c r="AC91" s="285"/>
      <c r="AD91" s="285"/>
      <c r="AE91" s="286"/>
      <c r="AF91" s="286"/>
      <c r="AG91" s="85"/>
      <c r="AH91" s="85"/>
      <c r="AI91" s="85"/>
    </row>
    <row r="92" spans="1:35" ht="14.4" customHeight="1" x14ac:dyDescent="0.35">
      <c r="A92" s="183"/>
      <c r="B92" s="184"/>
      <c r="C92" s="192"/>
      <c r="D92" s="180" t="s">
        <v>772</v>
      </c>
      <c r="E92" s="185">
        <v>3.2</v>
      </c>
      <c r="F92" s="234" t="s">
        <v>0</v>
      </c>
      <c r="G92" s="184"/>
      <c r="H92" s="184"/>
      <c r="I92" s="127"/>
      <c r="J92" s="127"/>
      <c r="K92" s="127"/>
      <c r="L92" s="127"/>
      <c r="M92" s="127"/>
      <c r="N92" s="127"/>
      <c r="O92" s="127"/>
      <c r="P92" s="127"/>
      <c r="Q92" s="159"/>
      <c r="R92" s="366"/>
      <c r="S92" s="285"/>
      <c r="T92" s="178"/>
      <c r="U92" s="178"/>
      <c r="V92" s="286"/>
      <c r="W92" s="285"/>
      <c r="X92" s="285"/>
      <c r="Y92" s="285"/>
      <c r="Z92" s="286"/>
      <c r="AA92" s="286"/>
      <c r="AB92" s="285"/>
      <c r="AC92" s="285"/>
      <c r="AD92" s="285"/>
      <c r="AE92" s="286"/>
      <c r="AF92" s="286"/>
      <c r="AG92" s="85"/>
      <c r="AH92" s="85"/>
      <c r="AI92" s="85"/>
    </row>
    <row r="93" spans="1:35" ht="14.4" customHeight="1" x14ac:dyDescent="0.35">
      <c r="A93" s="183"/>
      <c r="B93" s="184"/>
      <c r="C93" s="192"/>
      <c r="D93" s="180" t="s">
        <v>560</v>
      </c>
      <c r="E93" s="185">
        <v>0.8</v>
      </c>
      <c r="F93" s="234" t="s">
        <v>0</v>
      </c>
      <c r="G93" s="184"/>
      <c r="H93" s="184"/>
      <c r="I93" s="127"/>
      <c r="J93" s="127"/>
      <c r="K93" s="127"/>
      <c r="L93" s="127"/>
      <c r="M93" s="127"/>
      <c r="N93" s="127"/>
      <c r="O93" s="127"/>
      <c r="P93" s="127"/>
      <c r="Q93" s="159"/>
      <c r="R93" s="366"/>
      <c r="S93" s="285"/>
      <c r="T93" s="178"/>
      <c r="U93" s="178"/>
      <c r="V93" s="286"/>
      <c r="W93" s="285"/>
      <c r="X93" s="285"/>
      <c r="Y93" s="285"/>
      <c r="Z93" s="286"/>
      <c r="AA93" s="286"/>
      <c r="AB93" s="285"/>
      <c r="AC93" s="285"/>
      <c r="AD93" s="285"/>
      <c r="AE93" s="286"/>
      <c r="AF93" s="286"/>
      <c r="AG93" s="85"/>
      <c r="AH93" s="85"/>
      <c r="AI93" s="85"/>
    </row>
    <row r="94" spans="1:35" ht="14.4" customHeight="1" thickBot="1" x14ac:dyDescent="0.4">
      <c r="A94" s="289"/>
      <c r="B94" s="255"/>
      <c r="C94" s="290"/>
      <c r="D94" s="256" t="s">
        <v>555</v>
      </c>
      <c r="E94" s="349">
        <v>50</v>
      </c>
      <c r="F94" s="257" t="s">
        <v>381</v>
      </c>
      <c r="G94" s="184"/>
      <c r="H94" s="184"/>
      <c r="I94" s="127"/>
      <c r="J94" s="127"/>
      <c r="K94" s="127"/>
      <c r="L94" s="127"/>
      <c r="M94" s="127"/>
      <c r="N94" s="127"/>
      <c r="O94" s="127"/>
      <c r="P94" s="127"/>
      <c r="Q94" s="159"/>
      <c r="R94" s="366"/>
      <c r="S94" s="285"/>
      <c r="T94" s="178"/>
      <c r="U94" s="178"/>
      <c r="V94" s="286"/>
      <c r="W94" s="285"/>
      <c r="X94" s="285"/>
      <c r="Y94" s="285"/>
      <c r="Z94" s="286"/>
      <c r="AA94" s="286"/>
      <c r="AB94" s="285"/>
      <c r="AC94" s="285"/>
      <c r="AD94" s="285"/>
      <c r="AE94" s="286"/>
      <c r="AF94" s="286"/>
      <c r="AG94" s="85"/>
      <c r="AH94" s="85"/>
      <c r="AI94" s="85"/>
    </row>
    <row r="95" spans="1:35" ht="18" customHeight="1" thickBot="1" x14ac:dyDescent="0.35">
      <c r="A95" s="183"/>
      <c r="B95" s="184"/>
      <c r="C95" s="192"/>
      <c r="D95" s="180"/>
      <c r="E95" s="194"/>
      <c r="F95" s="291"/>
      <c r="G95" s="184"/>
      <c r="H95" s="184"/>
      <c r="I95" s="127"/>
      <c r="J95" s="127"/>
      <c r="K95" s="127"/>
      <c r="L95" s="127"/>
      <c r="M95" s="127"/>
      <c r="N95" s="127"/>
      <c r="O95" s="127"/>
      <c r="P95" s="127"/>
      <c r="Q95" s="159"/>
      <c r="R95" s="366"/>
      <c r="S95" s="285"/>
      <c r="T95" s="178"/>
      <c r="U95" s="178"/>
      <c r="V95" s="286"/>
      <c r="W95" s="285"/>
      <c r="X95" s="285"/>
      <c r="Y95" s="285"/>
      <c r="Z95" s="286"/>
      <c r="AA95" s="286"/>
      <c r="AB95" s="285"/>
      <c r="AC95" s="285"/>
      <c r="AD95" s="285"/>
      <c r="AE95" s="286"/>
      <c r="AF95" s="286"/>
      <c r="AG95" s="85"/>
      <c r="AH95" s="85"/>
      <c r="AI95" s="85"/>
    </row>
    <row r="96" spans="1:35" ht="18" customHeight="1" x14ac:dyDescent="0.35">
      <c r="A96" s="250"/>
      <c r="B96" s="251"/>
      <c r="C96" s="254"/>
      <c r="D96" s="299" t="s">
        <v>534</v>
      </c>
      <c r="E96" s="353" t="s">
        <v>773</v>
      </c>
      <c r="F96" s="253"/>
      <c r="G96" s="184"/>
      <c r="H96" s="184"/>
      <c r="I96" s="127"/>
      <c r="J96" s="127"/>
      <c r="K96" s="127"/>
      <c r="L96" s="127"/>
      <c r="M96" s="127"/>
      <c r="N96" s="127"/>
      <c r="O96" s="127"/>
      <c r="P96" s="127"/>
      <c r="Q96" s="159"/>
      <c r="R96" s="366"/>
      <c r="S96" s="285"/>
      <c r="T96" s="178"/>
      <c r="U96" s="178"/>
      <c r="V96" s="286"/>
      <c r="W96" s="285"/>
      <c r="X96" s="285"/>
      <c r="Y96" s="285"/>
      <c r="Z96" s="286"/>
      <c r="AA96" s="286"/>
      <c r="AB96" s="285"/>
      <c r="AC96" s="285"/>
      <c r="AD96" s="285"/>
      <c r="AE96" s="286"/>
      <c r="AF96" s="286"/>
      <c r="AG96" s="85"/>
      <c r="AH96" s="85"/>
      <c r="AI96" s="85"/>
    </row>
    <row r="97" spans="1:35" ht="14.4" customHeight="1" x14ac:dyDescent="0.35">
      <c r="A97" s="183"/>
      <c r="B97" s="184"/>
      <c r="C97" s="184"/>
      <c r="D97" s="180" t="s">
        <v>549</v>
      </c>
      <c r="E97" s="185">
        <v>6</v>
      </c>
      <c r="F97" s="234" t="s">
        <v>115</v>
      </c>
      <c r="G97" s="184"/>
      <c r="H97" s="184"/>
      <c r="I97" s="127"/>
      <c r="J97" s="127"/>
      <c r="K97" s="127"/>
      <c r="L97" s="127"/>
      <c r="M97" s="127"/>
      <c r="N97" s="127"/>
      <c r="O97" s="127"/>
      <c r="P97" s="127"/>
      <c r="Q97" s="159"/>
      <c r="R97" s="366"/>
      <c r="S97" s="285"/>
      <c r="T97" s="178"/>
      <c r="U97" s="178"/>
      <c r="V97" s="286"/>
      <c r="W97" s="285"/>
      <c r="X97" s="285"/>
      <c r="Y97" s="285"/>
      <c r="Z97" s="286"/>
      <c r="AA97" s="286"/>
      <c r="AB97" s="285"/>
      <c r="AC97" s="285"/>
      <c r="AD97" s="285"/>
      <c r="AE97" s="286"/>
      <c r="AF97" s="286"/>
      <c r="AG97" s="85"/>
      <c r="AH97" s="85"/>
      <c r="AI97" s="85"/>
    </row>
    <row r="98" spans="1:35" ht="14.4" customHeight="1" x14ac:dyDescent="0.35">
      <c r="A98" s="183"/>
      <c r="B98" s="184"/>
      <c r="C98" s="184"/>
      <c r="D98" s="180" t="s">
        <v>550</v>
      </c>
      <c r="E98" s="185">
        <v>11.5</v>
      </c>
      <c r="F98" s="234" t="s">
        <v>136</v>
      </c>
      <c r="G98" s="184"/>
      <c r="H98" s="184"/>
      <c r="I98" s="127"/>
      <c r="J98" s="127"/>
      <c r="K98" s="127"/>
      <c r="L98" s="127"/>
      <c r="M98" s="127"/>
      <c r="N98" s="127"/>
      <c r="O98" s="127"/>
      <c r="P98" s="127"/>
      <c r="Q98" s="159"/>
      <c r="R98" s="366"/>
      <c r="S98" s="85"/>
      <c r="T98" s="6"/>
      <c r="U98" s="6"/>
      <c r="W98" s="85"/>
      <c r="X98" s="85"/>
      <c r="Y98" s="85"/>
      <c r="AB98" s="85"/>
      <c r="AC98" s="85"/>
      <c r="AD98" s="85"/>
      <c r="AG98" s="85"/>
      <c r="AH98" s="85"/>
      <c r="AI98" s="85"/>
    </row>
    <row r="99" spans="1:35" ht="14.4" customHeight="1" x14ac:dyDescent="0.35">
      <c r="A99" s="183"/>
      <c r="B99" s="184"/>
      <c r="C99" s="184"/>
      <c r="D99" s="180" t="s">
        <v>718</v>
      </c>
      <c r="E99" s="185">
        <v>20</v>
      </c>
      <c r="F99" s="234" t="s">
        <v>136</v>
      </c>
      <c r="G99" s="184"/>
      <c r="H99" s="184"/>
      <c r="I99" s="127"/>
      <c r="J99" s="127"/>
      <c r="K99" s="127"/>
      <c r="L99" s="127"/>
      <c r="M99" s="127"/>
      <c r="N99" s="127"/>
      <c r="O99" s="127"/>
      <c r="P99" s="127"/>
      <c r="Q99" s="159"/>
      <c r="R99" s="366"/>
      <c r="S99" s="85"/>
      <c r="T99" s="85"/>
      <c r="W99" s="85"/>
      <c r="X99" s="85"/>
      <c r="Y99" s="85"/>
      <c r="AB99" s="85"/>
      <c r="AC99" s="85"/>
      <c r="AD99" s="85"/>
      <c r="AG99" s="85"/>
      <c r="AH99" s="85"/>
      <c r="AI99" s="85"/>
    </row>
    <row r="100" spans="1:35" ht="14.4" customHeight="1" x14ac:dyDescent="0.35">
      <c r="A100" s="183"/>
      <c r="B100" s="184"/>
      <c r="C100" s="184"/>
      <c r="D100" s="180" t="s">
        <v>725</v>
      </c>
      <c r="E100" s="185">
        <v>280</v>
      </c>
      <c r="F100" s="234" t="s">
        <v>53</v>
      </c>
      <c r="G100" s="184"/>
      <c r="H100" s="184"/>
      <c r="I100" s="127"/>
      <c r="J100" s="127"/>
      <c r="K100" s="127"/>
      <c r="L100" s="127"/>
      <c r="M100" s="127"/>
      <c r="N100" s="127"/>
      <c r="O100" s="127"/>
      <c r="P100" s="127"/>
      <c r="Q100" s="159"/>
      <c r="R100" s="366"/>
      <c r="S100" s="85"/>
      <c r="T100" s="85"/>
      <c r="W100" s="85"/>
      <c r="X100" s="85"/>
      <c r="Y100" s="85"/>
      <c r="AB100" s="85"/>
      <c r="AC100" s="85"/>
      <c r="AD100" s="85"/>
      <c r="AG100" s="85"/>
      <c r="AH100" s="85"/>
      <c r="AI100" s="85"/>
    </row>
    <row r="101" spans="1:35" ht="14.25" customHeight="1" x14ac:dyDescent="0.35">
      <c r="A101" s="183"/>
      <c r="B101" s="184"/>
      <c r="C101" s="184"/>
      <c r="D101" s="180" t="s">
        <v>558</v>
      </c>
      <c r="E101" s="185">
        <v>0.9</v>
      </c>
      <c r="F101" s="234" t="s">
        <v>0</v>
      </c>
      <c r="G101" s="184"/>
      <c r="H101" s="184"/>
      <c r="I101" s="127"/>
      <c r="J101" s="127"/>
      <c r="K101" s="127"/>
      <c r="L101" s="127"/>
      <c r="M101" s="127"/>
      <c r="N101" s="127"/>
      <c r="O101" s="127"/>
      <c r="P101" s="127"/>
      <c r="Q101" s="159"/>
      <c r="R101" s="366"/>
      <c r="S101" s="85"/>
      <c r="T101" s="85"/>
      <c r="W101" s="85"/>
      <c r="X101" s="85"/>
      <c r="Y101" s="85"/>
      <c r="AB101" s="85"/>
      <c r="AC101" s="85"/>
      <c r="AD101" s="85"/>
      <c r="AG101" s="85"/>
      <c r="AH101" s="85"/>
      <c r="AI101" s="85"/>
    </row>
    <row r="102" spans="1:35" ht="14.4" customHeight="1" x14ac:dyDescent="0.35">
      <c r="A102" s="183"/>
      <c r="B102" s="184"/>
      <c r="C102" s="184"/>
      <c r="D102" s="180" t="s">
        <v>556</v>
      </c>
      <c r="E102" s="185">
        <v>63</v>
      </c>
      <c r="F102" s="234" t="s">
        <v>136</v>
      </c>
      <c r="G102" s="184"/>
      <c r="H102" s="184"/>
      <c r="I102" s="131"/>
      <c r="J102" s="132"/>
      <c r="K102" s="127"/>
      <c r="L102" s="127"/>
      <c r="M102" s="127"/>
      <c r="N102" s="127"/>
      <c r="O102" s="127"/>
      <c r="P102" s="127"/>
      <c r="Q102" s="159"/>
      <c r="R102" s="366"/>
      <c r="S102" s="85"/>
      <c r="T102" s="85"/>
      <c r="W102" s="85"/>
      <c r="X102" s="85"/>
      <c r="Y102" s="85"/>
      <c r="AB102" s="85"/>
      <c r="AC102" s="85"/>
      <c r="AD102" s="85"/>
      <c r="AG102" s="85"/>
      <c r="AH102" s="85"/>
      <c r="AI102" s="85"/>
    </row>
    <row r="103" spans="1:35" ht="14.4" customHeight="1" x14ac:dyDescent="0.35">
      <c r="A103" s="183"/>
      <c r="B103" s="184"/>
      <c r="C103" s="184"/>
      <c r="D103" s="180" t="s">
        <v>555</v>
      </c>
      <c r="E103" s="185">
        <v>50</v>
      </c>
      <c r="F103" s="234" t="s">
        <v>381</v>
      </c>
      <c r="G103" s="184"/>
      <c r="H103" s="184"/>
      <c r="I103" s="127"/>
      <c r="J103" s="127"/>
      <c r="K103" s="127"/>
      <c r="L103" s="127"/>
      <c r="M103" s="127"/>
      <c r="N103" s="127"/>
      <c r="O103" s="127"/>
      <c r="P103" s="127"/>
      <c r="Q103" s="159"/>
      <c r="R103" s="366"/>
      <c r="S103" s="85"/>
      <c r="T103" s="85"/>
      <c r="W103" s="85"/>
      <c r="X103" s="85"/>
      <c r="Y103" s="85"/>
      <c r="AB103" s="85"/>
      <c r="AC103" s="85"/>
      <c r="AD103" s="85"/>
      <c r="AG103" s="85"/>
      <c r="AH103" s="85"/>
      <c r="AI103" s="85"/>
    </row>
    <row r="104" spans="1:35" ht="18" customHeight="1" x14ac:dyDescent="0.3">
      <c r="A104" s="195"/>
      <c r="B104" s="192"/>
      <c r="C104" s="184"/>
      <c r="D104" s="292" t="s">
        <v>737</v>
      </c>
      <c r="E104" s="210"/>
      <c r="F104" s="234"/>
      <c r="G104" s="184"/>
      <c r="H104" s="184"/>
      <c r="I104" s="127"/>
      <c r="J104" s="127"/>
      <c r="K104" s="127"/>
      <c r="L104" s="127"/>
      <c r="M104" s="127"/>
      <c r="N104" s="127"/>
      <c r="O104" s="127"/>
      <c r="P104" s="127"/>
      <c r="Q104" s="159"/>
      <c r="R104" s="366"/>
      <c r="S104" s="85"/>
      <c r="T104" s="85"/>
      <c r="W104" s="85"/>
      <c r="X104" s="85"/>
      <c r="Y104" s="85"/>
      <c r="AB104" s="85"/>
      <c r="AC104" s="85"/>
      <c r="AD104" s="85"/>
      <c r="AG104" s="85"/>
      <c r="AH104" s="85"/>
      <c r="AI104" s="85"/>
    </row>
    <row r="105" spans="1:35" ht="14.4" customHeight="1" x14ac:dyDescent="0.35">
      <c r="A105" s="183"/>
      <c r="B105" s="184"/>
      <c r="C105" s="184"/>
      <c r="D105" s="180" t="s">
        <v>559</v>
      </c>
      <c r="E105" s="308">
        <v>0</v>
      </c>
      <c r="F105" s="234" t="s">
        <v>0</v>
      </c>
      <c r="G105" s="184"/>
      <c r="H105" s="184"/>
      <c r="I105" s="127"/>
      <c r="J105" s="127"/>
      <c r="K105" s="127"/>
      <c r="L105" s="127"/>
      <c r="M105" s="127"/>
      <c r="N105" s="127"/>
      <c r="O105" s="127"/>
      <c r="P105" s="127"/>
      <c r="Q105" s="159"/>
      <c r="R105" s="366"/>
      <c r="S105" s="85"/>
      <c r="T105" s="85"/>
      <c r="W105" s="85"/>
      <c r="X105" s="85"/>
      <c r="Y105" s="85"/>
      <c r="AB105" s="85"/>
      <c r="AC105" s="85"/>
      <c r="AD105" s="85"/>
      <c r="AG105" s="85"/>
      <c r="AH105" s="85"/>
      <c r="AI105" s="85"/>
    </row>
    <row r="106" spans="1:35" ht="14.4" customHeight="1" thickBot="1" x14ac:dyDescent="0.4">
      <c r="A106" s="230"/>
      <c r="B106" s="255"/>
      <c r="C106" s="255"/>
      <c r="D106" s="256" t="s">
        <v>557</v>
      </c>
      <c r="E106" s="350">
        <v>0</v>
      </c>
      <c r="F106" s="257" t="s">
        <v>136</v>
      </c>
      <c r="G106" s="184"/>
      <c r="H106" s="184"/>
      <c r="I106" s="127"/>
      <c r="J106" s="127"/>
      <c r="K106" s="127"/>
      <c r="L106" s="127"/>
      <c r="M106" s="127"/>
      <c r="N106" s="127"/>
      <c r="O106" s="127"/>
      <c r="P106" s="127"/>
      <c r="Q106" s="159"/>
      <c r="R106" s="366"/>
      <c r="S106" s="85"/>
      <c r="T106" s="85"/>
      <c r="W106" s="85"/>
      <c r="X106" s="85"/>
      <c r="Y106" s="85"/>
      <c r="AB106" s="85"/>
      <c r="AC106" s="85"/>
      <c r="AD106" s="85"/>
      <c r="AG106" s="85"/>
      <c r="AH106" s="85"/>
      <c r="AI106" s="85"/>
    </row>
    <row r="107" spans="1:35" ht="14.4" customHeight="1" x14ac:dyDescent="0.3">
      <c r="A107" s="382"/>
      <c r="B107" s="184"/>
      <c r="C107" s="184"/>
      <c r="D107" s="180"/>
      <c r="E107" s="503"/>
      <c r="F107" s="184"/>
      <c r="G107" s="184"/>
      <c r="H107" s="184"/>
      <c r="I107" s="127"/>
      <c r="J107" s="127"/>
      <c r="K107" s="127"/>
      <c r="L107" s="127"/>
      <c r="M107" s="127"/>
      <c r="N107" s="127"/>
      <c r="O107" s="127"/>
      <c r="P107" s="127"/>
      <c r="Q107" s="159"/>
      <c r="R107" s="366"/>
      <c r="S107" s="85"/>
      <c r="T107" s="85"/>
      <c r="W107" s="85"/>
      <c r="X107" s="85"/>
      <c r="Y107" s="85"/>
      <c r="AB107" s="85"/>
      <c r="AC107" s="85"/>
      <c r="AD107" s="85"/>
      <c r="AG107" s="85"/>
      <c r="AH107" s="85"/>
      <c r="AI107" s="85"/>
    </row>
    <row r="108" spans="1:35" ht="19.5" customHeight="1" thickBot="1" x14ac:dyDescent="0.35">
      <c r="A108" s="504" t="s">
        <v>768</v>
      </c>
      <c r="B108" s="194"/>
      <c r="C108" s="505"/>
      <c r="D108" s="506"/>
      <c r="E108" s="170"/>
      <c r="F108" s="170"/>
      <c r="G108" s="170"/>
      <c r="H108" s="184"/>
      <c r="I108" s="127"/>
      <c r="J108" s="127"/>
      <c r="K108" s="127"/>
      <c r="L108" s="127"/>
      <c r="M108" s="127"/>
      <c r="N108" s="127"/>
      <c r="O108" s="127"/>
      <c r="P108" s="127"/>
      <c r="Q108" s="159"/>
      <c r="R108" s="366"/>
      <c r="S108" s="85"/>
      <c r="T108" s="85"/>
      <c r="W108" s="85"/>
      <c r="X108" s="85"/>
      <c r="Y108" s="85"/>
      <c r="AB108" s="85"/>
      <c r="AC108" s="85"/>
      <c r="AD108" s="85"/>
      <c r="AG108" s="85"/>
      <c r="AH108" s="85"/>
      <c r="AI108" s="85"/>
    </row>
    <row r="109" spans="1:35" ht="15.75" customHeight="1" x14ac:dyDescent="0.3">
      <c r="A109" s="271"/>
      <c r="B109" s="252"/>
      <c r="C109" s="507"/>
      <c r="D109" s="507" t="s">
        <v>769</v>
      </c>
      <c r="E109" s="508">
        <f>'Power Calculations'!AN9</f>
        <v>9.9750000000000005E-2</v>
      </c>
      <c r="F109" s="253" t="s">
        <v>208</v>
      </c>
      <c r="G109" s="170"/>
      <c r="H109" s="184"/>
      <c r="I109" s="127"/>
      <c r="J109" s="127"/>
      <c r="K109" s="127"/>
      <c r="L109" s="127"/>
      <c r="M109" s="127"/>
      <c r="N109" s="127"/>
      <c r="O109" s="127"/>
      <c r="P109" s="127"/>
      <c r="Q109" s="159"/>
      <c r="R109" s="366"/>
      <c r="S109" s="85"/>
      <c r="T109" s="85"/>
      <c r="W109" s="85"/>
      <c r="X109" s="85"/>
      <c r="Y109" s="85"/>
      <c r="AB109" s="85"/>
      <c r="AC109" s="85"/>
      <c r="AD109" s="85"/>
      <c r="AG109" s="85"/>
      <c r="AH109" s="85"/>
      <c r="AI109" s="85"/>
    </row>
    <row r="110" spans="1:35" ht="14.4" customHeight="1" thickBot="1" x14ac:dyDescent="0.35">
      <c r="A110" s="289"/>
      <c r="B110" s="255"/>
      <c r="C110" s="255"/>
      <c r="D110" s="509" t="s">
        <v>770</v>
      </c>
      <c r="E110" s="510">
        <f>'Power Calculations'!AN9*50</f>
        <v>4.9875000000000007</v>
      </c>
      <c r="F110" s="511" t="s">
        <v>442</v>
      </c>
      <c r="G110" s="170"/>
      <c r="H110" s="184"/>
      <c r="I110" s="127"/>
      <c r="J110" s="127"/>
      <c r="K110" s="127"/>
      <c r="L110" s="127"/>
      <c r="M110" s="127"/>
      <c r="N110" s="127"/>
      <c r="O110" s="127"/>
      <c r="P110" s="127"/>
      <c r="Q110" s="159"/>
      <c r="R110" s="366"/>
      <c r="S110" s="85"/>
      <c r="T110" s="85"/>
      <c r="W110" s="85"/>
      <c r="X110" s="85"/>
      <c r="Y110" s="85"/>
      <c r="AB110" s="85"/>
      <c r="AC110" s="85"/>
      <c r="AD110" s="85"/>
      <c r="AG110" s="85"/>
      <c r="AH110" s="85"/>
      <c r="AI110" s="85"/>
    </row>
    <row r="111" spans="1:35" ht="16.2" customHeight="1" thickBot="1" x14ac:dyDescent="0.35">
      <c r="A111" s="183"/>
      <c r="B111" s="184"/>
      <c r="C111" s="184"/>
      <c r="D111" s="180"/>
      <c r="E111" s="283"/>
      <c r="F111" s="184"/>
      <c r="G111" s="184"/>
      <c r="H111" s="184"/>
      <c r="I111" s="127"/>
      <c r="J111" s="127"/>
      <c r="K111" s="127"/>
      <c r="L111" s="127"/>
      <c r="M111" s="127"/>
      <c r="N111" s="127"/>
      <c r="O111" s="127"/>
      <c r="P111" s="127"/>
      <c r="Q111" s="159"/>
      <c r="R111" s="366"/>
      <c r="S111" s="85"/>
      <c r="T111" s="85"/>
      <c r="W111" s="85"/>
      <c r="X111" s="85"/>
      <c r="Y111" s="85"/>
      <c r="AB111" s="85"/>
      <c r="AC111" s="85"/>
      <c r="AD111" s="85"/>
      <c r="AG111" s="85"/>
      <c r="AH111" s="85"/>
      <c r="AI111" s="85"/>
    </row>
    <row r="112" spans="1:35" ht="14.4" thickBot="1" x14ac:dyDescent="0.35">
      <c r="A112" s="361"/>
      <c r="B112" s="362"/>
      <c r="C112" s="363"/>
      <c r="D112" s="363"/>
      <c r="E112" s="363"/>
      <c r="F112" s="363"/>
      <c r="G112" s="363"/>
      <c r="H112" s="363"/>
      <c r="I112" s="363"/>
      <c r="J112" s="363"/>
      <c r="K112" s="363"/>
      <c r="L112" s="363"/>
      <c r="M112" s="363"/>
      <c r="N112" s="363"/>
      <c r="O112" s="363"/>
      <c r="P112" s="363"/>
      <c r="Q112" s="363"/>
      <c r="R112" s="364"/>
      <c r="S112" s="85"/>
      <c r="T112" s="85"/>
      <c r="W112" s="85"/>
      <c r="X112" s="85"/>
      <c r="Y112" s="85"/>
      <c r="AB112" s="85"/>
      <c r="AC112" s="85"/>
      <c r="AD112" s="85"/>
      <c r="AG112" s="85"/>
      <c r="AH112" s="85"/>
      <c r="AI112" s="85"/>
    </row>
    <row r="113" spans="18:35" x14ac:dyDescent="0.3">
      <c r="R113" s="85"/>
      <c r="S113" s="85"/>
      <c r="T113" s="85"/>
      <c r="W113" s="85"/>
      <c r="X113" s="85"/>
      <c r="Y113" s="85"/>
      <c r="AB113" s="85"/>
      <c r="AC113" s="85"/>
      <c r="AD113" s="85"/>
      <c r="AG113" s="85"/>
      <c r="AH113" s="85"/>
      <c r="AI113" s="85"/>
    </row>
    <row r="114" spans="18:35" x14ac:dyDescent="0.3">
      <c r="R114" s="85"/>
      <c r="S114" s="85"/>
      <c r="T114" s="85"/>
      <c r="W114" s="85"/>
      <c r="X114" s="85"/>
      <c r="Y114" s="85"/>
      <c r="AB114" s="85"/>
      <c r="AC114" s="85"/>
      <c r="AD114" s="85"/>
      <c r="AG114" s="85"/>
      <c r="AH114" s="85"/>
      <c r="AI114" s="85"/>
    </row>
    <row r="115" spans="18:35" x14ac:dyDescent="0.3">
      <c r="R115" s="85"/>
      <c r="S115" s="85"/>
      <c r="T115" s="85"/>
      <c r="W115" s="85"/>
      <c r="X115" s="85"/>
      <c r="Y115" s="85"/>
      <c r="AB115" s="85"/>
      <c r="AC115" s="85"/>
      <c r="AD115" s="85"/>
      <c r="AG115" s="85"/>
      <c r="AH115" s="85"/>
      <c r="AI115" s="85"/>
    </row>
    <row r="116" spans="18:35" x14ac:dyDescent="0.3">
      <c r="R116" s="85"/>
      <c r="S116" s="85"/>
      <c r="T116" s="85"/>
      <c r="W116" s="85"/>
      <c r="X116" s="85"/>
      <c r="Y116" s="85"/>
      <c r="AB116" s="85"/>
      <c r="AC116" s="85"/>
      <c r="AD116" s="85"/>
      <c r="AG116" s="85"/>
      <c r="AH116" s="85"/>
      <c r="AI116" s="85"/>
    </row>
    <row r="117" spans="18:35" x14ac:dyDescent="0.3">
      <c r="R117" s="85"/>
      <c r="S117" s="85"/>
      <c r="T117" s="85"/>
      <c r="W117" s="85"/>
      <c r="X117" s="85"/>
      <c r="Y117" s="85"/>
      <c r="AB117" s="85"/>
      <c r="AC117" s="85"/>
      <c r="AD117" s="85"/>
      <c r="AG117" s="85"/>
      <c r="AH117" s="85"/>
      <c r="AI117" s="85"/>
    </row>
    <row r="118" spans="18:35" x14ac:dyDescent="0.3">
      <c r="R118" s="85"/>
      <c r="S118" s="85"/>
      <c r="T118" s="85"/>
      <c r="W118" s="85"/>
      <c r="X118" s="85"/>
      <c r="Y118" s="85"/>
      <c r="AB118" s="85"/>
      <c r="AC118" s="85"/>
      <c r="AD118" s="85"/>
      <c r="AG118" s="85"/>
      <c r="AH118" s="85"/>
      <c r="AI118" s="85"/>
    </row>
    <row r="119" spans="18:35" x14ac:dyDescent="0.3">
      <c r="R119" s="85"/>
      <c r="S119" s="85"/>
      <c r="T119" s="85"/>
      <c r="W119" s="85"/>
      <c r="X119" s="85"/>
      <c r="Y119" s="85"/>
      <c r="AB119" s="85"/>
      <c r="AC119" s="85"/>
      <c r="AD119" s="85"/>
      <c r="AG119" s="85"/>
      <c r="AH119" s="85"/>
      <c r="AI119" s="85"/>
    </row>
    <row r="120" spans="18:35" x14ac:dyDescent="0.3">
      <c r="R120" s="85"/>
      <c r="S120" s="85"/>
      <c r="T120" s="85"/>
      <c r="W120" s="85"/>
      <c r="X120" s="85"/>
      <c r="Y120" s="85"/>
      <c r="AB120" s="85"/>
      <c r="AC120" s="85"/>
      <c r="AD120" s="85"/>
      <c r="AG120" s="85"/>
      <c r="AH120" s="85"/>
      <c r="AI120" s="85"/>
    </row>
    <row r="121" spans="18:35" x14ac:dyDescent="0.3">
      <c r="R121" s="85"/>
      <c r="S121" s="85"/>
      <c r="T121" s="85"/>
      <c r="W121" s="85"/>
      <c r="X121" s="85"/>
      <c r="Y121" s="85"/>
      <c r="AB121" s="85"/>
      <c r="AC121" s="85"/>
      <c r="AD121" s="85"/>
      <c r="AG121" s="85"/>
      <c r="AH121" s="85"/>
      <c r="AI121" s="85"/>
    </row>
    <row r="122" spans="18:35" x14ac:dyDescent="0.3">
      <c r="R122" s="85"/>
      <c r="S122" s="85"/>
      <c r="T122" s="85"/>
      <c r="W122" s="85"/>
      <c r="X122" s="85"/>
      <c r="Y122" s="85"/>
      <c r="AB122" s="85"/>
      <c r="AC122" s="85"/>
      <c r="AD122" s="85"/>
      <c r="AG122" s="85"/>
      <c r="AH122" s="85"/>
      <c r="AI122" s="85"/>
    </row>
    <row r="123" spans="18:35" x14ac:dyDescent="0.3">
      <c r="R123" s="85"/>
      <c r="S123" s="85"/>
      <c r="T123" s="85"/>
      <c r="W123" s="85"/>
      <c r="X123" s="85"/>
      <c r="Y123" s="85"/>
      <c r="AB123" s="85"/>
      <c r="AC123" s="85"/>
      <c r="AD123" s="85"/>
      <c r="AG123" s="85"/>
      <c r="AH123" s="85"/>
      <c r="AI123" s="85"/>
    </row>
    <row r="124" spans="18:35" x14ac:dyDescent="0.3">
      <c r="R124" s="85"/>
      <c r="S124" s="85"/>
      <c r="T124" s="85"/>
      <c r="W124" s="85"/>
      <c r="X124" s="85"/>
      <c r="Y124" s="85"/>
      <c r="AB124" s="85"/>
      <c r="AC124" s="85"/>
      <c r="AD124" s="85"/>
      <c r="AG124" s="85"/>
      <c r="AH124" s="85"/>
      <c r="AI124" s="85"/>
    </row>
    <row r="125" spans="18:35" x14ac:dyDescent="0.3">
      <c r="R125" s="85"/>
      <c r="S125" s="85"/>
      <c r="T125" s="85"/>
      <c r="W125" s="85"/>
      <c r="X125" s="85"/>
      <c r="Y125" s="85"/>
      <c r="AB125" s="85"/>
      <c r="AC125" s="85"/>
      <c r="AD125" s="85"/>
      <c r="AG125" s="85"/>
      <c r="AH125" s="85"/>
      <c r="AI125" s="85"/>
    </row>
    <row r="126" spans="18:35" x14ac:dyDescent="0.3">
      <c r="R126" s="85"/>
      <c r="S126" s="85"/>
      <c r="T126" s="85"/>
      <c r="W126" s="85"/>
      <c r="X126" s="85"/>
      <c r="Y126" s="85"/>
      <c r="AB126" s="85"/>
      <c r="AC126" s="85"/>
      <c r="AD126" s="85"/>
      <c r="AG126" s="85"/>
      <c r="AH126" s="85"/>
      <c r="AI126" s="85"/>
    </row>
    <row r="127" spans="18:35" x14ac:dyDescent="0.3">
      <c r="R127" s="85"/>
      <c r="S127" s="85"/>
      <c r="T127" s="85"/>
      <c r="W127" s="85"/>
      <c r="X127" s="85"/>
      <c r="Y127" s="85"/>
      <c r="AB127" s="85"/>
      <c r="AC127" s="85"/>
      <c r="AD127" s="85"/>
      <c r="AG127" s="85"/>
      <c r="AH127" s="85"/>
      <c r="AI127" s="85"/>
    </row>
    <row r="128" spans="18:35" x14ac:dyDescent="0.3">
      <c r="R128" s="85"/>
      <c r="S128" s="85"/>
      <c r="T128" s="85"/>
      <c r="W128" s="85"/>
      <c r="X128" s="85"/>
      <c r="Y128" s="85"/>
      <c r="AB128" s="85"/>
      <c r="AC128" s="85"/>
      <c r="AD128" s="85"/>
      <c r="AG128" s="85"/>
      <c r="AH128" s="85"/>
      <c r="AI128" s="85"/>
    </row>
    <row r="129" spans="18:35" x14ac:dyDescent="0.3">
      <c r="R129" s="85"/>
      <c r="S129" s="85"/>
      <c r="T129" s="85"/>
      <c r="W129" s="85"/>
      <c r="X129" s="85"/>
      <c r="Y129" s="85"/>
      <c r="AB129" s="85"/>
      <c r="AC129" s="85"/>
      <c r="AD129" s="85"/>
      <c r="AG129" s="85"/>
      <c r="AH129" s="85"/>
      <c r="AI129" s="85"/>
    </row>
    <row r="130" spans="18:35" x14ac:dyDescent="0.3">
      <c r="R130" s="85"/>
      <c r="S130" s="85"/>
      <c r="T130" s="85"/>
      <c r="W130" s="85"/>
      <c r="X130" s="85"/>
      <c r="Y130" s="85"/>
      <c r="AB130" s="85"/>
      <c r="AC130" s="85"/>
      <c r="AD130" s="85"/>
      <c r="AG130" s="85"/>
      <c r="AH130" s="85"/>
      <c r="AI130" s="85"/>
    </row>
    <row r="131" spans="18:35" x14ac:dyDescent="0.3">
      <c r="R131" s="85"/>
      <c r="S131" s="85"/>
      <c r="T131" s="85"/>
      <c r="W131" s="85"/>
      <c r="X131" s="85"/>
      <c r="Y131" s="85"/>
      <c r="AB131" s="85"/>
      <c r="AC131" s="85"/>
      <c r="AD131" s="85"/>
      <c r="AG131" s="85"/>
      <c r="AH131" s="85"/>
      <c r="AI131" s="85"/>
    </row>
    <row r="132" spans="18:35" x14ac:dyDescent="0.3">
      <c r="R132" s="85"/>
      <c r="S132" s="85"/>
      <c r="T132" s="85"/>
      <c r="W132" s="85"/>
      <c r="X132" s="85"/>
      <c r="Y132" s="85"/>
      <c r="AB132" s="85"/>
      <c r="AC132" s="85"/>
      <c r="AD132" s="85"/>
      <c r="AG132" s="85"/>
      <c r="AH132" s="85"/>
      <c r="AI132" s="85"/>
    </row>
    <row r="133" spans="18:35" x14ac:dyDescent="0.3">
      <c r="R133" s="85"/>
      <c r="S133" s="85"/>
      <c r="T133" s="85"/>
      <c r="W133" s="85"/>
      <c r="X133" s="85"/>
      <c r="Y133" s="85"/>
      <c r="AB133" s="85"/>
      <c r="AC133" s="85"/>
      <c r="AD133" s="85"/>
      <c r="AG133" s="85"/>
      <c r="AH133" s="85"/>
      <c r="AI133" s="85"/>
    </row>
    <row r="134" spans="18:35" x14ac:dyDescent="0.3">
      <c r="R134" s="85"/>
      <c r="S134" s="85"/>
      <c r="T134" s="85"/>
      <c r="W134" s="85"/>
      <c r="X134" s="85"/>
      <c r="Y134" s="85"/>
      <c r="AB134" s="85"/>
      <c r="AC134" s="85"/>
      <c r="AD134" s="85"/>
      <c r="AG134" s="85"/>
      <c r="AH134" s="85"/>
      <c r="AI134" s="85"/>
    </row>
    <row r="135" spans="18:35" x14ac:dyDescent="0.3">
      <c r="R135" s="85"/>
      <c r="S135" s="85"/>
      <c r="T135" s="85"/>
      <c r="W135" s="85"/>
      <c r="X135" s="85"/>
      <c r="Y135" s="85"/>
      <c r="AB135" s="85"/>
      <c r="AC135" s="85"/>
      <c r="AD135" s="85"/>
      <c r="AG135" s="85"/>
      <c r="AH135" s="85"/>
      <c r="AI135" s="85"/>
    </row>
    <row r="136" spans="18:35" x14ac:dyDescent="0.3">
      <c r="R136" s="85"/>
      <c r="S136" s="85"/>
      <c r="T136" s="85"/>
      <c r="W136" s="85"/>
      <c r="X136" s="85"/>
      <c r="Y136" s="85"/>
      <c r="AB136" s="85"/>
      <c r="AC136" s="85"/>
      <c r="AD136" s="85"/>
      <c r="AG136" s="85"/>
      <c r="AH136" s="85"/>
      <c r="AI136" s="85"/>
    </row>
    <row r="137" spans="18:35" x14ac:dyDescent="0.3">
      <c r="R137" s="85"/>
      <c r="S137" s="85"/>
      <c r="T137" s="85"/>
      <c r="W137" s="85"/>
      <c r="X137" s="85"/>
      <c r="Y137" s="85"/>
      <c r="AB137" s="85"/>
      <c r="AC137" s="85"/>
      <c r="AD137" s="85"/>
      <c r="AG137" s="85"/>
      <c r="AH137" s="85"/>
      <c r="AI137" s="85"/>
    </row>
    <row r="138" spans="18:35" x14ac:dyDescent="0.3">
      <c r="R138" s="85"/>
      <c r="S138" s="85"/>
      <c r="T138" s="85"/>
      <c r="W138" s="85"/>
      <c r="X138" s="85"/>
      <c r="Y138" s="85"/>
      <c r="AB138" s="85"/>
      <c r="AC138" s="85"/>
      <c r="AD138" s="85"/>
      <c r="AG138" s="85"/>
      <c r="AH138" s="85"/>
      <c r="AI138" s="85"/>
    </row>
    <row r="139" spans="18:35" x14ac:dyDescent="0.3">
      <c r="R139" s="85"/>
      <c r="S139" s="85"/>
      <c r="T139" s="85"/>
      <c r="W139" s="85"/>
      <c r="X139" s="85"/>
      <c r="Y139" s="85"/>
      <c r="AB139" s="85"/>
      <c r="AC139" s="85"/>
      <c r="AD139" s="85"/>
      <c r="AG139" s="85"/>
      <c r="AH139" s="85"/>
      <c r="AI139" s="85"/>
    </row>
    <row r="140" spans="18:35" x14ac:dyDescent="0.3">
      <c r="R140" s="85"/>
      <c r="S140" s="85"/>
      <c r="T140" s="85"/>
      <c r="W140" s="85"/>
      <c r="X140" s="85"/>
      <c r="Y140" s="85"/>
      <c r="AB140" s="85"/>
      <c r="AC140" s="85"/>
      <c r="AD140" s="85"/>
      <c r="AG140" s="85"/>
      <c r="AH140" s="85"/>
      <c r="AI140" s="85"/>
    </row>
    <row r="141" spans="18:35" x14ac:dyDescent="0.3">
      <c r="R141" s="85"/>
      <c r="S141" s="85"/>
      <c r="T141" s="85"/>
      <c r="W141" s="85"/>
      <c r="X141" s="85"/>
      <c r="Y141" s="85"/>
      <c r="AB141" s="85"/>
      <c r="AC141" s="85"/>
      <c r="AD141" s="85"/>
      <c r="AG141" s="85"/>
      <c r="AH141" s="85"/>
      <c r="AI141" s="85"/>
    </row>
    <row r="142" spans="18:35" x14ac:dyDescent="0.3">
      <c r="R142" s="85"/>
      <c r="S142" s="85"/>
      <c r="T142" s="85"/>
      <c r="W142" s="85"/>
      <c r="X142" s="85"/>
      <c r="Y142" s="85"/>
      <c r="AB142" s="85"/>
      <c r="AC142" s="85"/>
      <c r="AD142" s="85"/>
      <c r="AG142" s="85"/>
      <c r="AH142" s="85"/>
      <c r="AI142" s="85"/>
    </row>
    <row r="143" spans="18:35" x14ac:dyDescent="0.3">
      <c r="R143" s="85"/>
      <c r="S143" s="85"/>
      <c r="T143" s="85"/>
      <c r="W143" s="85"/>
      <c r="X143" s="85"/>
      <c r="Y143" s="85"/>
      <c r="AB143" s="85"/>
      <c r="AC143" s="85"/>
      <c r="AD143" s="85"/>
      <c r="AG143" s="85"/>
      <c r="AH143" s="85"/>
      <c r="AI143" s="85"/>
    </row>
    <row r="144" spans="18:35" x14ac:dyDescent="0.3">
      <c r="R144" s="85"/>
      <c r="S144" s="85"/>
      <c r="T144" s="85"/>
      <c r="W144" s="85"/>
      <c r="X144" s="85"/>
      <c r="Y144" s="85"/>
      <c r="AB144" s="85"/>
      <c r="AC144" s="85"/>
      <c r="AD144" s="85"/>
      <c r="AG144" s="85"/>
      <c r="AH144" s="85"/>
      <c r="AI144" s="85"/>
    </row>
    <row r="145" spans="18:35" x14ac:dyDescent="0.3">
      <c r="R145" s="85"/>
      <c r="S145" s="85"/>
      <c r="T145" s="85"/>
      <c r="W145" s="85"/>
      <c r="X145" s="85"/>
      <c r="Y145" s="85"/>
      <c r="AB145" s="85"/>
      <c r="AC145" s="85"/>
      <c r="AD145" s="85"/>
      <c r="AG145" s="85"/>
      <c r="AH145" s="85"/>
      <c r="AI145" s="85"/>
    </row>
    <row r="146" spans="18:35" x14ac:dyDescent="0.3">
      <c r="R146" s="85"/>
      <c r="S146" s="85"/>
      <c r="T146" s="85"/>
      <c r="W146" s="85"/>
      <c r="X146" s="85"/>
      <c r="Y146" s="85"/>
      <c r="AB146" s="85"/>
      <c r="AC146" s="85"/>
      <c r="AD146" s="85"/>
      <c r="AG146" s="85"/>
      <c r="AH146" s="85"/>
      <c r="AI146" s="85"/>
    </row>
    <row r="147" spans="18:35" x14ac:dyDescent="0.3">
      <c r="R147" s="85"/>
      <c r="S147" s="85"/>
      <c r="T147" s="85"/>
      <c r="W147" s="85"/>
      <c r="X147" s="85"/>
      <c r="Y147" s="85"/>
      <c r="AB147" s="85"/>
      <c r="AC147" s="85"/>
      <c r="AD147" s="85"/>
      <c r="AG147" s="85"/>
      <c r="AH147" s="85"/>
      <c r="AI147" s="85"/>
    </row>
    <row r="148" spans="18:35" x14ac:dyDescent="0.3">
      <c r="R148" s="85"/>
      <c r="S148" s="85"/>
      <c r="T148" s="85"/>
      <c r="W148" s="85"/>
      <c r="X148" s="85"/>
      <c r="Y148" s="85"/>
      <c r="AB148" s="85"/>
      <c r="AC148" s="85"/>
      <c r="AD148" s="85"/>
      <c r="AG148" s="85"/>
      <c r="AH148" s="85"/>
      <c r="AI148" s="85"/>
    </row>
    <row r="149" spans="18:35" x14ac:dyDescent="0.3">
      <c r="R149" s="85"/>
      <c r="S149" s="85"/>
      <c r="T149" s="85"/>
      <c r="W149" s="85"/>
      <c r="X149" s="85"/>
      <c r="Y149" s="85"/>
      <c r="AB149" s="85"/>
      <c r="AC149" s="85"/>
      <c r="AD149" s="85"/>
      <c r="AG149" s="85"/>
      <c r="AH149" s="85"/>
      <c r="AI149" s="85"/>
    </row>
    <row r="150" spans="18:35" x14ac:dyDescent="0.3">
      <c r="R150" s="85"/>
      <c r="S150" s="85"/>
      <c r="T150" s="85"/>
      <c r="W150" s="85"/>
      <c r="X150" s="85"/>
      <c r="Y150" s="85"/>
      <c r="AB150" s="85"/>
      <c r="AC150" s="85"/>
      <c r="AD150" s="85"/>
      <c r="AG150" s="85"/>
      <c r="AH150" s="85"/>
      <c r="AI150" s="85"/>
    </row>
    <row r="151" spans="18:35" x14ac:dyDescent="0.3">
      <c r="R151" s="85"/>
      <c r="S151" s="85"/>
      <c r="T151" s="85"/>
      <c r="W151" s="85"/>
      <c r="X151" s="85"/>
      <c r="Y151" s="85"/>
      <c r="AB151" s="85"/>
      <c r="AC151" s="85"/>
      <c r="AD151" s="85"/>
      <c r="AG151" s="85"/>
      <c r="AH151" s="85"/>
      <c r="AI151" s="85"/>
    </row>
    <row r="152" spans="18:35" x14ac:dyDescent="0.3">
      <c r="R152" s="85"/>
      <c r="S152" s="85"/>
      <c r="T152" s="85"/>
      <c r="W152" s="85"/>
      <c r="X152" s="85"/>
      <c r="Y152" s="85"/>
      <c r="AB152" s="85"/>
      <c r="AC152" s="85"/>
      <c r="AD152" s="85"/>
      <c r="AG152" s="85"/>
      <c r="AH152" s="85"/>
      <c r="AI152" s="85"/>
    </row>
    <row r="153" spans="18:35" x14ac:dyDescent="0.3">
      <c r="R153" s="85"/>
      <c r="S153" s="85"/>
      <c r="T153" s="85"/>
      <c r="W153" s="85"/>
      <c r="X153" s="85"/>
      <c r="Y153" s="85"/>
      <c r="AB153" s="85"/>
      <c r="AC153" s="85"/>
      <c r="AD153" s="85"/>
      <c r="AG153" s="85"/>
      <c r="AH153" s="85"/>
      <c r="AI153" s="85"/>
    </row>
    <row r="154" spans="18:35" x14ac:dyDescent="0.3">
      <c r="R154" s="85"/>
      <c r="S154" s="85"/>
      <c r="T154" s="85"/>
      <c r="W154" s="85"/>
      <c r="X154" s="85"/>
      <c r="Y154" s="85"/>
      <c r="AB154" s="85"/>
      <c r="AC154" s="85"/>
      <c r="AD154" s="85"/>
      <c r="AG154" s="85"/>
      <c r="AH154" s="85"/>
      <c r="AI154" s="85"/>
    </row>
    <row r="155" spans="18:35" x14ac:dyDescent="0.3">
      <c r="R155" s="85"/>
      <c r="S155" s="85"/>
      <c r="T155" s="85"/>
      <c r="W155" s="85"/>
      <c r="X155" s="85"/>
      <c r="Y155" s="85"/>
      <c r="AB155" s="85"/>
      <c r="AC155" s="85"/>
      <c r="AD155" s="85"/>
      <c r="AG155" s="85"/>
      <c r="AH155" s="85"/>
      <c r="AI155" s="85"/>
    </row>
    <row r="156" spans="18:35" x14ac:dyDescent="0.3">
      <c r="R156" s="85"/>
      <c r="S156" s="85"/>
      <c r="T156" s="85"/>
      <c r="W156" s="85"/>
      <c r="X156" s="85"/>
      <c r="Y156" s="85"/>
      <c r="AB156" s="85"/>
      <c r="AC156" s="85"/>
      <c r="AD156" s="85"/>
      <c r="AG156" s="85"/>
      <c r="AH156" s="85"/>
      <c r="AI156" s="85"/>
    </row>
    <row r="157" spans="18:35" x14ac:dyDescent="0.3">
      <c r="R157" s="85"/>
      <c r="S157" s="85"/>
      <c r="T157" s="85"/>
      <c r="W157" s="85"/>
      <c r="X157" s="85"/>
      <c r="Y157" s="85"/>
      <c r="AB157" s="85"/>
      <c r="AC157" s="85"/>
      <c r="AD157" s="85"/>
      <c r="AG157" s="85"/>
      <c r="AH157" s="85"/>
      <c r="AI157" s="85"/>
    </row>
    <row r="158" spans="18:35" x14ac:dyDescent="0.3">
      <c r="R158" s="85"/>
      <c r="S158" s="85"/>
      <c r="T158" s="85"/>
      <c r="W158" s="85"/>
      <c r="X158" s="85"/>
      <c r="Y158" s="85"/>
      <c r="AB158" s="85"/>
      <c r="AC158" s="85"/>
      <c r="AD158" s="85"/>
      <c r="AG158" s="85"/>
      <c r="AH158" s="85"/>
      <c r="AI158" s="85"/>
    </row>
    <row r="159" spans="18:35" x14ac:dyDescent="0.3">
      <c r="R159" s="85"/>
      <c r="S159" s="85"/>
      <c r="T159" s="85"/>
      <c r="W159" s="85"/>
      <c r="X159" s="85"/>
      <c r="Y159" s="85"/>
      <c r="AB159" s="85"/>
      <c r="AC159" s="85"/>
      <c r="AD159" s="85"/>
      <c r="AG159" s="85"/>
      <c r="AH159" s="85"/>
      <c r="AI159" s="85"/>
    </row>
    <row r="160" spans="18:35" x14ac:dyDescent="0.3">
      <c r="R160" s="85"/>
      <c r="S160" s="85"/>
      <c r="T160" s="85"/>
      <c r="W160" s="85"/>
      <c r="X160" s="85"/>
      <c r="Y160" s="85"/>
      <c r="AB160" s="85"/>
      <c r="AC160" s="85"/>
      <c r="AD160" s="85"/>
      <c r="AG160" s="85"/>
      <c r="AH160" s="85"/>
      <c r="AI160" s="85"/>
    </row>
    <row r="161" spans="18:35" x14ac:dyDescent="0.3">
      <c r="R161" s="85"/>
      <c r="S161" s="85"/>
      <c r="T161" s="85"/>
      <c r="W161" s="85"/>
      <c r="X161" s="85"/>
      <c r="Y161" s="85"/>
      <c r="AB161" s="85"/>
      <c r="AC161" s="85"/>
      <c r="AD161" s="85"/>
      <c r="AG161" s="85"/>
      <c r="AH161" s="85"/>
      <c r="AI161" s="85"/>
    </row>
    <row r="162" spans="18:35" x14ac:dyDescent="0.3">
      <c r="R162" s="85"/>
      <c r="S162" s="85"/>
      <c r="T162" s="85"/>
      <c r="W162" s="85"/>
      <c r="X162" s="85"/>
      <c r="Y162" s="85"/>
      <c r="AB162" s="85"/>
      <c r="AC162" s="85"/>
      <c r="AD162" s="85"/>
      <c r="AG162" s="85"/>
      <c r="AH162" s="85"/>
      <c r="AI162" s="85"/>
    </row>
    <row r="163" spans="18:35" x14ac:dyDescent="0.3">
      <c r="R163" s="85"/>
      <c r="S163" s="85"/>
      <c r="T163" s="85"/>
      <c r="W163" s="85"/>
      <c r="X163" s="85"/>
      <c r="Y163" s="85"/>
      <c r="AB163" s="85"/>
      <c r="AC163" s="85"/>
      <c r="AD163" s="85"/>
      <c r="AG163" s="85"/>
      <c r="AH163" s="85"/>
      <c r="AI163" s="85"/>
    </row>
    <row r="164" spans="18:35" x14ac:dyDescent="0.3">
      <c r="R164" s="85"/>
      <c r="S164" s="85"/>
      <c r="T164" s="85"/>
      <c r="W164" s="85"/>
      <c r="X164" s="85"/>
      <c r="Y164" s="85"/>
      <c r="AB164" s="85"/>
      <c r="AC164" s="85"/>
      <c r="AD164" s="85"/>
      <c r="AG164" s="85"/>
      <c r="AH164" s="85"/>
      <c r="AI164" s="85"/>
    </row>
    <row r="165" spans="18:35" x14ac:dyDescent="0.3">
      <c r="R165" s="85"/>
      <c r="S165" s="85"/>
      <c r="T165" s="85"/>
      <c r="W165" s="85"/>
      <c r="X165" s="85"/>
      <c r="Y165" s="85"/>
      <c r="AB165" s="85"/>
      <c r="AC165" s="85"/>
      <c r="AD165" s="85"/>
      <c r="AG165" s="85"/>
      <c r="AH165" s="85"/>
      <c r="AI165" s="85"/>
    </row>
    <row r="166" spans="18:35" x14ac:dyDescent="0.3">
      <c r="R166" s="85"/>
      <c r="S166" s="85"/>
      <c r="T166" s="85"/>
      <c r="W166" s="85"/>
      <c r="X166" s="85"/>
      <c r="Y166" s="85"/>
      <c r="AB166" s="85"/>
      <c r="AC166" s="85"/>
      <c r="AD166" s="85"/>
      <c r="AG166" s="85"/>
      <c r="AH166" s="85"/>
      <c r="AI166" s="85"/>
    </row>
    <row r="167" spans="18:35" x14ac:dyDescent="0.3">
      <c r="R167" s="85"/>
      <c r="S167" s="85"/>
      <c r="T167" s="85"/>
      <c r="W167" s="85"/>
      <c r="X167" s="85"/>
      <c r="Y167" s="85"/>
      <c r="AB167" s="85"/>
      <c r="AC167" s="85"/>
      <c r="AD167" s="85"/>
      <c r="AG167" s="85"/>
      <c r="AH167" s="85"/>
      <c r="AI167" s="85"/>
    </row>
    <row r="168" spans="18:35" x14ac:dyDescent="0.3">
      <c r="R168" s="85"/>
      <c r="S168" s="85"/>
      <c r="T168" s="85"/>
      <c r="W168" s="85"/>
      <c r="X168" s="85"/>
      <c r="Y168" s="85"/>
      <c r="AB168" s="85"/>
      <c r="AC168" s="85"/>
      <c r="AD168" s="85"/>
      <c r="AG168" s="85"/>
      <c r="AH168" s="85"/>
      <c r="AI168" s="85"/>
    </row>
    <row r="169" spans="18:35" x14ac:dyDescent="0.3">
      <c r="R169" s="85"/>
      <c r="S169" s="85"/>
      <c r="T169" s="85"/>
      <c r="W169" s="85"/>
      <c r="X169" s="85"/>
      <c r="Y169" s="85"/>
      <c r="AB169" s="85"/>
      <c r="AC169" s="85"/>
      <c r="AD169" s="85"/>
      <c r="AG169" s="85"/>
      <c r="AH169" s="85"/>
      <c r="AI169" s="85"/>
    </row>
    <row r="170" spans="18:35" x14ac:dyDescent="0.3">
      <c r="R170" s="85"/>
      <c r="S170" s="85"/>
      <c r="T170" s="85"/>
      <c r="W170" s="85"/>
      <c r="X170" s="85"/>
      <c r="Y170" s="85"/>
      <c r="AB170" s="85"/>
      <c r="AC170" s="85"/>
      <c r="AD170" s="85"/>
      <c r="AG170" s="85"/>
      <c r="AH170" s="85"/>
      <c r="AI170" s="85"/>
    </row>
    <row r="171" spans="18:35" x14ac:dyDescent="0.3">
      <c r="R171" s="85"/>
      <c r="S171" s="85"/>
      <c r="T171" s="85"/>
      <c r="W171" s="85"/>
      <c r="X171" s="85"/>
      <c r="Y171" s="85"/>
      <c r="AB171" s="85"/>
      <c r="AC171" s="85"/>
      <c r="AD171" s="85"/>
      <c r="AG171" s="85"/>
      <c r="AH171" s="85"/>
      <c r="AI171" s="85"/>
    </row>
    <row r="172" spans="18:35" x14ac:dyDescent="0.3">
      <c r="R172" s="85"/>
      <c r="S172" s="85"/>
      <c r="T172" s="85"/>
      <c r="W172" s="85"/>
      <c r="X172" s="85"/>
      <c r="Y172" s="85"/>
      <c r="AB172" s="85"/>
      <c r="AC172" s="85"/>
      <c r="AD172" s="85"/>
      <c r="AG172" s="85"/>
      <c r="AH172" s="85"/>
      <c r="AI172" s="85"/>
    </row>
    <row r="173" spans="18:35" x14ac:dyDescent="0.3">
      <c r="R173" s="85"/>
      <c r="S173" s="85"/>
      <c r="T173" s="85"/>
      <c r="W173" s="85"/>
      <c r="X173" s="85"/>
      <c r="Y173" s="85"/>
      <c r="AB173" s="85"/>
      <c r="AC173" s="85"/>
      <c r="AD173" s="85"/>
      <c r="AG173" s="85"/>
      <c r="AH173" s="85"/>
      <c r="AI173" s="85"/>
    </row>
    <row r="174" spans="18:35" x14ac:dyDescent="0.3">
      <c r="R174" s="85"/>
      <c r="S174" s="85"/>
      <c r="T174" s="85"/>
      <c r="W174" s="85"/>
      <c r="X174" s="85"/>
      <c r="Y174" s="85"/>
      <c r="AB174" s="85"/>
      <c r="AC174" s="85"/>
      <c r="AD174" s="85"/>
      <c r="AG174" s="85"/>
      <c r="AH174" s="85"/>
      <c r="AI174" s="85"/>
    </row>
    <row r="175" spans="18:35" x14ac:dyDescent="0.3">
      <c r="R175" s="85"/>
      <c r="S175" s="85"/>
      <c r="T175" s="85"/>
      <c r="W175" s="85"/>
      <c r="X175" s="85"/>
      <c r="Y175" s="85"/>
      <c r="AB175" s="85"/>
      <c r="AC175" s="85"/>
      <c r="AD175" s="85"/>
      <c r="AG175" s="85"/>
      <c r="AH175" s="85"/>
      <c r="AI175" s="85"/>
    </row>
    <row r="176" spans="18:35" x14ac:dyDescent="0.3">
      <c r="R176" s="85"/>
      <c r="S176" s="85"/>
      <c r="T176" s="85"/>
      <c r="W176" s="85"/>
      <c r="X176" s="85"/>
      <c r="Y176" s="85"/>
      <c r="AB176" s="85"/>
      <c r="AC176" s="85"/>
      <c r="AD176" s="85"/>
      <c r="AG176" s="85"/>
      <c r="AH176" s="85"/>
      <c r="AI176" s="85"/>
    </row>
    <row r="177" spans="18:35" x14ac:dyDescent="0.3">
      <c r="R177" s="85"/>
      <c r="S177" s="85"/>
      <c r="T177" s="85"/>
      <c r="W177" s="85"/>
      <c r="X177" s="85"/>
      <c r="Y177" s="85"/>
      <c r="AB177" s="85"/>
      <c r="AC177" s="85"/>
      <c r="AD177" s="85"/>
      <c r="AG177" s="85"/>
      <c r="AH177" s="85"/>
      <c r="AI177" s="85"/>
    </row>
    <row r="178" spans="18:35" x14ac:dyDescent="0.3">
      <c r="R178" s="85"/>
      <c r="S178" s="85"/>
      <c r="T178" s="85"/>
      <c r="W178" s="85"/>
      <c r="X178" s="85"/>
      <c r="Y178" s="85"/>
      <c r="AB178" s="85"/>
      <c r="AC178" s="85"/>
      <c r="AD178" s="85"/>
      <c r="AG178" s="85"/>
      <c r="AH178" s="85"/>
      <c r="AI178" s="85"/>
    </row>
    <row r="179" spans="18:35" x14ac:dyDescent="0.3">
      <c r="R179" s="85"/>
      <c r="S179" s="85"/>
      <c r="T179" s="85"/>
      <c r="W179" s="85"/>
      <c r="X179" s="85"/>
      <c r="Y179" s="85"/>
      <c r="AB179" s="85"/>
      <c r="AC179" s="85"/>
      <c r="AD179" s="85"/>
      <c r="AG179" s="85"/>
      <c r="AH179" s="85"/>
      <c r="AI179" s="85"/>
    </row>
    <row r="180" spans="18:35" x14ac:dyDescent="0.3">
      <c r="R180" s="85"/>
      <c r="S180" s="85"/>
      <c r="T180" s="85"/>
      <c r="W180" s="85"/>
      <c r="X180" s="85"/>
      <c r="Y180" s="85"/>
      <c r="AB180" s="85"/>
      <c r="AC180" s="85"/>
      <c r="AD180" s="85"/>
      <c r="AG180" s="85"/>
      <c r="AH180" s="85"/>
      <c r="AI180" s="85"/>
    </row>
    <row r="181" spans="18:35" x14ac:dyDescent="0.3">
      <c r="R181" s="85"/>
      <c r="S181" s="85"/>
      <c r="T181" s="85"/>
      <c r="W181" s="85"/>
      <c r="X181" s="85"/>
      <c r="Y181" s="85"/>
      <c r="AB181" s="85"/>
      <c r="AC181" s="85"/>
      <c r="AD181" s="85"/>
      <c r="AG181" s="85"/>
      <c r="AH181" s="85"/>
      <c r="AI181" s="85"/>
    </row>
    <row r="182" spans="18:35" x14ac:dyDescent="0.3">
      <c r="R182" s="85"/>
      <c r="S182" s="85"/>
      <c r="T182" s="85"/>
      <c r="W182" s="85"/>
      <c r="X182" s="85"/>
      <c r="Y182" s="85"/>
      <c r="AB182" s="85"/>
      <c r="AC182" s="85"/>
      <c r="AD182" s="85"/>
      <c r="AG182" s="85"/>
      <c r="AH182" s="85"/>
      <c r="AI182" s="85"/>
    </row>
    <row r="183" spans="18:35" x14ac:dyDescent="0.3">
      <c r="R183" s="85"/>
      <c r="S183" s="85"/>
      <c r="T183" s="85"/>
      <c r="W183" s="85"/>
      <c r="X183" s="85"/>
      <c r="Y183" s="85"/>
      <c r="AB183" s="85"/>
      <c r="AC183" s="85"/>
      <c r="AD183" s="85"/>
      <c r="AG183" s="85"/>
      <c r="AH183" s="85"/>
      <c r="AI183" s="85"/>
    </row>
    <row r="184" spans="18:35" x14ac:dyDescent="0.3">
      <c r="R184" s="85"/>
      <c r="S184" s="85"/>
      <c r="T184" s="85"/>
      <c r="W184" s="85"/>
      <c r="X184" s="85"/>
      <c r="Y184" s="85"/>
      <c r="AB184" s="85"/>
      <c r="AC184" s="85"/>
      <c r="AD184" s="85"/>
      <c r="AG184" s="85"/>
      <c r="AH184" s="85"/>
      <c r="AI184" s="85"/>
    </row>
    <row r="185" spans="18:35" x14ac:dyDescent="0.3">
      <c r="R185" s="85"/>
      <c r="S185" s="85"/>
      <c r="T185" s="85"/>
      <c r="W185" s="85"/>
      <c r="X185" s="85"/>
      <c r="Y185" s="85"/>
      <c r="AB185" s="85"/>
      <c r="AC185" s="85"/>
      <c r="AD185" s="85"/>
      <c r="AG185" s="85"/>
      <c r="AH185" s="85"/>
      <c r="AI185" s="85"/>
    </row>
    <row r="186" spans="18:35" x14ac:dyDescent="0.3">
      <c r="R186" s="85"/>
      <c r="S186" s="85"/>
      <c r="T186" s="85"/>
      <c r="W186" s="85"/>
      <c r="X186" s="85"/>
      <c r="Y186" s="85"/>
      <c r="AB186" s="85"/>
      <c r="AC186" s="85"/>
      <c r="AD186" s="85"/>
      <c r="AG186" s="85"/>
      <c r="AH186" s="85"/>
      <c r="AI186" s="85"/>
    </row>
    <row r="187" spans="18:35" x14ac:dyDescent="0.3">
      <c r="R187" s="85"/>
      <c r="S187" s="85"/>
      <c r="T187" s="85"/>
      <c r="W187" s="85"/>
      <c r="X187" s="85"/>
      <c r="Y187" s="85"/>
      <c r="AB187" s="85"/>
      <c r="AC187" s="85"/>
      <c r="AD187" s="85"/>
      <c r="AG187" s="85"/>
      <c r="AH187" s="85"/>
      <c r="AI187" s="85"/>
    </row>
    <row r="188" spans="18:35" x14ac:dyDescent="0.3">
      <c r="R188" s="85"/>
      <c r="S188" s="85"/>
      <c r="T188" s="85"/>
      <c r="W188" s="85"/>
      <c r="X188" s="85"/>
      <c r="Y188" s="85"/>
      <c r="AB188" s="85"/>
      <c r="AC188" s="85"/>
      <c r="AD188" s="85"/>
      <c r="AG188" s="85"/>
      <c r="AH188" s="85"/>
      <c r="AI188" s="85"/>
    </row>
    <row r="189" spans="18:35" x14ac:dyDescent="0.3">
      <c r="R189" s="85"/>
      <c r="S189" s="85"/>
      <c r="T189" s="85"/>
      <c r="W189" s="85"/>
      <c r="X189" s="85"/>
      <c r="Y189" s="85"/>
      <c r="AB189" s="85"/>
      <c r="AC189" s="85"/>
      <c r="AD189" s="85"/>
      <c r="AG189" s="85"/>
      <c r="AH189" s="85"/>
      <c r="AI189" s="85"/>
    </row>
    <row r="190" spans="18:35" x14ac:dyDescent="0.3">
      <c r="R190" s="85"/>
      <c r="S190" s="85"/>
      <c r="T190" s="85"/>
      <c r="W190" s="85"/>
      <c r="X190" s="85"/>
      <c r="Y190" s="85"/>
      <c r="AB190" s="85"/>
      <c r="AC190" s="85"/>
      <c r="AD190" s="85"/>
      <c r="AG190" s="85"/>
      <c r="AH190" s="85"/>
      <c r="AI190" s="85"/>
    </row>
    <row r="191" spans="18:35" x14ac:dyDescent="0.3">
      <c r="R191" s="85"/>
      <c r="S191" s="85"/>
      <c r="T191" s="85"/>
      <c r="W191" s="85"/>
      <c r="X191" s="85"/>
      <c r="Y191" s="85"/>
      <c r="AB191" s="85"/>
      <c r="AC191" s="85"/>
      <c r="AD191" s="85"/>
      <c r="AG191" s="85"/>
      <c r="AH191" s="85"/>
      <c r="AI191" s="85"/>
    </row>
    <row r="192" spans="18:35" x14ac:dyDescent="0.3">
      <c r="R192" s="85"/>
      <c r="S192" s="85"/>
      <c r="T192" s="85"/>
      <c r="W192" s="85"/>
      <c r="X192" s="85"/>
      <c r="Y192" s="85"/>
      <c r="AB192" s="85"/>
      <c r="AC192" s="85"/>
      <c r="AD192" s="85"/>
      <c r="AG192" s="85"/>
      <c r="AH192" s="85"/>
      <c r="AI192" s="85"/>
    </row>
    <row r="193" spans="18:35" x14ac:dyDescent="0.3">
      <c r="R193" s="85"/>
      <c r="S193" s="85"/>
      <c r="T193" s="85"/>
      <c r="W193" s="85"/>
      <c r="X193" s="85"/>
      <c r="Y193" s="85"/>
      <c r="AB193" s="85"/>
      <c r="AC193" s="85"/>
      <c r="AD193" s="85"/>
      <c r="AG193" s="85"/>
      <c r="AH193" s="85"/>
      <c r="AI193" s="85"/>
    </row>
    <row r="194" spans="18:35" x14ac:dyDescent="0.3">
      <c r="R194" s="85"/>
      <c r="S194" s="85"/>
      <c r="T194" s="85"/>
      <c r="W194" s="85"/>
      <c r="X194" s="85"/>
      <c r="Y194" s="85"/>
      <c r="AB194" s="85"/>
      <c r="AC194" s="85"/>
      <c r="AD194" s="85"/>
      <c r="AG194" s="85"/>
      <c r="AH194" s="85"/>
      <c r="AI194" s="85"/>
    </row>
    <row r="195" spans="18:35" x14ac:dyDescent="0.3">
      <c r="R195" s="85"/>
      <c r="S195" s="85"/>
      <c r="T195" s="85"/>
      <c r="W195" s="85"/>
      <c r="X195" s="85"/>
      <c r="Y195" s="85"/>
      <c r="AB195" s="85"/>
      <c r="AC195" s="85"/>
      <c r="AD195" s="85"/>
      <c r="AG195" s="85"/>
      <c r="AH195" s="85"/>
      <c r="AI195" s="85"/>
    </row>
    <row r="196" spans="18:35" x14ac:dyDescent="0.3">
      <c r="R196" s="85"/>
      <c r="S196" s="85"/>
      <c r="T196" s="85"/>
      <c r="W196" s="85"/>
      <c r="X196" s="85"/>
      <c r="Y196" s="85"/>
      <c r="AB196" s="85"/>
      <c r="AC196" s="85"/>
      <c r="AD196" s="85"/>
      <c r="AG196" s="85"/>
      <c r="AH196" s="85"/>
      <c r="AI196" s="85"/>
    </row>
    <row r="197" spans="18:35" x14ac:dyDescent="0.3">
      <c r="R197" s="85"/>
      <c r="S197" s="85"/>
      <c r="T197" s="85"/>
      <c r="W197" s="85"/>
      <c r="X197" s="85"/>
      <c r="Y197" s="85"/>
      <c r="AB197" s="85"/>
      <c r="AC197" s="85"/>
      <c r="AD197" s="85"/>
      <c r="AG197" s="85"/>
      <c r="AH197" s="85"/>
      <c r="AI197" s="85"/>
    </row>
    <row r="198" spans="18:35" x14ac:dyDescent="0.3">
      <c r="R198" s="85"/>
      <c r="S198" s="85"/>
      <c r="T198" s="85"/>
      <c r="W198" s="85"/>
      <c r="X198" s="85"/>
      <c r="Y198" s="85"/>
      <c r="AB198" s="85"/>
      <c r="AC198" s="85"/>
      <c r="AD198" s="85"/>
      <c r="AG198" s="85"/>
      <c r="AH198" s="85"/>
      <c r="AI198" s="85"/>
    </row>
    <row r="199" spans="18:35" x14ac:dyDescent="0.3">
      <c r="R199" s="85"/>
      <c r="S199" s="85"/>
      <c r="T199" s="85"/>
      <c r="W199" s="85"/>
      <c r="X199" s="85"/>
      <c r="Y199" s="85"/>
      <c r="AB199" s="85"/>
      <c r="AC199" s="85"/>
      <c r="AD199" s="85"/>
      <c r="AG199" s="85"/>
      <c r="AH199" s="85"/>
      <c r="AI199" s="85"/>
    </row>
    <row r="200" spans="18:35" x14ac:dyDescent="0.3">
      <c r="R200" s="85"/>
      <c r="S200" s="85"/>
      <c r="T200" s="85"/>
      <c r="W200" s="85"/>
      <c r="X200" s="85"/>
      <c r="Y200" s="85"/>
      <c r="AB200" s="85"/>
      <c r="AC200" s="85"/>
      <c r="AD200" s="85"/>
      <c r="AG200" s="85"/>
      <c r="AH200" s="85"/>
      <c r="AI200" s="85"/>
    </row>
    <row r="201" spans="18:35" x14ac:dyDescent="0.3">
      <c r="R201" s="85"/>
      <c r="S201" s="85"/>
      <c r="T201" s="85"/>
      <c r="W201" s="85"/>
      <c r="X201" s="85"/>
      <c r="Y201" s="85"/>
      <c r="AB201" s="85"/>
      <c r="AC201" s="85"/>
      <c r="AD201" s="85"/>
      <c r="AG201" s="85"/>
      <c r="AH201" s="85"/>
      <c r="AI201" s="85"/>
    </row>
    <row r="202" spans="18:35" x14ac:dyDescent="0.3">
      <c r="R202" s="85"/>
      <c r="S202" s="85"/>
      <c r="T202" s="85"/>
      <c r="W202" s="85"/>
      <c r="X202" s="85"/>
      <c r="Y202" s="85"/>
      <c r="AB202" s="85"/>
      <c r="AC202" s="85"/>
      <c r="AD202" s="85"/>
      <c r="AG202" s="85"/>
      <c r="AH202" s="85"/>
      <c r="AI202" s="85"/>
    </row>
    <row r="203" spans="18:35" x14ac:dyDescent="0.3">
      <c r="R203" s="85"/>
      <c r="S203" s="85"/>
      <c r="T203" s="85"/>
      <c r="W203" s="85"/>
      <c r="X203" s="85"/>
      <c r="Y203" s="85"/>
      <c r="AB203" s="85"/>
      <c r="AC203" s="85"/>
      <c r="AD203" s="85"/>
      <c r="AG203" s="85"/>
      <c r="AH203" s="85"/>
      <c r="AI203" s="85"/>
    </row>
    <row r="204" spans="18:35" x14ac:dyDescent="0.3">
      <c r="R204" s="85"/>
      <c r="S204" s="85"/>
      <c r="T204" s="85"/>
      <c r="W204" s="85"/>
      <c r="X204" s="85"/>
      <c r="Y204" s="85"/>
      <c r="AB204" s="85"/>
      <c r="AC204" s="85"/>
      <c r="AD204" s="85"/>
      <c r="AG204" s="85"/>
      <c r="AH204" s="85"/>
      <c r="AI204" s="85"/>
    </row>
    <row r="205" spans="18:35" x14ac:dyDescent="0.3">
      <c r="R205" s="85"/>
      <c r="S205" s="85"/>
      <c r="T205" s="85"/>
      <c r="W205" s="85"/>
      <c r="X205" s="85"/>
      <c r="Y205" s="85"/>
      <c r="AB205" s="85"/>
      <c r="AC205" s="85"/>
      <c r="AD205" s="85"/>
      <c r="AG205" s="85"/>
      <c r="AH205" s="85"/>
      <c r="AI205" s="85"/>
    </row>
    <row r="206" spans="18:35" x14ac:dyDescent="0.3">
      <c r="R206" s="85"/>
      <c r="S206" s="85"/>
      <c r="T206" s="85"/>
      <c r="W206" s="85"/>
      <c r="X206" s="85"/>
      <c r="Y206" s="85"/>
      <c r="AB206" s="85"/>
      <c r="AC206" s="85"/>
      <c r="AD206" s="85"/>
      <c r="AG206" s="85"/>
      <c r="AH206" s="85"/>
      <c r="AI206" s="85"/>
    </row>
    <row r="207" spans="18:35" x14ac:dyDescent="0.3">
      <c r="R207" s="85"/>
      <c r="S207" s="85"/>
      <c r="T207" s="85"/>
      <c r="W207" s="85"/>
      <c r="X207" s="85"/>
      <c r="Y207" s="85"/>
      <c r="AB207" s="85"/>
      <c r="AC207" s="85"/>
      <c r="AD207" s="85"/>
      <c r="AG207" s="85"/>
      <c r="AH207" s="85"/>
      <c r="AI207" s="85"/>
    </row>
    <row r="208" spans="18:35" x14ac:dyDescent="0.3">
      <c r="R208" s="85"/>
      <c r="S208" s="85"/>
      <c r="T208" s="85"/>
      <c r="W208" s="85"/>
      <c r="X208" s="85"/>
      <c r="Y208" s="85"/>
      <c r="AB208" s="85"/>
      <c r="AC208" s="85"/>
      <c r="AD208" s="85"/>
      <c r="AG208" s="85"/>
      <c r="AH208" s="85"/>
      <c r="AI208" s="85"/>
    </row>
    <row r="209" spans="18:35" x14ac:dyDescent="0.3">
      <c r="R209" s="85"/>
      <c r="S209" s="85"/>
      <c r="T209" s="85"/>
      <c r="W209" s="85"/>
      <c r="X209" s="85"/>
      <c r="Y209" s="85"/>
      <c r="AB209" s="85"/>
      <c r="AC209" s="85"/>
      <c r="AD209" s="85"/>
      <c r="AG209" s="85"/>
      <c r="AH209" s="85"/>
      <c r="AI209" s="85"/>
    </row>
    <row r="210" spans="18:35" x14ac:dyDescent="0.3">
      <c r="R210" s="85"/>
      <c r="S210" s="85"/>
      <c r="T210" s="85"/>
      <c r="W210" s="85"/>
      <c r="X210" s="85"/>
      <c r="Y210" s="85"/>
      <c r="AB210" s="85"/>
      <c r="AC210" s="85"/>
      <c r="AD210" s="85"/>
      <c r="AG210" s="85"/>
      <c r="AH210" s="85"/>
      <c r="AI210" s="85"/>
    </row>
    <row r="211" spans="18:35" x14ac:dyDescent="0.3">
      <c r="R211" s="85"/>
      <c r="S211" s="85"/>
      <c r="T211" s="85"/>
      <c r="W211" s="85"/>
      <c r="X211" s="85"/>
      <c r="Y211" s="85"/>
      <c r="AB211" s="85"/>
      <c r="AC211" s="85"/>
      <c r="AD211" s="85"/>
      <c r="AG211" s="85"/>
      <c r="AH211" s="85"/>
      <c r="AI211" s="85"/>
    </row>
    <row r="212" spans="18:35" x14ac:dyDescent="0.3">
      <c r="R212" s="85"/>
      <c r="S212" s="85"/>
      <c r="T212" s="85"/>
      <c r="W212" s="85"/>
      <c r="X212" s="85"/>
      <c r="Y212" s="85"/>
      <c r="AB212" s="85"/>
      <c r="AC212" s="85"/>
      <c r="AD212" s="85"/>
      <c r="AG212" s="85"/>
      <c r="AH212" s="85"/>
      <c r="AI212" s="85"/>
    </row>
    <row r="213" spans="18:35" x14ac:dyDescent="0.3">
      <c r="R213" s="85"/>
      <c r="S213" s="85"/>
      <c r="T213" s="85"/>
      <c r="W213" s="85"/>
      <c r="X213" s="85"/>
      <c r="Y213" s="85"/>
      <c r="AB213" s="85"/>
      <c r="AC213" s="85"/>
      <c r="AD213" s="85"/>
      <c r="AG213" s="85"/>
      <c r="AH213" s="85"/>
      <c r="AI213" s="85"/>
    </row>
    <row r="214" spans="18:35" x14ac:dyDescent="0.3">
      <c r="R214" s="85"/>
      <c r="S214" s="85"/>
      <c r="T214" s="85"/>
      <c r="W214" s="85"/>
      <c r="X214" s="85"/>
      <c r="Y214" s="85"/>
      <c r="AB214" s="85"/>
      <c r="AC214" s="85"/>
      <c r="AD214" s="85"/>
      <c r="AG214" s="85"/>
      <c r="AH214" s="85"/>
      <c r="AI214" s="85"/>
    </row>
    <row r="215" spans="18:35" x14ac:dyDescent="0.3">
      <c r="R215" s="85"/>
      <c r="S215" s="85"/>
      <c r="T215" s="85"/>
      <c r="W215" s="85"/>
      <c r="X215" s="85"/>
      <c r="Y215" s="85"/>
      <c r="AB215" s="85"/>
      <c r="AC215" s="85"/>
      <c r="AD215" s="85"/>
      <c r="AG215" s="85"/>
      <c r="AH215" s="85"/>
      <c r="AI215" s="85"/>
    </row>
    <row r="216" spans="18:35" x14ac:dyDescent="0.3">
      <c r="R216" s="85"/>
      <c r="S216" s="85"/>
      <c r="T216" s="85"/>
      <c r="W216" s="85"/>
      <c r="X216" s="85"/>
      <c r="Y216" s="85"/>
      <c r="AB216" s="85"/>
      <c r="AC216" s="85"/>
      <c r="AD216" s="85"/>
      <c r="AG216" s="85"/>
      <c r="AH216" s="85"/>
      <c r="AI216" s="85"/>
    </row>
    <row r="217" spans="18:35" x14ac:dyDescent="0.3">
      <c r="R217" s="85"/>
      <c r="S217" s="85"/>
      <c r="T217" s="85"/>
      <c r="W217" s="85"/>
      <c r="X217" s="85"/>
      <c r="Y217" s="85"/>
      <c r="AB217" s="85"/>
      <c r="AC217" s="85"/>
      <c r="AD217" s="85"/>
      <c r="AG217" s="85"/>
      <c r="AH217" s="85"/>
      <c r="AI217" s="85"/>
    </row>
    <row r="218" spans="18:35" x14ac:dyDescent="0.3">
      <c r="R218" s="85"/>
      <c r="S218" s="85"/>
      <c r="T218" s="85"/>
      <c r="W218" s="85"/>
      <c r="X218" s="85"/>
      <c r="Y218" s="85"/>
      <c r="AB218" s="85"/>
      <c r="AC218" s="85"/>
      <c r="AD218" s="85"/>
      <c r="AG218" s="85"/>
      <c r="AH218" s="85"/>
      <c r="AI218" s="85"/>
    </row>
    <row r="219" spans="18:35" x14ac:dyDescent="0.3">
      <c r="R219" s="85"/>
      <c r="S219" s="85"/>
      <c r="T219" s="85"/>
      <c r="W219" s="85"/>
      <c r="X219" s="85"/>
      <c r="Y219" s="85"/>
      <c r="AB219" s="85"/>
      <c r="AC219" s="85"/>
      <c r="AD219" s="85"/>
      <c r="AG219" s="85"/>
      <c r="AH219" s="85"/>
      <c r="AI219" s="85"/>
    </row>
    <row r="220" spans="18:35" x14ac:dyDescent="0.3">
      <c r="R220" s="85"/>
      <c r="S220" s="85"/>
      <c r="T220" s="85"/>
      <c r="W220" s="85"/>
      <c r="X220" s="85"/>
      <c r="Y220" s="85"/>
      <c r="AB220" s="85"/>
      <c r="AC220" s="85"/>
      <c r="AD220" s="85"/>
      <c r="AG220" s="85"/>
      <c r="AH220" s="85"/>
      <c r="AI220" s="85"/>
    </row>
    <row r="221" spans="18:35" x14ac:dyDescent="0.3">
      <c r="R221" s="85"/>
      <c r="S221" s="85"/>
      <c r="T221" s="85"/>
      <c r="W221" s="85"/>
      <c r="X221" s="85"/>
      <c r="Y221" s="85"/>
      <c r="AB221" s="85"/>
      <c r="AC221" s="85"/>
      <c r="AD221" s="85"/>
      <c r="AG221" s="85"/>
      <c r="AH221" s="85"/>
      <c r="AI221" s="85"/>
    </row>
    <row r="222" spans="18:35" x14ac:dyDescent="0.3">
      <c r="R222" s="85"/>
      <c r="S222" s="85"/>
      <c r="T222" s="85"/>
      <c r="W222" s="85"/>
      <c r="X222" s="85"/>
      <c r="Y222" s="85"/>
      <c r="AB222" s="85"/>
      <c r="AC222" s="85"/>
      <c r="AD222" s="85"/>
      <c r="AG222" s="85"/>
      <c r="AH222" s="85"/>
      <c r="AI222" s="85"/>
    </row>
    <row r="223" spans="18:35" x14ac:dyDescent="0.3">
      <c r="R223" s="85"/>
      <c r="S223" s="85"/>
      <c r="T223" s="85"/>
      <c r="W223" s="85"/>
      <c r="X223" s="85"/>
      <c r="Y223" s="85"/>
      <c r="AB223" s="85"/>
      <c r="AC223" s="85"/>
      <c r="AD223" s="85"/>
      <c r="AG223" s="85"/>
      <c r="AH223" s="85"/>
      <c r="AI223" s="85"/>
    </row>
    <row r="224" spans="18:35" x14ac:dyDescent="0.3">
      <c r="R224" s="85"/>
      <c r="S224" s="85"/>
      <c r="T224" s="85"/>
      <c r="W224" s="85"/>
      <c r="X224" s="85"/>
      <c r="Y224" s="85"/>
      <c r="AB224" s="85"/>
      <c r="AC224" s="85"/>
      <c r="AD224" s="85"/>
      <c r="AG224" s="85"/>
      <c r="AH224" s="85"/>
      <c r="AI224" s="85"/>
    </row>
    <row r="225" spans="18:35" x14ac:dyDescent="0.3">
      <c r="R225" s="85"/>
      <c r="S225" s="85"/>
      <c r="T225" s="85"/>
      <c r="W225" s="85"/>
      <c r="X225" s="85"/>
      <c r="Y225" s="85"/>
      <c r="AB225" s="85"/>
      <c r="AC225" s="85"/>
      <c r="AD225" s="85"/>
      <c r="AG225" s="85"/>
      <c r="AH225" s="85"/>
      <c r="AI225" s="85"/>
    </row>
    <row r="226" spans="18:35" x14ac:dyDescent="0.3">
      <c r="R226" s="85"/>
      <c r="S226" s="85"/>
      <c r="T226" s="85"/>
      <c r="W226" s="85"/>
      <c r="X226" s="85"/>
      <c r="Y226" s="85"/>
      <c r="AB226" s="85"/>
      <c r="AC226" s="85"/>
      <c r="AD226" s="85"/>
      <c r="AG226" s="85"/>
      <c r="AH226" s="85"/>
      <c r="AI226" s="85"/>
    </row>
    <row r="227" spans="18:35" x14ac:dyDescent="0.3">
      <c r="R227" s="85"/>
      <c r="S227" s="85"/>
      <c r="T227" s="85"/>
      <c r="W227" s="85"/>
      <c r="X227" s="85"/>
      <c r="Y227" s="85"/>
      <c r="AB227" s="85"/>
      <c r="AC227" s="85"/>
      <c r="AD227" s="85"/>
      <c r="AG227" s="85"/>
      <c r="AH227" s="85"/>
      <c r="AI227" s="85"/>
    </row>
    <row r="228" spans="18:35" x14ac:dyDescent="0.3">
      <c r="R228" s="85"/>
      <c r="S228" s="85"/>
      <c r="T228" s="85"/>
      <c r="W228" s="85"/>
      <c r="X228" s="85"/>
      <c r="Y228" s="85"/>
      <c r="AB228" s="85"/>
      <c r="AC228" s="85"/>
      <c r="AD228" s="85"/>
      <c r="AG228" s="85"/>
      <c r="AH228" s="85"/>
      <c r="AI228" s="85"/>
    </row>
    <row r="229" spans="18:35" x14ac:dyDescent="0.3">
      <c r="R229" s="85"/>
      <c r="S229" s="85"/>
      <c r="T229" s="85"/>
      <c r="W229" s="85"/>
      <c r="X229" s="85"/>
      <c r="Y229" s="85"/>
      <c r="AB229" s="85"/>
      <c r="AC229" s="85"/>
      <c r="AD229" s="85"/>
      <c r="AG229" s="85"/>
      <c r="AH229" s="85"/>
      <c r="AI229" s="85"/>
    </row>
    <row r="230" spans="18:35" x14ac:dyDescent="0.3">
      <c r="R230" s="85"/>
      <c r="S230" s="85"/>
      <c r="T230" s="85"/>
      <c r="W230" s="85"/>
      <c r="X230" s="85"/>
      <c r="Y230" s="85"/>
      <c r="AB230" s="85"/>
      <c r="AC230" s="85"/>
      <c r="AD230" s="85"/>
      <c r="AG230" s="85"/>
      <c r="AH230" s="85"/>
      <c r="AI230" s="85"/>
    </row>
    <row r="231" spans="18:35" x14ac:dyDescent="0.3">
      <c r="R231" s="85"/>
      <c r="S231" s="85"/>
      <c r="T231" s="85"/>
      <c r="W231" s="85"/>
      <c r="X231" s="85"/>
      <c r="Y231" s="85"/>
      <c r="AB231" s="85"/>
      <c r="AC231" s="85"/>
      <c r="AD231" s="85"/>
      <c r="AG231" s="85"/>
      <c r="AH231" s="85"/>
      <c r="AI231" s="85"/>
    </row>
    <row r="232" spans="18:35" x14ac:dyDescent="0.3">
      <c r="R232" s="85"/>
      <c r="S232" s="85"/>
      <c r="T232" s="85"/>
      <c r="W232" s="85"/>
      <c r="X232" s="85"/>
      <c r="Y232" s="85"/>
      <c r="AB232" s="85"/>
      <c r="AC232" s="85"/>
      <c r="AD232" s="85"/>
      <c r="AG232" s="85"/>
      <c r="AH232" s="85"/>
      <c r="AI232" s="85"/>
    </row>
    <row r="233" spans="18:35" x14ac:dyDescent="0.3">
      <c r="R233" s="85"/>
      <c r="S233" s="85"/>
      <c r="T233" s="85"/>
      <c r="W233" s="85"/>
      <c r="X233" s="85"/>
      <c r="Y233" s="85"/>
      <c r="AB233" s="85"/>
      <c r="AC233" s="85"/>
      <c r="AD233" s="85"/>
      <c r="AG233" s="85"/>
      <c r="AH233" s="85"/>
      <c r="AI233" s="85"/>
    </row>
    <row r="234" spans="18:35" x14ac:dyDescent="0.3">
      <c r="R234" s="85"/>
      <c r="S234" s="85"/>
      <c r="T234" s="85"/>
      <c r="W234" s="85"/>
      <c r="X234" s="85"/>
      <c r="Y234" s="85"/>
      <c r="AB234" s="85"/>
      <c r="AC234" s="85"/>
      <c r="AD234" s="85"/>
      <c r="AG234" s="85"/>
      <c r="AH234" s="85"/>
      <c r="AI234" s="85"/>
    </row>
    <row r="235" spans="18:35" x14ac:dyDescent="0.3">
      <c r="R235" s="85"/>
      <c r="S235" s="85"/>
      <c r="T235" s="85"/>
      <c r="W235" s="85"/>
      <c r="X235" s="85"/>
      <c r="Y235" s="85"/>
      <c r="AB235" s="85"/>
      <c r="AC235" s="85"/>
      <c r="AD235" s="85"/>
      <c r="AG235" s="85"/>
      <c r="AH235" s="85"/>
      <c r="AI235" s="85"/>
    </row>
    <row r="236" spans="18:35" x14ac:dyDescent="0.3">
      <c r="R236" s="85"/>
      <c r="S236" s="85"/>
      <c r="T236" s="85"/>
      <c r="W236" s="85"/>
      <c r="X236" s="85"/>
      <c r="Y236" s="85"/>
      <c r="AB236" s="85"/>
      <c r="AC236" s="85"/>
      <c r="AD236" s="85"/>
      <c r="AG236" s="85"/>
      <c r="AH236" s="85"/>
      <c r="AI236" s="85"/>
    </row>
    <row r="237" spans="18:35" x14ac:dyDescent="0.3">
      <c r="R237" s="85"/>
      <c r="S237" s="85"/>
      <c r="T237" s="85"/>
      <c r="W237" s="85"/>
      <c r="X237" s="85"/>
      <c r="Y237" s="85"/>
      <c r="AB237" s="85"/>
      <c r="AC237" s="85"/>
      <c r="AD237" s="85"/>
      <c r="AG237" s="85"/>
      <c r="AH237" s="85"/>
      <c r="AI237" s="85"/>
    </row>
    <row r="238" spans="18:35" x14ac:dyDescent="0.3">
      <c r="R238" s="85"/>
      <c r="S238" s="85"/>
      <c r="T238" s="85"/>
      <c r="W238" s="85"/>
      <c r="X238" s="85"/>
      <c r="Y238" s="85"/>
      <c r="AB238" s="85"/>
      <c r="AC238" s="85"/>
      <c r="AD238" s="85"/>
      <c r="AG238" s="85"/>
      <c r="AH238" s="85"/>
      <c r="AI238" s="85"/>
    </row>
    <row r="239" spans="18:35" x14ac:dyDescent="0.3">
      <c r="R239" s="85"/>
      <c r="S239" s="85"/>
      <c r="T239" s="85"/>
      <c r="W239" s="85"/>
      <c r="X239" s="85"/>
      <c r="Y239" s="85"/>
      <c r="AB239" s="85"/>
      <c r="AC239" s="85"/>
      <c r="AD239" s="85"/>
      <c r="AG239" s="85"/>
      <c r="AH239" s="85"/>
      <c r="AI239" s="85"/>
    </row>
    <row r="240" spans="18:35" x14ac:dyDescent="0.3">
      <c r="R240" s="85"/>
      <c r="S240" s="85"/>
      <c r="T240" s="85"/>
      <c r="W240" s="85"/>
      <c r="X240" s="85"/>
      <c r="Y240" s="85"/>
      <c r="AB240" s="85"/>
      <c r="AC240" s="85"/>
      <c r="AD240" s="85"/>
      <c r="AG240" s="85"/>
      <c r="AH240" s="85"/>
      <c r="AI240" s="85"/>
    </row>
    <row r="241" spans="18:35" x14ac:dyDescent="0.3">
      <c r="R241" s="85"/>
      <c r="S241" s="85"/>
      <c r="T241" s="85"/>
      <c r="W241" s="85"/>
      <c r="X241" s="85"/>
      <c r="Y241" s="85"/>
      <c r="AB241" s="85"/>
      <c r="AC241" s="85"/>
      <c r="AD241" s="85"/>
      <c r="AG241" s="85"/>
      <c r="AH241" s="85"/>
      <c r="AI241" s="85"/>
    </row>
    <row r="242" spans="18:35" x14ac:dyDescent="0.3">
      <c r="R242" s="85"/>
      <c r="S242" s="85"/>
      <c r="T242" s="85"/>
      <c r="W242" s="85"/>
      <c r="X242" s="85"/>
      <c r="Y242" s="85"/>
      <c r="AB242" s="85"/>
      <c r="AC242" s="85"/>
      <c r="AD242" s="85"/>
      <c r="AG242" s="85"/>
      <c r="AH242" s="85"/>
      <c r="AI242" s="85"/>
    </row>
    <row r="243" spans="18:35" x14ac:dyDescent="0.3">
      <c r="R243" s="85"/>
      <c r="S243" s="85"/>
      <c r="T243" s="85"/>
      <c r="W243" s="85"/>
      <c r="X243" s="85"/>
      <c r="Y243" s="85"/>
      <c r="AB243" s="85"/>
      <c r="AC243" s="85"/>
      <c r="AD243" s="85"/>
      <c r="AG243" s="85"/>
      <c r="AH243" s="85"/>
      <c r="AI243" s="85"/>
    </row>
    <row r="244" spans="18:35" x14ac:dyDescent="0.3">
      <c r="R244" s="85"/>
      <c r="S244" s="85"/>
      <c r="T244" s="85"/>
      <c r="W244" s="85"/>
      <c r="X244" s="85"/>
      <c r="Y244" s="85"/>
      <c r="AB244" s="85"/>
      <c r="AC244" s="85"/>
      <c r="AD244" s="85"/>
      <c r="AG244" s="85"/>
      <c r="AH244" s="85"/>
      <c r="AI244" s="85"/>
    </row>
    <row r="245" spans="18:35" x14ac:dyDescent="0.3">
      <c r="R245" s="85"/>
      <c r="S245" s="85"/>
      <c r="T245" s="85"/>
      <c r="W245" s="85"/>
      <c r="X245" s="85"/>
      <c r="Y245" s="85"/>
      <c r="AB245" s="85"/>
      <c r="AC245" s="85"/>
      <c r="AD245" s="85"/>
      <c r="AG245" s="85"/>
      <c r="AH245" s="85"/>
      <c r="AI245" s="85"/>
    </row>
    <row r="246" spans="18:35" x14ac:dyDescent="0.3">
      <c r="R246" s="85"/>
      <c r="S246" s="85"/>
      <c r="T246" s="85"/>
      <c r="W246" s="85"/>
      <c r="X246" s="85"/>
      <c r="Y246" s="85"/>
      <c r="AB246" s="85"/>
      <c r="AC246" s="85"/>
      <c r="AD246" s="85"/>
      <c r="AG246" s="85"/>
      <c r="AH246" s="85"/>
      <c r="AI246" s="85"/>
    </row>
    <row r="247" spans="18:35" x14ac:dyDescent="0.3">
      <c r="R247" s="85"/>
      <c r="S247" s="85"/>
      <c r="T247" s="85"/>
      <c r="W247" s="85"/>
      <c r="X247" s="85"/>
      <c r="Y247" s="85"/>
      <c r="AB247" s="85"/>
      <c r="AC247" s="85"/>
      <c r="AD247" s="85"/>
      <c r="AG247" s="85"/>
      <c r="AH247" s="85"/>
      <c r="AI247" s="85"/>
    </row>
    <row r="248" spans="18:35" x14ac:dyDescent="0.3">
      <c r="R248" s="85"/>
      <c r="S248" s="85"/>
      <c r="T248" s="85"/>
      <c r="W248" s="85"/>
      <c r="X248" s="85"/>
      <c r="Y248" s="85"/>
      <c r="AB248" s="85"/>
      <c r="AC248" s="85"/>
      <c r="AD248" s="85"/>
      <c r="AG248" s="85"/>
      <c r="AH248" s="85"/>
      <c r="AI248" s="85"/>
    </row>
    <row r="249" spans="18:35" x14ac:dyDescent="0.3">
      <c r="R249" s="85"/>
      <c r="S249" s="85"/>
      <c r="T249" s="85"/>
      <c r="W249" s="85"/>
      <c r="X249" s="85"/>
      <c r="Y249" s="85"/>
      <c r="AB249" s="85"/>
      <c r="AC249" s="85"/>
      <c r="AD249" s="85"/>
      <c r="AG249" s="85"/>
      <c r="AH249" s="85"/>
      <c r="AI249" s="85"/>
    </row>
    <row r="250" spans="18:35" x14ac:dyDescent="0.3">
      <c r="R250" s="85"/>
      <c r="S250" s="85"/>
      <c r="T250" s="85"/>
      <c r="W250" s="85"/>
      <c r="X250" s="85"/>
      <c r="Y250" s="85"/>
      <c r="AB250" s="85"/>
      <c r="AC250" s="85"/>
      <c r="AD250" s="85"/>
      <c r="AG250" s="85"/>
      <c r="AH250" s="85"/>
      <c r="AI250" s="85"/>
    </row>
    <row r="251" spans="18:35" x14ac:dyDescent="0.3">
      <c r="R251" s="85"/>
      <c r="S251" s="85"/>
      <c r="T251" s="85"/>
      <c r="W251" s="85"/>
      <c r="X251" s="85"/>
      <c r="Y251" s="85"/>
      <c r="AB251" s="85"/>
      <c r="AC251" s="85"/>
      <c r="AD251" s="85"/>
      <c r="AG251" s="85"/>
      <c r="AH251" s="85"/>
      <c r="AI251" s="85"/>
    </row>
    <row r="252" spans="18:35" x14ac:dyDescent="0.3">
      <c r="R252" s="85"/>
      <c r="S252" s="85"/>
      <c r="T252" s="85"/>
      <c r="W252" s="85"/>
      <c r="X252" s="85"/>
      <c r="Y252" s="85"/>
      <c r="AB252" s="85"/>
      <c r="AC252" s="85"/>
      <c r="AD252" s="85"/>
      <c r="AG252" s="85"/>
      <c r="AH252" s="85"/>
      <c r="AI252" s="85"/>
    </row>
    <row r="253" spans="18:35" x14ac:dyDescent="0.3">
      <c r="R253" s="85"/>
      <c r="S253" s="85"/>
      <c r="T253" s="85"/>
      <c r="W253" s="85"/>
      <c r="X253" s="85"/>
      <c r="Y253" s="85"/>
      <c r="AB253" s="85"/>
      <c r="AC253" s="85"/>
      <c r="AD253" s="85"/>
      <c r="AG253" s="85"/>
      <c r="AH253" s="85"/>
      <c r="AI253" s="85"/>
    </row>
    <row r="254" spans="18:35" x14ac:dyDescent="0.3">
      <c r="R254" s="85"/>
      <c r="S254" s="85"/>
      <c r="T254" s="85"/>
      <c r="W254" s="85"/>
      <c r="X254" s="85"/>
      <c r="Y254" s="85"/>
      <c r="AB254" s="85"/>
      <c r="AC254" s="85"/>
      <c r="AD254" s="85"/>
      <c r="AG254" s="85"/>
      <c r="AH254" s="85"/>
      <c r="AI254" s="85"/>
    </row>
    <row r="255" spans="18:35" x14ac:dyDescent="0.3">
      <c r="R255" s="85"/>
      <c r="S255" s="85"/>
      <c r="T255" s="85"/>
      <c r="W255" s="85"/>
      <c r="X255" s="85"/>
      <c r="Y255" s="85"/>
      <c r="AB255" s="85"/>
      <c r="AC255" s="85"/>
      <c r="AD255" s="85"/>
      <c r="AG255" s="85"/>
      <c r="AH255" s="85"/>
      <c r="AI255" s="85"/>
    </row>
    <row r="256" spans="18:35" x14ac:dyDescent="0.3">
      <c r="R256" s="85"/>
      <c r="S256" s="85"/>
      <c r="T256" s="85"/>
      <c r="W256" s="85"/>
      <c r="X256" s="85"/>
      <c r="Y256" s="85"/>
      <c r="AB256" s="85"/>
      <c r="AC256" s="85"/>
      <c r="AD256" s="85"/>
      <c r="AG256" s="85"/>
      <c r="AH256" s="85"/>
      <c r="AI256" s="85"/>
    </row>
    <row r="257" spans="18:35" x14ac:dyDescent="0.3">
      <c r="R257" s="85"/>
      <c r="S257" s="85"/>
      <c r="T257" s="85"/>
      <c r="W257" s="85"/>
      <c r="X257" s="85"/>
      <c r="Y257" s="85"/>
      <c r="AB257" s="85"/>
      <c r="AC257" s="85"/>
      <c r="AD257" s="85"/>
      <c r="AG257" s="85"/>
      <c r="AH257" s="85"/>
      <c r="AI257" s="85"/>
    </row>
    <row r="258" spans="18:35" x14ac:dyDescent="0.3">
      <c r="R258" s="85"/>
      <c r="S258" s="85"/>
      <c r="T258" s="85"/>
      <c r="W258" s="85"/>
      <c r="X258" s="85"/>
      <c r="Y258" s="85"/>
      <c r="AB258" s="85"/>
      <c r="AC258" s="85"/>
      <c r="AD258" s="85"/>
      <c r="AG258" s="85"/>
      <c r="AH258" s="85"/>
      <c r="AI258" s="85"/>
    </row>
    <row r="259" spans="18:35" x14ac:dyDescent="0.3">
      <c r="R259" s="85"/>
      <c r="S259" s="85"/>
      <c r="T259" s="85"/>
      <c r="W259" s="85"/>
      <c r="X259" s="85"/>
      <c r="Y259" s="85"/>
      <c r="AB259" s="85"/>
      <c r="AC259" s="85"/>
      <c r="AD259" s="85"/>
      <c r="AG259" s="85"/>
      <c r="AH259" s="85"/>
      <c r="AI259" s="85"/>
    </row>
    <row r="260" spans="18:35" x14ac:dyDescent="0.3">
      <c r="R260" s="85"/>
      <c r="S260" s="85"/>
      <c r="T260" s="85"/>
      <c r="W260" s="85"/>
      <c r="X260" s="85"/>
      <c r="Y260" s="85"/>
      <c r="AB260" s="85"/>
      <c r="AC260" s="85"/>
      <c r="AD260" s="85"/>
      <c r="AG260" s="85"/>
      <c r="AH260" s="85"/>
      <c r="AI260" s="85"/>
    </row>
    <row r="261" spans="18:35" x14ac:dyDescent="0.3">
      <c r="R261" s="85"/>
      <c r="S261" s="85"/>
      <c r="T261" s="85"/>
      <c r="W261" s="85"/>
      <c r="X261" s="85"/>
      <c r="Y261" s="85"/>
      <c r="AB261" s="85"/>
      <c r="AC261" s="85"/>
      <c r="AD261" s="85"/>
      <c r="AG261" s="85"/>
      <c r="AH261" s="85"/>
      <c r="AI261" s="85"/>
    </row>
    <row r="262" spans="18:35" x14ac:dyDescent="0.3">
      <c r="R262" s="85"/>
      <c r="S262" s="85"/>
      <c r="T262" s="85"/>
      <c r="W262" s="85"/>
      <c r="X262" s="85"/>
      <c r="Y262" s="85"/>
      <c r="AB262" s="85"/>
      <c r="AC262" s="85"/>
      <c r="AD262" s="85"/>
      <c r="AG262" s="85"/>
      <c r="AH262" s="85"/>
      <c r="AI262" s="85"/>
    </row>
    <row r="263" spans="18:35" x14ac:dyDescent="0.3">
      <c r="R263" s="85"/>
      <c r="S263" s="85"/>
      <c r="T263" s="85"/>
      <c r="W263" s="85"/>
      <c r="X263" s="85"/>
      <c r="Y263" s="85"/>
      <c r="AB263" s="85"/>
      <c r="AC263" s="85"/>
      <c r="AD263" s="85"/>
      <c r="AG263" s="85"/>
      <c r="AH263" s="85"/>
      <c r="AI263" s="85"/>
    </row>
    <row r="264" spans="18:35" x14ac:dyDescent="0.3">
      <c r="R264" s="85"/>
      <c r="S264" s="85"/>
      <c r="T264" s="85"/>
      <c r="W264" s="85"/>
      <c r="X264" s="85"/>
      <c r="Y264" s="85"/>
      <c r="AB264" s="85"/>
      <c r="AC264" s="85"/>
      <c r="AD264" s="85"/>
      <c r="AG264" s="85"/>
      <c r="AH264" s="85"/>
      <c r="AI264" s="85"/>
    </row>
    <row r="265" spans="18:35" x14ac:dyDescent="0.3">
      <c r="R265" s="85"/>
      <c r="S265" s="85"/>
      <c r="T265" s="85"/>
      <c r="W265" s="85"/>
      <c r="X265" s="85"/>
      <c r="Y265" s="85"/>
      <c r="AB265" s="85"/>
      <c r="AC265" s="85"/>
      <c r="AD265" s="85"/>
      <c r="AG265" s="85"/>
      <c r="AH265" s="85"/>
      <c r="AI265" s="85"/>
    </row>
    <row r="266" spans="18:35" x14ac:dyDescent="0.3">
      <c r="R266" s="85"/>
      <c r="S266" s="85"/>
      <c r="T266" s="85"/>
      <c r="W266" s="85"/>
      <c r="X266" s="85"/>
      <c r="Y266" s="85"/>
      <c r="AB266" s="85"/>
      <c r="AC266" s="85"/>
      <c r="AD266" s="85"/>
      <c r="AG266" s="85"/>
      <c r="AH266" s="85"/>
      <c r="AI266" s="85"/>
    </row>
    <row r="267" spans="18:35" x14ac:dyDescent="0.3">
      <c r="R267" s="85"/>
      <c r="S267" s="85"/>
      <c r="T267" s="85"/>
      <c r="W267" s="85"/>
      <c r="X267" s="85"/>
      <c r="Y267" s="85"/>
      <c r="AB267" s="85"/>
      <c r="AC267" s="85"/>
      <c r="AD267" s="85"/>
      <c r="AG267" s="85"/>
      <c r="AH267" s="85"/>
      <c r="AI267" s="85"/>
    </row>
    <row r="268" spans="18:35" x14ac:dyDescent="0.3">
      <c r="R268" s="85"/>
      <c r="S268" s="85"/>
      <c r="T268" s="85"/>
      <c r="W268" s="85"/>
      <c r="X268" s="85"/>
      <c r="Y268" s="85"/>
      <c r="AB268" s="85"/>
      <c r="AC268" s="85"/>
      <c r="AD268" s="85"/>
      <c r="AG268" s="85"/>
      <c r="AH268" s="85"/>
      <c r="AI268" s="85"/>
    </row>
    <row r="269" spans="18:35" x14ac:dyDescent="0.3">
      <c r="R269" s="85"/>
      <c r="S269" s="85"/>
      <c r="T269" s="85"/>
      <c r="W269" s="85"/>
      <c r="X269" s="85"/>
      <c r="Y269" s="85"/>
      <c r="AB269" s="85"/>
      <c r="AC269" s="85"/>
      <c r="AD269" s="85"/>
      <c r="AG269" s="85"/>
      <c r="AH269" s="85"/>
      <c r="AI269" s="85"/>
    </row>
    <row r="270" spans="18:35" x14ac:dyDescent="0.3">
      <c r="R270" s="85"/>
      <c r="S270" s="85"/>
      <c r="T270" s="85"/>
      <c r="W270" s="85"/>
      <c r="X270" s="85"/>
      <c r="Y270" s="85"/>
      <c r="AB270" s="85"/>
      <c r="AC270" s="85"/>
      <c r="AD270" s="85"/>
      <c r="AG270" s="85"/>
      <c r="AH270" s="85"/>
      <c r="AI270" s="85"/>
    </row>
    <row r="271" spans="18:35" x14ac:dyDescent="0.3">
      <c r="R271" s="85"/>
      <c r="S271" s="85"/>
      <c r="T271" s="85"/>
      <c r="W271" s="85"/>
      <c r="X271" s="85"/>
      <c r="Y271" s="85"/>
      <c r="AB271" s="85"/>
      <c r="AC271" s="85"/>
      <c r="AD271" s="85"/>
      <c r="AG271" s="85"/>
      <c r="AH271" s="85"/>
      <c r="AI271" s="85"/>
    </row>
    <row r="272" spans="18:35" x14ac:dyDescent="0.3">
      <c r="R272" s="85"/>
      <c r="S272" s="85"/>
      <c r="T272" s="85"/>
      <c r="W272" s="85"/>
      <c r="X272" s="85"/>
      <c r="Y272" s="85"/>
      <c r="AB272" s="85"/>
      <c r="AC272" s="85"/>
      <c r="AD272" s="85"/>
      <c r="AG272" s="85"/>
      <c r="AH272" s="85"/>
      <c r="AI272" s="85"/>
    </row>
    <row r="273" spans="18:35" x14ac:dyDescent="0.3">
      <c r="R273" s="85"/>
      <c r="S273" s="85"/>
      <c r="T273" s="85"/>
      <c r="W273" s="85"/>
      <c r="X273" s="85"/>
      <c r="Y273" s="85"/>
      <c r="AB273" s="85"/>
      <c r="AC273" s="85"/>
      <c r="AD273" s="85"/>
      <c r="AG273" s="85"/>
      <c r="AH273" s="85"/>
      <c r="AI273" s="85"/>
    </row>
    <row r="274" spans="18:35" x14ac:dyDescent="0.3">
      <c r="R274" s="85"/>
      <c r="S274" s="85"/>
      <c r="T274" s="85"/>
      <c r="W274" s="85"/>
      <c r="X274" s="85"/>
      <c r="Y274" s="85"/>
      <c r="AB274" s="85"/>
      <c r="AC274" s="85"/>
      <c r="AD274" s="85"/>
      <c r="AG274" s="85"/>
      <c r="AH274" s="85"/>
      <c r="AI274" s="85"/>
    </row>
    <row r="275" spans="18:35" x14ac:dyDescent="0.3">
      <c r="R275" s="85"/>
      <c r="S275" s="85"/>
      <c r="T275" s="85"/>
      <c r="W275" s="85"/>
      <c r="X275" s="85"/>
      <c r="Y275" s="85"/>
      <c r="AB275" s="85"/>
      <c r="AC275" s="85"/>
      <c r="AD275" s="85"/>
      <c r="AG275" s="85"/>
      <c r="AH275" s="85"/>
      <c r="AI275" s="85"/>
    </row>
    <row r="276" spans="18:35" x14ac:dyDescent="0.3">
      <c r="R276" s="85"/>
      <c r="S276" s="85"/>
      <c r="T276" s="85"/>
      <c r="W276" s="85"/>
      <c r="X276" s="85"/>
      <c r="Y276" s="85"/>
      <c r="AB276" s="85"/>
      <c r="AC276" s="85"/>
      <c r="AD276" s="85"/>
      <c r="AG276" s="85"/>
      <c r="AH276" s="85"/>
      <c r="AI276" s="85"/>
    </row>
    <row r="277" spans="18:35" x14ac:dyDescent="0.3">
      <c r="R277" s="85"/>
      <c r="S277" s="85"/>
      <c r="T277" s="85"/>
      <c r="W277" s="85"/>
      <c r="X277" s="85"/>
      <c r="Y277" s="85"/>
      <c r="AB277" s="85"/>
      <c r="AC277" s="85"/>
      <c r="AD277" s="85"/>
      <c r="AG277" s="85"/>
      <c r="AH277" s="85"/>
      <c r="AI277" s="85"/>
    </row>
    <row r="278" spans="18:35" x14ac:dyDescent="0.3">
      <c r="R278" s="85"/>
      <c r="S278" s="85"/>
      <c r="T278" s="85"/>
      <c r="W278" s="85"/>
      <c r="X278" s="85"/>
      <c r="Y278" s="85"/>
      <c r="AB278" s="85"/>
      <c r="AC278" s="85"/>
      <c r="AD278" s="85"/>
      <c r="AG278" s="85"/>
      <c r="AH278" s="85"/>
      <c r="AI278" s="85"/>
    </row>
    <row r="279" spans="18:35" x14ac:dyDescent="0.3">
      <c r="R279" s="85"/>
      <c r="S279" s="85"/>
      <c r="T279" s="85"/>
      <c r="W279" s="85"/>
      <c r="X279" s="85"/>
      <c r="Y279" s="85"/>
      <c r="AB279" s="85"/>
      <c r="AC279" s="85"/>
      <c r="AD279" s="85"/>
      <c r="AG279" s="85"/>
      <c r="AH279" s="85"/>
      <c r="AI279" s="85"/>
    </row>
    <row r="280" spans="18:35" x14ac:dyDescent="0.3">
      <c r="R280" s="85"/>
      <c r="S280" s="85"/>
      <c r="T280" s="85"/>
      <c r="W280" s="85"/>
      <c r="X280" s="85"/>
      <c r="Y280" s="85"/>
      <c r="AB280" s="85"/>
      <c r="AC280" s="85"/>
      <c r="AD280" s="85"/>
      <c r="AG280" s="85"/>
      <c r="AH280" s="85"/>
      <c r="AI280" s="85"/>
    </row>
    <row r="281" spans="18:35" x14ac:dyDescent="0.3">
      <c r="R281" s="85"/>
      <c r="S281" s="85"/>
      <c r="T281" s="85"/>
      <c r="W281" s="85"/>
      <c r="X281" s="85"/>
      <c r="Y281" s="85"/>
      <c r="AB281" s="85"/>
      <c r="AC281" s="85"/>
      <c r="AD281" s="85"/>
      <c r="AG281" s="85"/>
      <c r="AH281" s="85"/>
      <c r="AI281" s="85"/>
    </row>
    <row r="282" spans="18:35" x14ac:dyDescent="0.3">
      <c r="R282" s="85"/>
      <c r="S282" s="85"/>
      <c r="T282" s="85"/>
      <c r="W282" s="85"/>
      <c r="X282" s="85"/>
      <c r="Y282" s="85"/>
      <c r="AB282" s="85"/>
      <c r="AC282" s="85"/>
      <c r="AD282" s="85"/>
      <c r="AG282" s="85"/>
      <c r="AH282" s="85"/>
      <c r="AI282" s="85"/>
    </row>
    <row r="283" spans="18:35" x14ac:dyDescent="0.3">
      <c r="R283" s="85"/>
      <c r="S283" s="85"/>
      <c r="T283" s="85"/>
      <c r="W283" s="85"/>
      <c r="X283" s="85"/>
      <c r="Y283" s="85"/>
      <c r="AB283" s="85"/>
      <c r="AC283" s="85"/>
      <c r="AD283" s="85"/>
      <c r="AG283" s="85"/>
      <c r="AH283" s="85"/>
      <c r="AI283" s="85"/>
    </row>
    <row r="284" spans="18:35" x14ac:dyDescent="0.3">
      <c r="R284" s="85"/>
      <c r="S284" s="85"/>
      <c r="T284" s="85"/>
      <c r="W284" s="85"/>
      <c r="X284" s="85"/>
      <c r="Y284" s="85"/>
      <c r="AB284" s="85"/>
      <c r="AC284" s="85"/>
      <c r="AD284" s="85"/>
      <c r="AG284" s="85"/>
      <c r="AH284" s="85"/>
      <c r="AI284" s="85"/>
    </row>
    <row r="285" spans="18:35" x14ac:dyDescent="0.3">
      <c r="R285" s="85"/>
      <c r="S285" s="85"/>
      <c r="T285" s="85"/>
      <c r="W285" s="85"/>
      <c r="X285" s="85"/>
      <c r="Y285" s="85"/>
      <c r="AB285" s="85"/>
      <c r="AC285" s="85"/>
      <c r="AD285" s="85"/>
      <c r="AG285" s="85"/>
      <c r="AH285" s="85"/>
      <c r="AI285" s="85"/>
    </row>
    <row r="286" spans="18:35" x14ac:dyDescent="0.3">
      <c r="R286" s="85"/>
      <c r="S286" s="85"/>
      <c r="T286" s="85"/>
      <c r="W286" s="85"/>
      <c r="X286" s="85"/>
      <c r="Y286" s="85"/>
      <c r="AB286" s="85"/>
      <c r="AC286" s="85"/>
      <c r="AD286" s="85"/>
      <c r="AG286" s="85"/>
      <c r="AH286" s="85"/>
      <c r="AI286" s="85"/>
    </row>
    <row r="287" spans="18:35" x14ac:dyDescent="0.3">
      <c r="R287" s="85"/>
      <c r="S287" s="85"/>
      <c r="T287" s="85"/>
      <c r="W287" s="85"/>
      <c r="X287" s="85"/>
      <c r="Y287" s="85"/>
      <c r="AB287" s="85"/>
      <c r="AC287" s="85"/>
      <c r="AD287" s="85"/>
      <c r="AG287" s="85"/>
      <c r="AH287" s="85"/>
      <c r="AI287" s="85"/>
    </row>
    <row r="288" spans="18:35" x14ac:dyDescent="0.3">
      <c r="R288" s="85"/>
      <c r="S288" s="85"/>
      <c r="T288" s="85"/>
      <c r="W288" s="85"/>
      <c r="X288" s="85"/>
      <c r="Y288" s="85"/>
      <c r="AB288" s="85"/>
      <c r="AC288" s="85"/>
      <c r="AD288" s="85"/>
      <c r="AG288" s="85"/>
      <c r="AH288" s="85"/>
      <c r="AI288" s="85"/>
    </row>
    <row r="289" spans="18:35" x14ac:dyDescent="0.3">
      <c r="R289" s="85"/>
      <c r="S289" s="85"/>
      <c r="T289" s="85"/>
      <c r="W289" s="85"/>
      <c r="X289" s="85"/>
      <c r="Y289" s="85"/>
      <c r="AB289" s="85"/>
      <c r="AC289" s="85"/>
      <c r="AD289" s="85"/>
      <c r="AG289" s="85"/>
      <c r="AH289" s="85"/>
      <c r="AI289" s="85"/>
    </row>
    <row r="290" spans="18:35" x14ac:dyDescent="0.3">
      <c r="R290" s="85"/>
      <c r="S290" s="85"/>
      <c r="T290" s="85"/>
      <c r="W290" s="85"/>
      <c r="X290" s="85"/>
      <c r="Y290" s="85"/>
      <c r="AB290" s="85"/>
      <c r="AC290" s="85"/>
      <c r="AD290" s="85"/>
      <c r="AG290" s="85"/>
      <c r="AH290" s="85"/>
      <c r="AI290" s="85"/>
    </row>
    <row r="291" spans="18:35" x14ac:dyDescent="0.3">
      <c r="R291" s="85"/>
      <c r="S291" s="85"/>
      <c r="T291" s="85"/>
      <c r="W291" s="85"/>
      <c r="X291" s="85"/>
      <c r="Y291" s="85"/>
      <c r="AB291" s="85"/>
      <c r="AC291" s="85"/>
      <c r="AD291" s="85"/>
      <c r="AG291" s="85"/>
      <c r="AH291" s="85"/>
      <c r="AI291" s="85"/>
    </row>
    <row r="292" spans="18:35" x14ac:dyDescent="0.3">
      <c r="R292" s="85"/>
      <c r="S292" s="85"/>
      <c r="T292" s="85"/>
      <c r="W292" s="85"/>
      <c r="X292" s="85"/>
      <c r="Y292" s="85"/>
      <c r="AB292" s="85"/>
      <c r="AC292" s="85"/>
      <c r="AD292" s="85"/>
      <c r="AG292" s="85"/>
      <c r="AH292" s="85"/>
      <c r="AI292" s="85"/>
    </row>
    <row r="293" spans="18:35" x14ac:dyDescent="0.3">
      <c r="R293" s="85"/>
      <c r="S293" s="85"/>
      <c r="T293" s="85"/>
      <c r="W293" s="85"/>
      <c r="X293" s="85"/>
      <c r="Y293" s="85"/>
      <c r="AB293" s="85"/>
      <c r="AC293" s="85"/>
      <c r="AD293" s="85"/>
      <c r="AG293" s="85"/>
      <c r="AH293" s="85"/>
      <c r="AI293" s="85"/>
    </row>
    <row r="294" spans="18:35" x14ac:dyDescent="0.3">
      <c r="R294" s="85"/>
      <c r="S294" s="85"/>
      <c r="T294" s="85"/>
      <c r="W294" s="85"/>
      <c r="X294" s="85"/>
      <c r="Y294" s="85"/>
      <c r="AB294" s="85"/>
      <c r="AC294" s="85"/>
      <c r="AD294" s="85"/>
      <c r="AG294" s="85"/>
      <c r="AH294" s="85"/>
      <c r="AI294" s="85"/>
    </row>
    <row r="295" spans="18:35" x14ac:dyDescent="0.3">
      <c r="R295" s="85"/>
      <c r="S295" s="85"/>
      <c r="T295" s="85"/>
      <c r="W295" s="85"/>
      <c r="X295" s="85"/>
      <c r="Y295" s="85"/>
      <c r="AB295" s="85"/>
      <c r="AC295" s="85"/>
      <c r="AD295" s="85"/>
      <c r="AG295" s="85"/>
      <c r="AH295" s="85"/>
      <c r="AI295" s="85"/>
    </row>
    <row r="296" spans="18:35" x14ac:dyDescent="0.3">
      <c r="R296" s="85"/>
      <c r="S296" s="85"/>
      <c r="T296" s="85"/>
      <c r="W296" s="85"/>
      <c r="X296" s="85"/>
      <c r="Y296" s="85"/>
      <c r="AB296" s="85"/>
      <c r="AC296" s="85"/>
      <c r="AD296" s="85"/>
      <c r="AG296" s="85"/>
      <c r="AH296" s="85"/>
      <c r="AI296" s="85"/>
    </row>
    <row r="297" spans="18:35" x14ac:dyDescent="0.3">
      <c r="R297" s="85"/>
      <c r="S297" s="85"/>
      <c r="T297" s="85"/>
      <c r="W297" s="85"/>
      <c r="X297" s="85"/>
      <c r="Y297" s="85"/>
      <c r="AB297" s="85"/>
      <c r="AC297" s="85"/>
      <c r="AD297" s="85"/>
      <c r="AG297" s="85"/>
      <c r="AH297" s="85"/>
      <c r="AI297" s="85"/>
    </row>
    <row r="298" spans="18:35" x14ac:dyDescent="0.3">
      <c r="R298" s="85"/>
      <c r="S298" s="85"/>
      <c r="T298" s="85"/>
      <c r="W298" s="85"/>
      <c r="X298" s="85"/>
      <c r="Y298" s="85"/>
      <c r="AB298" s="85"/>
      <c r="AC298" s="85"/>
      <c r="AD298" s="85"/>
      <c r="AG298" s="85"/>
      <c r="AH298" s="85"/>
      <c r="AI298" s="85"/>
    </row>
    <row r="299" spans="18:35" x14ac:dyDescent="0.3">
      <c r="R299" s="85"/>
      <c r="S299" s="85"/>
      <c r="T299" s="85"/>
      <c r="W299" s="85"/>
      <c r="X299" s="85"/>
      <c r="Y299" s="85"/>
      <c r="AB299" s="85"/>
      <c r="AC299" s="85"/>
      <c r="AD299" s="85"/>
      <c r="AG299" s="85"/>
      <c r="AH299" s="85"/>
      <c r="AI299" s="85"/>
    </row>
    <row r="300" spans="18:35" x14ac:dyDescent="0.3">
      <c r="R300" s="85"/>
      <c r="S300" s="85"/>
      <c r="T300" s="85"/>
      <c r="W300" s="85"/>
      <c r="X300" s="85"/>
      <c r="Y300" s="85"/>
      <c r="AB300" s="85"/>
      <c r="AC300" s="85"/>
      <c r="AD300" s="85"/>
      <c r="AG300" s="85"/>
      <c r="AH300" s="85"/>
      <c r="AI300" s="85"/>
    </row>
    <row r="301" spans="18:35" x14ac:dyDescent="0.3">
      <c r="R301" s="85"/>
      <c r="S301" s="85"/>
      <c r="T301" s="85"/>
      <c r="W301" s="85"/>
      <c r="X301" s="85"/>
      <c r="Y301" s="85"/>
      <c r="AB301" s="85"/>
      <c r="AC301" s="85"/>
      <c r="AD301" s="85"/>
      <c r="AG301" s="85"/>
      <c r="AH301" s="85"/>
      <c r="AI301" s="85"/>
    </row>
    <row r="302" spans="18:35" x14ac:dyDescent="0.3">
      <c r="R302" s="85"/>
      <c r="S302" s="85"/>
      <c r="T302" s="85"/>
      <c r="W302" s="85"/>
      <c r="X302" s="85"/>
      <c r="Y302" s="85"/>
      <c r="AB302" s="85"/>
      <c r="AC302" s="85"/>
      <c r="AD302" s="85"/>
      <c r="AG302" s="85"/>
      <c r="AH302" s="85"/>
      <c r="AI302" s="85"/>
    </row>
    <row r="303" spans="18:35" x14ac:dyDescent="0.3">
      <c r="R303" s="85"/>
      <c r="S303" s="85"/>
      <c r="T303" s="85"/>
      <c r="W303" s="85"/>
      <c r="X303" s="85"/>
      <c r="Y303" s="85"/>
      <c r="AB303" s="85"/>
      <c r="AC303" s="85"/>
      <c r="AD303" s="85"/>
      <c r="AG303" s="85"/>
      <c r="AH303" s="85"/>
      <c r="AI303" s="85"/>
    </row>
    <row r="304" spans="18:35" x14ac:dyDescent="0.3">
      <c r="R304" s="85"/>
      <c r="S304" s="85"/>
      <c r="T304" s="85"/>
      <c r="W304" s="85"/>
      <c r="X304" s="85"/>
      <c r="Y304" s="85"/>
      <c r="AB304" s="85"/>
      <c r="AC304" s="85"/>
      <c r="AD304" s="85"/>
      <c r="AG304" s="85"/>
      <c r="AH304" s="85"/>
      <c r="AI304" s="85"/>
    </row>
    <row r="305" spans="18:35" x14ac:dyDescent="0.3">
      <c r="R305" s="85"/>
      <c r="S305" s="85"/>
      <c r="T305" s="85"/>
      <c r="W305" s="85"/>
      <c r="X305" s="85"/>
      <c r="Y305" s="85"/>
      <c r="AB305" s="85"/>
      <c r="AC305" s="85"/>
      <c r="AD305" s="85"/>
      <c r="AG305" s="85"/>
      <c r="AH305" s="85"/>
      <c r="AI305" s="85"/>
    </row>
    <row r="306" spans="18:35" x14ac:dyDescent="0.3">
      <c r="R306" s="85"/>
      <c r="S306" s="85"/>
      <c r="T306" s="85"/>
      <c r="W306" s="85"/>
      <c r="X306" s="85"/>
      <c r="Y306" s="85"/>
      <c r="AB306" s="85"/>
      <c r="AC306" s="85"/>
      <c r="AD306" s="85"/>
      <c r="AG306" s="85"/>
      <c r="AH306" s="85"/>
      <c r="AI306" s="85"/>
    </row>
    <row r="307" spans="18:35" x14ac:dyDescent="0.3">
      <c r="R307" s="85"/>
      <c r="S307" s="85"/>
      <c r="T307" s="85"/>
      <c r="W307" s="85"/>
      <c r="X307" s="85"/>
      <c r="Y307" s="85"/>
      <c r="AB307" s="85"/>
      <c r="AC307" s="85"/>
      <c r="AD307" s="85"/>
      <c r="AG307" s="85"/>
      <c r="AH307" s="85"/>
      <c r="AI307" s="85"/>
    </row>
    <row r="308" spans="18:35" x14ac:dyDescent="0.3">
      <c r="R308" s="85"/>
      <c r="S308" s="85"/>
      <c r="T308" s="85"/>
      <c r="W308" s="85"/>
      <c r="X308" s="85"/>
      <c r="Y308" s="85"/>
      <c r="AB308" s="85"/>
      <c r="AC308" s="85"/>
      <c r="AD308" s="85"/>
      <c r="AG308" s="85"/>
      <c r="AH308" s="85"/>
      <c r="AI308" s="85"/>
    </row>
    <row r="309" spans="18:35" x14ac:dyDescent="0.3">
      <c r="R309" s="85"/>
      <c r="S309" s="85"/>
      <c r="T309" s="85"/>
      <c r="W309" s="85"/>
      <c r="X309" s="85"/>
      <c r="Y309" s="85"/>
      <c r="AB309" s="85"/>
      <c r="AC309" s="85"/>
      <c r="AD309" s="85"/>
      <c r="AG309" s="85"/>
      <c r="AH309" s="85"/>
      <c r="AI309" s="85"/>
    </row>
    <row r="310" spans="18:35" x14ac:dyDescent="0.3">
      <c r="R310" s="85"/>
      <c r="S310" s="85"/>
      <c r="T310" s="85"/>
      <c r="W310" s="85"/>
      <c r="X310" s="85"/>
      <c r="Y310" s="85"/>
      <c r="AB310" s="85"/>
      <c r="AC310" s="85"/>
      <c r="AD310" s="85"/>
      <c r="AG310" s="85"/>
      <c r="AH310" s="85"/>
      <c r="AI310" s="85"/>
    </row>
    <row r="311" spans="18:35" x14ac:dyDescent="0.3">
      <c r="R311" s="85"/>
      <c r="S311" s="85"/>
      <c r="T311" s="85"/>
      <c r="W311" s="85"/>
      <c r="X311" s="85"/>
      <c r="Y311" s="85"/>
      <c r="AB311" s="85"/>
      <c r="AC311" s="85"/>
      <c r="AD311" s="85"/>
      <c r="AG311" s="85"/>
      <c r="AH311" s="85"/>
      <c r="AI311" s="85"/>
    </row>
    <row r="312" spans="18:35" x14ac:dyDescent="0.3">
      <c r="R312" s="85"/>
      <c r="S312" s="85"/>
      <c r="T312" s="85"/>
      <c r="W312" s="85"/>
      <c r="X312" s="85"/>
      <c r="Y312" s="85"/>
      <c r="AB312" s="85"/>
      <c r="AC312" s="85"/>
      <c r="AD312" s="85"/>
      <c r="AG312" s="85"/>
      <c r="AH312" s="85"/>
      <c r="AI312" s="85"/>
    </row>
    <row r="313" spans="18:35" x14ac:dyDescent="0.3">
      <c r="R313" s="85"/>
      <c r="S313" s="85"/>
      <c r="T313" s="85"/>
      <c r="W313" s="85"/>
      <c r="X313" s="85"/>
      <c r="Y313" s="85"/>
      <c r="AB313" s="85"/>
      <c r="AC313" s="85"/>
      <c r="AD313" s="85"/>
      <c r="AG313" s="85"/>
      <c r="AH313" s="85"/>
      <c r="AI313" s="85"/>
    </row>
    <row r="314" spans="18:35" x14ac:dyDescent="0.3">
      <c r="R314" s="85"/>
      <c r="S314" s="85"/>
      <c r="T314" s="85"/>
      <c r="W314" s="85"/>
      <c r="X314" s="85"/>
      <c r="Y314" s="85"/>
      <c r="AB314" s="85"/>
      <c r="AC314" s="85"/>
      <c r="AD314" s="85"/>
      <c r="AG314" s="85"/>
      <c r="AH314" s="85"/>
      <c r="AI314" s="85"/>
    </row>
    <row r="315" spans="18:35" x14ac:dyDescent="0.3">
      <c r="R315" s="85"/>
      <c r="S315" s="85"/>
      <c r="T315" s="85"/>
      <c r="W315" s="85"/>
      <c r="X315" s="85"/>
      <c r="Y315" s="85"/>
      <c r="AB315" s="85"/>
      <c r="AC315" s="85"/>
      <c r="AD315" s="85"/>
      <c r="AG315" s="85"/>
      <c r="AH315" s="85"/>
      <c r="AI315" s="85"/>
    </row>
    <row r="316" spans="18:35" x14ac:dyDescent="0.3">
      <c r="R316" s="85"/>
      <c r="S316" s="85"/>
      <c r="T316" s="85"/>
      <c r="W316" s="85"/>
      <c r="X316" s="85"/>
      <c r="Y316" s="85"/>
      <c r="AB316" s="85"/>
      <c r="AC316" s="85"/>
      <c r="AD316" s="85"/>
      <c r="AG316" s="85"/>
      <c r="AH316" s="85"/>
      <c r="AI316" s="85"/>
    </row>
    <row r="317" spans="18:35" x14ac:dyDescent="0.3">
      <c r="R317" s="85"/>
      <c r="S317" s="85"/>
      <c r="T317" s="85"/>
      <c r="W317" s="85"/>
      <c r="X317" s="85"/>
      <c r="Y317" s="85"/>
      <c r="AB317" s="85"/>
      <c r="AC317" s="85"/>
      <c r="AD317" s="85"/>
      <c r="AG317" s="85"/>
      <c r="AH317" s="85"/>
      <c r="AI317" s="85"/>
    </row>
    <row r="318" spans="18:35" x14ac:dyDescent="0.3">
      <c r="R318" s="85"/>
      <c r="S318" s="85"/>
      <c r="T318" s="85"/>
      <c r="W318" s="85"/>
      <c r="X318" s="85"/>
      <c r="Y318" s="85"/>
      <c r="AB318" s="85"/>
      <c r="AC318" s="85"/>
      <c r="AD318" s="85"/>
      <c r="AG318" s="85"/>
      <c r="AH318" s="85"/>
      <c r="AI318" s="85"/>
    </row>
    <row r="319" spans="18:35" x14ac:dyDescent="0.3">
      <c r="R319" s="85"/>
      <c r="S319" s="85"/>
      <c r="T319" s="85"/>
      <c r="W319" s="85"/>
      <c r="X319" s="85"/>
      <c r="Y319" s="85"/>
      <c r="AB319" s="85"/>
      <c r="AC319" s="85"/>
      <c r="AD319" s="85"/>
      <c r="AG319" s="85"/>
      <c r="AH319" s="85"/>
      <c r="AI319" s="85"/>
    </row>
    <row r="320" spans="18:35" x14ac:dyDescent="0.3">
      <c r="R320" s="85"/>
      <c r="S320" s="85"/>
      <c r="T320" s="85"/>
      <c r="W320" s="85"/>
      <c r="X320" s="85"/>
      <c r="Y320" s="85"/>
      <c r="AB320" s="85"/>
      <c r="AC320" s="85"/>
      <c r="AD320" s="85"/>
      <c r="AG320" s="85"/>
      <c r="AH320" s="85"/>
      <c r="AI320" s="85"/>
    </row>
    <row r="321" spans="18:35" x14ac:dyDescent="0.3">
      <c r="R321" s="85"/>
      <c r="S321" s="85"/>
      <c r="T321" s="85"/>
      <c r="W321" s="85"/>
      <c r="X321" s="85"/>
      <c r="Y321" s="85"/>
      <c r="AB321" s="85"/>
      <c r="AC321" s="85"/>
      <c r="AD321" s="85"/>
      <c r="AG321" s="85"/>
      <c r="AH321" s="85"/>
      <c r="AI321" s="85"/>
    </row>
    <row r="322" spans="18:35" x14ac:dyDescent="0.3">
      <c r="R322" s="85"/>
      <c r="S322" s="85"/>
      <c r="T322" s="85"/>
      <c r="W322" s="85"/>
      <c r="X322" s="85"/>
      <c r="Y322" s="85"/>
      <c r="AB322" s="85"/>
      <c r="AC322" s="85"/>
      <c r="AD322" s="85"/>
      <c r="AG322" s="85"/>
      <c r="AH322" s="85"/>
      <c r="AI322" s="85"/>
    </row>
    <row r="323" spans="18:35" x14ac:dyDescent="0.3">
      <c r="R323" s="85"/>
      <c r="S323" s="85"/>
      <c r="T323" s="85"/>
      <c r="W323" s="85"/>
      <c r="X323" s="85"/>
      <c r="Y323" s="85"/>
      <c r="AB323" s="85"/>
      <c r="AC323" s="85"/>
      <c r="AD323" s="85"/>
      <c r="AG323" s="85"/>
      <c r="AH323" s="85"/>
      <c r="AI323" s="85"/>
    </row>
    <row r="324" spans="18:35" x14ac:dyDescent="0.3">
      <c r="R324" s="85"/>
      <c r="S324" s="85"/>
      <c r="T324" s="85"/>
      <c r="W324" s="85"/>
      <c r="X324" s="85"/>
      <c r="Y324" s="85"/>
      <c r="AB324" s="85"/>
      <c r="AC324" s="85"/>
      <c r="AD324" s="85"/>
      <c r="AG324" s="85"/>
      <c r="AH324" s="85"/>
      <c r="AI324" s="85"/>
    </row>
    <row r="325" spans="18:35" x14ac:dyDescent="0.3">
      <c r="R325" s="85"/>
      <c r="S325" s="85"/>
      <c r="T325" s="85"/>
      <c r="W325" s="85"/>
      <c r="X325" s="85"/>
      <c r="Y325" s="85"/>
      <c r="AB325" s="85"/>
      <c r="AC325" s="85"/>
      <c r="AD325" s="85"/>
      <c r="AG325" s="85"/>
      <c r="AH325" s="85"/>
      <c r="AI325" s="85"/>
    </row>
    <row r="326" spans="18:35" x14ac:dyDescent="0.3">
      <c r="R326" s="85"/>
      <c r="S326" s="85"/>
      <c r="T326" s="85"/>
      <c r="W326" s="85"/>
      <c r="X326" s="85"/>
      <c r="Y326" s="85"/>
      <c r="AB326" s="85"/>
      <c r="AC326" s="85"/>
      <c r="AD326" s="85"/>
      <c r="AG326" s="85"/>
      <c r="AH326" s="85"/>
      <c r="AI326" s="85"/>
    </row>
    <row r="327" spans="18:35" x14ac:dyDescent="0.3">
      <c r="R327" s="85"/>
      <c r="S327" s="85"/>
      <c r="T327" s="85"/>
      <c r="W327" s="85"/>
      <c r="X327" s="85"/>
      <c r="Y327" s="85"/>
      <c r="AB327" s="85"/>
      <c r="AC327" s="85"/>
      <c r="AD327" s="85"/>
      <c r="AG327" s="85"/>
      <c r="AH327" s="85"/>
      <c r="AI327" s="85"/>
    </row>
    <row r="328" spans="18:35" x14ac:dyDescent="0.3">
      <c r="R328" s="85"/>
      <c r="S328" s="85"/>
      <c r="T328" s="85"/>
      <c r="W328" s="85"/>
      <c r="X328" s="85"/>
      <c r="Y328" s="85"/>
      <c r="AB328" s="85"/>
      <c r="AC328" s="85"/>
      <c r="AD328" s="85"/>
      <c r="AG328" s="85"/>
      <c r="AH328" s="85"/>
      <c r="AI328" s="85"/>
    </row>
    <row r="329" spans="18:35" x14ac:dyDescent="0.3">
      <c r="R329" s="85"/>
      <c r="S329" s="85"/>
      <c r="T329" s="85"/>
      <c r="W329" s="85"/>
      <c r="X329" s="85"/>
      <c r="Y329" s="85"/>
      <c r="AB329" s="85"/>
      <c r="AC329" s="85"/>
      <c r="AD329" s="85"/>
      <c r="AG329" s="85"/>
      <c r="AH329" s="85"/>
      <c r="AI329" s="85"/>
    </row>
    <row r="330" spans="18:35" x14ac:dyDescent="0.3">
      <c r="R330" s="85"/>
      <c r="S330" s="85"/>
      <c r="T330" s="85"/>
      <c r="W330" s="85"/>
      <c r="X330" s="85"/>
      <c r="Y330" s="85"/>
      <c r="AB330" s="85"/>
      <c r="AC330" s="85"/>
      <c r="AD330" s="85"/>
      <c r="AG330" s="85"/>
      <c r="AH330" s="85"/>
      <c r="AI330" s="85"/>
    </row>
    <row r="331" spans="18:35" x14ac:dyDescent="0.3">
      <c r="R331" s="85"/>
      <c r="S331" s="85"/>
      <c r="T331" s="85"/>
      <c r="W331" s="85"/>
      <c r="X331" s="85"/>
      <c r="Y331" s="85"/>
      <c r="AB331" s="85"/>
      <c r="AC331" s="85"/>
      <c r="AD331" s="85"/>
      <c r="AG331" s="85"/>
      <c r="AH331" s="85"/>
      <c r="AI331" s="85"/>
    </row>
    <row r="332" spans="18:35" x14ac:dyDescent="0.3">
      <c r="R332" s="85"/>
      <c r="S332" s="85"/>
      <c r="T332" s="85"/>
      <c r="W332" s="85"/>
      <c r="X332" s="85"/>
      <c r="Y332" s="85"/>
      <c r="AB332" s="85"/>
      <c r="AC332" s="85"/>
      <c r="AD332" s="85"/>
      <c r="AG332" s="85"/>
      <c r="AH332" s="85"/>
      <c r="AI332" s="85"/>
    </row>
    <row r="333" spans="18:35" x14ac:dyDescent="0.3">
      <c r="R333" s="85"/>
      <c r="S333" s="85"/>
      <c r="T333" s="85"/>
      <c r="W333" s="85"/>
      <c r="X333" s="85"/>
      <c r="Y333" s="85"/>
      <c r="AB333" s="85"/>
      <c r="AC333" s="85"/>
      <c r="AD333" s="85"/>
      <c r="AG333" s="85"/>
      <c r="AH333" s="85"/>
      <c r="AI333" s="85"/>
    </row>
    <row r="334" spans="18:35" x14ac:dyDescent="0.3">
      <c r="R334" s="85"/>
      <c r="S334" s="85"/>
      <c r="T334" s="85"/>
      <c r="W334" s="85"/>
      <c r="X334" s="85"/>
      <c r="Y334" s="85"/>
      <c r="AB334" s="85"/>
      <c r="AC334" s="85"/>
      <c r="AD334" s="85"/>
      <c r="AG334" s="85"/>
      <c r="AH334" s="85"/>
      <c r="AI334" s="85"/>
    </row>
    <row r="335" spans="18:35" x14ac:dyDescent="0.3">
      <c r="R335" s="85"/>
      <c r="S335" s="85"/>
      <c r="T335" s="85"/>
      <c r="W335" s="85"/>
      <c r="X335" s="85"/>
      <c r="Y335" s="85"/>
      <c r="AB335" s="85"/>
      <c r="AC335" s="85"/>
      <c r="AD335" s="85"/>
      <c r="AG335" s="85"/>
      <c r="AH335" s="85"/>
      <c r="AI335" s="85"/>
    </row>
    <row r="336" spans="18:35" x14ac:dyDescent="0.3">
      <c r="R336" s="85"/>
      <c r="S336" s="85"/>
      <c r="T336" s="85"/>
      <c r="W336" s="85"/>
      <c r="X336" s="85"/>
      <c r="Y336" s="85"/>
      <c r="AB336" s="85"/>
      <c r="AC336" s="85"/>
      <c r="AD336" s="85"/>
      <c r="AG336" s="85"/>
      <c r="AH336" s="85"/>
      <c r="AI336" s="85"/>
    </row>
    <row r="337" spans="18:35" x14ac:dyDescent="0.3">
      <c r="R337" s="85"/>
      <c r="S337" s="85"/>
      <c r="T337" s="85"/>
      <c r="W337" s="85"/>
      <c r="X337" s="85"/>
      <c r="Y337" s="85"/>
      <c r="AB337" s="85"/>
      <c r="AC337" s="85"/>
      <c r="AD337" s="85"/>
      <c r="AG337" s="85"/>
      <c r="AH337" s="85"/>
      <c r="AI337" s="85"/>
    </row>
    <row r="338" spans="18:35" x14ac:dyDescent="0.3">
      <c r="R338" s="85"/>
      <c r="S338" s="85"/>
      <c r="T338" s="85"/>
      <c r="W338" s="85"/>
      <c r="X338" s="85"/>
      <c r="Y338" s="85"/>
      <c r="AB338" s="85"/>
      <c r="AC338" s="85"/>
      <c r="AD338" s="85"/>
      <c r="AG338" s="85"/>
      <c r="AH338" s="85"/>
      <c r="AI338" s="85"/>
    </row>
    <row r="339" spans="18:35" x14ac:dyDescent="0.3">
      <c r="R339" s="85"/>
      <c r="S339" s="85"/>
      <c r="T339" s="85"/>
      <c r="W339" s="85"/>
      <c r="X339" s="85"/>
      <c r="Y339" s="85"/>
      <c r="AB339" s="85"/>
      <c r="AC339" s="85"/>
      <c r="AD339" s="85"/>
      <c r="AG339" s="85"/>
      <c r="AH339" s="85"/>
      <c r="AI339" s="85"/>
    </row>
    <row r="340" spans="18:35" x14ac:dyDescent="0.3">
      <c r="R340" s="85"/>
      <c r="S340" s="85"/>
      <c r="T340" s="85"/>
      <c r="W340" s="85"/>
      <c r="X340" s="85"/>
      <c r="Y340" s="85"/>
      <c r="AB340" s="85"/>
      <c r="AC340" s="85"/>
      <c r="AD340" s="85"/>
      <c r="AG340" s="85"/>
      <c r="AH340" s="85"/>
      <c r="AI340" s="85"/>
    </row>
    <row r="341" spans="18:35" x14ac:dyDescent="0.3">
      <c r="R341" s="85"/>
      <c r="S341" s="85"/>
      <c r="T341" s="85"/>
      <c r="W341" s="85"/>
      <c r="X341" s="85"/>
      <c r="Y341" s="85"/>
      <c r="AB341" s="85"/>
      <c r="AC341" s="85"/>
      <c r="AD341" s="85"/>
      <c r="AG341" s="85"/>
      <c r="AH341" s="85"/>
      <c r="AI341" s="85"/>
    </row>
    <row r="342" spans="18:35" x14ac:dyDescent="0.3">
      <c r="R342" s="85"/>
      <c r="S342" s="85"/>
      <c r="T342" s="85"/>
      <c r="W342" s="85"/>
      <c r="X342" s="85"/>
      <c r="Y342" s="85"/>
      <c r="AB342" s="85"/>
      <c r="AC342" s="85"/>
      <c r="AD342" s="85"/>
      <c r="AG342" s="85"/>
      <c r="AH342" s="85"/>
      <c r="AI342" s="85"/>
    </row>
    <row r="343" spans="18:35" x14ac:dyDescent="0.3">
      <c r="R343" s="85"/>
      <c r="S343" s="85"/>
      <c r="T343" s="85"/>
      <c r="W343" s="85"/>
      <c r="X343" s="85"/>
      <c r="Y343" s="85"/>
      <c r="AB343" s="85"/>
      <c r="AC343" s="85"/>
      <c r="AD343" s="85"/>
      <c r="AG343" s="85"/>
      <c r="AH343" s="85"/>
      <c r="AI343" s="85"/>
    </row>
    <row r="344" spans="18:35" x14ac:dyDescent="0.3">
      <c r="R344" s="85"/>
      <c r="S344" s="85"/>
      <c r="T344" s="85"/>
      <c r="W344" s="85"/>
      <c r="X344" s="85"/>
      <c r="Y344" s="85"/>
      <c r="AB344" s="85"/>
      <c r="AC344" s="85"/>
      <c r="AD344" s="85"/>
      <c r="AG344" s="85"/>
      <c r="AH344" s="85"/>
      <c r="AI344" s="85"/>
    </row>
    <row r="345" spans="18:35" x14ac:dyDescent="0.3">
      <c r="R345" s="85"/>
      <c r="S345" s="85"/>
      <c r="T345" s="85"/>
      <c r="W345" s="85"/>
      <c r="X345" s="85"/>
      <c r="Y345" s="85"/>
      <c r="AB345" s="85"/>
      <c r="AC345" s="85"/>
      <c r="AD345" s="85"/>
      <c r="AG345" s="85"/>
      <c r="AH345" s="85"/>
      <c r="AI345" s="85"/>
    </row>
    <row r="346" spans="18:35" x14ac:dyDescent="0.3">
      <c r="R346" s="85"/>
      <c r="S346" s="85"/>
      <c r="T346" s="85"/>
      <c r="W346" s="85"/>
      <c r="X346" s="85"/>
      <c r="Y346" s="85"/>
      <c r="AB346" s="85"/>
      <c r="AC346" s="85"/>
      <c r="AD346" s="85"/>
      <c r="AG346" s="85"/>
      <c r="AH346" s="85"/>
      <c r="AI346" s="85"/>
    </row>
    <row r="347" spans="18:35" x14ac:dyDescent="0.3">
      <c r="R347" s="85"/>
      <c r="S347" s="85"/>
      <c r="T347" s="85"/>
      <c r="W347" s="85"/>
      <c r="X347" s="85"/>
      <c r="Y347" s="85"/>
      <c r="AB347" s="85"/>
      <c r="AC347" s="85"/>
      <c r="AD347" s="85"/>
      <c r="AG347" s="85"/>
      <c r="AH347" s="85"/>
      <c r="AI347" s="85"/>
    </row>
    <row r="348" spans="18:35" x14ac:dyDescent="0.3">
      <c r="R348" s="85"/>
      <c r="S348" s="85"/>
      <c r="T348" s="85"/>
      <c r="W348" s="85"/>
      <c r="X348" s="85"/>
      <c r="Y348" s="85"/>
      <c r="AB348" s="85"/>
      <c r="AC348" s="85"/>
      <c r="AD348" s="85"/>
      <c r="AG348" s="85"/>
      <c r="AH348" s="85"/>
      <c r="AI348" s="85"/>
    </row>
    <row r="349" spans="18:35" x14ac:dyDescent="0.3">
      <c r="R349" s="85"/>
      <c r="S349" s="85"/>
      <c r="T349" s="85"/>
      <c r="W349" s="85"/>
      <c r="X349" s="85"/>
      <c r="Y349" s="85"/>
      <c r="AB349" s="85"/>
      <c r="AC349" s="85"/>
      <c r="AD349" s="85"/>
      <c r="AG349" s="85"/>
      <c r="AH349" s="85"/>
      <c r="AI349" s="85"/>
    </row>
    <row r="350" spans="18:35" x14ac:dyDescent="0.3">
      <c r="R350" s="85"/>
      <c r="S350" s="85"/>
      <c r="T350" s="85"/>
      <c r="W350" s="85"/>
      <c r="X350" s="85"/>
      <c r="Y350" s="85"/>
      <c r="AB350" s="85"/>
      <c r="AC350" s="85"/>
      <c r="AD350" s="85"/>
      <c r="AG350" s="85"/>
      <c r="AH350" s="85"/>
      <c r="AI350" s="85"/>
    </row>
    <row r="351" spans="18:35" x14ac:dyDescent="0.3">
      <c r="R351" s="85"/>
      <c r="S351" s="85"/>
      <c r="T351" s="85"/>
      <c r="W351" s="85"/>
      <c r="X351" s="85"/>
      <c r="Y351" s="85"/>
      <c r="AB351" s="85"/>
      <c r="AC351" s="85"/>
      <c r="AD351" s="85"/>
      <c r="AG351" s="85"/>
      <c r="AH351" s="85"/>
      <c r="AI351" s="85"/>
    </row>
    <row r="352" spans="18:35" x14ac:dyDescent="0.3">
      <c r="R352" s="85"/>
      <c r="S352" s="85"/>
      <c r="T352" s="85"/>
      <c r="W352" s="85"/>
      <c r="X352" s="85"/>
      <c r="Y352" s="85"/>
      <c r="AB352" s="85"/>
      <c r="AC352" s="85"/>
      <c r="AD352" s="85"/>
      <c r="AG352" s="85"/>
      <c r="AH352" s="85"/>
      <c r="AI352" s="85"/>
    </row>
    <row r="353" spans="18:35" x14ac:dyDescent="0.3">
      <c r="R353" s="85"/>
      <c r="S353" s="85"/>
      <c r="T353" s="85"/>
      <c r="W353" s="85"/>
      <c r="X353" s="85"/>
      <c r="Y353" s="85"/>
      <c r="AB353" s="85"/>
      <c r="AC353" s="85"/>
      <c r="AD353" s="85"/>
      <c r="AG353" s="85"/>
      <c r="AH353" s="85"/>
      <c r="AI353" s="85"/>
    </row>
    <row r="354" spans="18:35" x14ac:dyDescent="0.3">
      <c r="R354" s="85"/>
      <c r="S354" s="85"/>
      <c r="T354" s="85"/>
      <c r="W354" s="85"/>
      <c r="X354" s="85"/>
      <c r="Y354" s="85"/>
      <c r="AB354" s="85"/>
      <c r="AC354" s="85"/>
      <c r="AD354" s="85"/>
      <c r="AG354" s="85"/>
      <c r="AH354" s="85"/>
      <c r="AI354" s="85"/>
    </row>
    <row r="355" spans="18:35" x14ac:dyDescent="0.3">
      <c r="R355" s="85"/>
      <c r="S355" s="85"/>
      <c r="T355" s="85"/>
      <c r="W355" s="85"/>
      <c r="X355" s="85"/>
      <c r="Y355" s="85"/>
      <c r="AB355" s="85"/>
      <c r="AC355" s="85"/>
      <c r="AD355" s="85"/>
      <c r="AG355" s="85"/>
      <c r="AH355" s="85"/>
      <c r="AI355" s="85"/>
    </row>
    <row r="356" spans="18:35" x14ac:dyDescent="0.3">
      <c r="R356" s="85"/>
      <c r="S356" s="85"/>
      <c r="T356" s="85"/>
      <c r="W356" s="85"/>
      <c r="X356" s="85"/>
      <c r="Y356" s="85"/>
      <c r="AB356" s="85"/>
      <c r="AC356" s="85"/>
      <c r="AD356" s="85"/>
      <c r="AG356" s="85"/>
      <c r="AH356" s="85"/>
      <c r="AI356" s="85"/>
    </row>
    <row r="357" spans="18:35" x14ac:dyDescent="0.3">
      <c r="R357" s="85"/>
      <c r="S357" s="85"/>
      <c r="T357" s="85"/>
      <c r="W357" s="85"/>
      <c r="X357" s="85"/>
      <c r="Y357" s="85"/>
      <c r="AB357" s="85"/>
      <c r="AC357" s="85"/>
      <c r="AD357" s="85"/>
      <c r="AG357" s="85"/>
      <c r="AH357" s="85"/>
      <c r="AI357" s="85"/>
    </row>
    <row r="358" spans="18:35" x14ac:dyDescent="0.3">
      <c r="R358" s="85"/>
      <c r="S358" s="85"/>
      <c r="T358" s="85"/>
      <c r="W358" s="85"/>
      <c r="X358" s="85"/>
      <c r="Y358" s="85"/>
      <c r="AB358" s="85"/>
      <c r="AC358" s="85"/>
      <c r="AD358" s="85"/>
      <c r="AG358" s="85"/>
      <c r="AH358" s="85"/>
      <c r="AI358" s="85"/>
    </row>
    <row r="359" spans="18:35" x14ac:dyDescent="0.3">
      <c r="R359" s="85"/>
      <c r="S359" s="85"/>
      <c r="T359" s="85"/>
      <c r="W359" s="85"/>
      <c r="X359" s="85"/>
      <c r="Y359" s="85"/>
      <c r="AB359" s="85"/>
      <c r="AC359" s="85"/>
      <c r="AD359" s="85"/>
      <c r="AG359" s="85"/>
      <c r="AH359" s="85"/>
      <c r="AI359" s="85"/>
    </row>
    <row r="360" spans="18:35" x14ac:dyDescent="0.3">
      <c r="R360" s="85"/>
      <c r="S360" s="85"/>
      <c r="T360" s="85"/>
      <c r="W360" s="85"/>
      <c r="X360" s="85"/>
      <c r="Y360" s="85"/>
      <c r="AB360" s="85"/>
      <c r="AC360" s="85"/>
      <c r="AD360" s="85"/>
      <c r="AG360" s="85"/>
      <c r="AH360" s="85"/>
      <c r="AI360" s="85"/>
    </row>
    <row r="361" spans="18:35" x14ac:dyDescent="0.3">
      <c r="R361" s="85"/>
      <c r="S361" s="85"/>
      <c r="T361" s="85"/>
      <c r="W361" s="85"/>
      <c r="X361" s="85"/>
      <c r="Y361" s="85"/>
      <c r="AB361" s="85"/>
      <c r="AC361" s="85"/>
      <c r="AD361" s="85"/>
      <c r="AG361" s="85"/>
      <c r="AH361" s="85"/>
      <c r="AI361" s="85"/>
    </row>
    <row r="362" spans="18:35" x14ac:dyDescent="0.3">
      <c r="R362" s="85"/>
      <c r="S362" s="85"/>
      <c r="T362" s="85"/>
      <c r="W362" s="85"/>
      <c r="X362" s="85"/>
      <c r="Y362" s="85"/>
      <c r="AB362" s="85"/>
      <c r="AC362" s="85"/>
      <c r="AD362" s="85"/>
      <c r="AG362" s="85"/>
      <c r="AH362" s="85"/>
      <c r="AI362" s="85"/>
    </row>
    <row r="363" spans="18:35" x14ac:dyDescent="0.3">
      <c r="R363" s="85"/>
      <c r="S363" s="85"/>
      <c r="T363" s="85"/>
      <c r="W363" s="85"/>
      <c r="X363" s="85"/>
      <c r="Y363" s="85"/>
      <c r="AB363" s="85"/>
      <c r="AC363" s="85"/>
      <c r="AD363" s="85"/>
      <c r="AG363" s="85"/>
      <c r="AH363" s="85"/>
      <c r="AI363" s="85"/>
    </row>
    <row r="364" spans="18:35" x14ac:dyDescent="0.3">
      <c r="R364" s="85"/>
      <c r="S364" s="85"/>
      <c r="T364" s="85"/>
      <c r="W364" s="85"/>
      <c r="X364" s="85"/>
      <c r="Y364" s="85"/>
      <c r="AB364" s="85"/>
      <c r="AC364" s="85"/>
      <c r="AD364" s="85"/>
      <c r="AG364" s="85"/>
      <c r="AH364" s="85"/>
      <c r="AI364" s="85"/>
    </row>
    <row r="365" spans="18:35" x14ac:dyDescent="0.3">
      <c r="R365" s="85"/>
      <c r="S365" s="85"/>
      <c r="T365" s="85"/>
      <c r="W365" s="85"/>
      <c r="X365" s="85"/>
      <c r="Y365" s="85"/>
      <c r="AB365" s="85"/>
      <c r="AC365" s="85"/>
      <c r="AD365" s="85"/>
      <c r="AG365" s="85"/>
      <c r="AH365" s="85"/>
      <c r="AI365" s="85"/>
    </row>
    <row r="366" spans="18:35" x14ac:dyDescent="0.3">
      <c r="R366" s="85"/>
      <c r="S366" s="85"/>
      <c r="T366" s="85"/>
      <c r="W366" s="85"/>
      <c r="X366" s="85"/>
      <c r="Y366" s="85"/>
      <c r="AB366" s="85"/>
      <c r="AC366" s="85"/>
      <c r="AD366" s="85"/>
      <c r="AG366" s="85"/>
      <c r="AH366" s="85"/>
      <c r="AI366" s="85"/>
    </row>
    <row r="367" spans="18:35" x14ac:dyDescent="0.3">
      <c r="R367" s="85"/>
      <c r="S367" s="85"/>
      <c r="T367" s="85"/>
      <c r="W367" s="85"/>
      <c r="X367" s="85"/>
      <c r="Y367" s="85"/>
      <c r="AB367" s="85"/>
      <c r="AC367" s="85"/>
      <c r="AD367" s="85"/>
      <c r="AG367" s="85"/>
      <c r="AH367" s="85"/>
      <c r="AI367" s="85"/>
    </row>
    <row r="368" spans="18:35" x14ac:dyDescent="0.3">
      <c r="R368" s="85"/>
      <c r="S368" s="85"/>
      <c r="T368" s="85"/>
      <c r="W368" s="85"/>
      <c r="X368" s="85"/>
      <c r="Y368" s="85"/>
      <c r="AB368" s="85"/>
      <c r="AC368" s="85"/>
      <c r="AD368" s="85"/>
      <c r="AG368" s="85"/>
      <c r="AH368" s="85"/>
      <c r="AI368" s="85"/>
    </row>
    <row r="369" spans="18:35" x14ac:dyDescent="0.3">
      <c r="R369" s="85"/>
      <c r="S369" s="85"/>
      <c r="T369" s="85"/>
      <c r="W369" s="85"/>
      <c r="X369" s="85"/>
      <c r="Y369" s="85"/>
      <c r="AB369" s="85"/>
      <c r="AC369" s="85"/>
      <c r="AD369" s="85"/>
      <c r="AG369" s="85"/>
      <c r="AH369" s="85"/>
      <c r="AI369" s="85"/>
    </row>
    <row r="370" spans="18:35" x14ac:dyDescent="0.3">
      <c r="R370" s="85"/>
      <c r="S370" s="85"/>
      <c r="T370" s="85"/>
      <c r="W370" s="85"/>
      <c r="X370" s="85"/>
      <c r="Y370" s="85"/>
      <c r="AB370" s="85"/>
      <c r="AC370" s="85"/>
      <c r="AD370" s="85"/>
      <c r="AG370" s="85"/>
      <c r="AH370" s="85"/>
      <c r="AI370" s="85"/>
    </row>
    <row r="371" spans="18:35" x14ac:dyDescent="0.3">
      <c r="R371" s="85"/>
      <c r="S371" s="85"/>
      <c r="T371" s="85"/>
      <c r="W371" s="85"/>
      <c r="X371" s="85"/>
      <c r="Y371" s="85"/>
      <c r="AB371" s="85"/>
      <c r="AC371" s="85"/>
      <c r="AD371" s="85"/>
      <c r="AG371" s="85"/>
      <c r="AH371" s="85"/>
      <c r="AI371" s="85"/>
    </row>
    <row r="372" spans="18:35" x14ac:dyDescent="0.3">
      <c r="R372" s="85"/>
      <c r="S372" s="85"/>
      <c r="T372" s="85"/>
      <c r="W372" s="85"/>
      <c r="X372" s="85"/>
      <c r="Y372" s="85"/>
      <c r="AB372" s="85"/>
      <c r="AC372" s="85"/>
      <c r="AD372" s="85"/>
      <c r="AG372" s="85"/>
      <c r="AH372" s="85"/>
      <c r="AI372" s="85"/>
    </row>
    <row r="373" spans="18:35" x14ac:dyDescent="0.3">
      <c r="R373" s="85"/>
      <c r="S373" s="85"/>
      <c r="T373" s="85"/>
      <c r="W373" s="85"/>
      <c r="X373" s="85"/>
      <c r="Y373" s="85"/>
      <c r="AB373" s="85"/>
      <c r="AC373" s="85"/>
      <c r="AD373" s="85"/>
      <c r="AG373" s="85"/>
      <c r="AH373" s="85"/>
      <c r="AI373" s="85"/>
    </row>
    <row r="374" spans="18:35" x14ac:dyDescent="0.3">
      <c r="R374" s="85"/>
      <c r="S374" s="85"/>
      <c r="T374" s="85"/>
      <c r="W374" s="85"/>
      <c r="X374" s="85"/>
      <c r="Y374" s="85"/>
      <c r="AB374" s="85"/>
      <c r="AC374" s="85"/>
      <c r="AD374" s="85"/>
      <c r="AG374" s="85"/>
      <c r="AH374" s="85"/>
      <c r="AI374" s="85"/>
    </row>
    <row r="375" spans="18:35" x14ac:dyDescent="0.3">
      <c r="R375" s="85"/>
      <c r="S375" s="85"/>
      <c r="T375" s="85"/>
      <c r="W375" s="85"/>
      <c r="X375" s="85"/>
      <c r="Y375" s="85"/>
      <c r="AB375" s="85"/>
      <c r="AC375" s="85"/>
      <c r="AD375" s="85"/>
      <c r="AG375" s="85"/>
      <c r="AH375" s="85"/>
      <c r="AI375" s="85"/>
    </row>
    <row r="376" spans="18:35" x14ac:dyDescent="0.3">
      <c r="R376" s="85"/>
      <c r="S376" s="85"/>
      <c r="T376" s="85"/>
      <c r="W376" s="85"/>
      <c r="X376" s="85"/>
      <c r="Y376" s="85"/>
      <c r="AB376" s="85"/>
      <c r="AC376" s="85"/>
      <c r="AD376" s="85"/>
      <c r="AG376" s="85"/>
      <c r="AH376" s="85"/>
      <c r="AI376" s="85"/>
    </row>
    <row r="377" spans="18:35" x14ac:dyDescent="0.3">
      <c r="R377" s="85"/>
      <c r="S377" s="85"/>
      <c r="T377" s="85"/>
      <c r="W377" s="85"/>
      <c r="X377" s="85"/>
      <c r="Y377" s="85"/>
      <c r="AB377" s="85"/>
      <c r="AC377" s="85"/>
      <c r="AD377" s="85"/>
      <c r="AG377" s="85"/>
      <c r="AH377" s="85"/>
      <c r="AI377" s="85"/>
    </row>
    <row r="378" spans="18:35" x14ac:dyDescent="0.3">
      <c r="R378" s="85"/>
      <c r="S378" s="85"/>
      <c r="T378" s="85"/>
      <c r="W378" s="85"/>
      <c r="X378" s="85"/>
      <c r="Y378" s="85"/>
      <c r="AB378" s="85"/>
      <c r="AC378" s="85"/>
      <c r="AD378" s="85"/>
      <c r="AG378" s="85"/>
      <c r="AH378" s="85"/>
      <c r="AI378" s="85"/>
    </row>
    <row r="379" spans="18:35" x14ac:dyDescent="0.3">
      <c r="R379" s="85"/>
      <c r="S379" s="85"/>
      <c r="T379" s="85"/>
      <c r="W379" s="85"/>
      <c r="X379" s="85"/>
      <c r="Y379" s="85"/>
      <c r="AB379" s="85"/>
      <c r="AC379" s="85"/>
      <c r="AD379" s="85"/>
      <c r="AG379" s="85"/>
      <c r="AH379" s="85"/>
      <c r="AI379" s="85"/>
    </row>
    <row r="380" spans="18:35" x14ac:dyDescent="0.3">
      <c r="R380" s="85"/>
      <c r="S380" s="85"/>
      <c r="T380" s="85"/>
      <c r="W380" s="85"/>
      <c r="X380" s="85"/>
      <c r="Y380" s="85"/>
      <c r="AB380" s="85"/>
      <c r="AC380" s="85"/>
      <c r="AD380" s="85"/>
      <c r="AG380" s="85"/>
      <c r="AH380" s="85"/>
      <c r="AI380" s="85"/>
    </row>
    <row r="381" spans="18:35" x14ac:dyDescent="0.3">
      <c r="R381" s="85"/>
      <c r="S381" s="85"/>
      <c r="T381" s="85"/>
      <c r="W381" s="85"/>
      <c r="X381" s="85"/>
      <c r="Y381" s="85"/>
      <c r="AB381" s="85"/>
      <c r="AC381" s="85"/>
      <c r="AD381" s="85"/>
      <c r="AG381" s="85"/>
      <c r="AH381" s="85"/>
      <c r="AI381" s="85"/>
    </row>
    <row r="382" spans="18:35" x14ac:dyDescent="0.3">
      <c r="R382" s="85"/>
      <c r="S382" s="85"/>
      <c r="T382" s="85"/>
      <c r="W382" s="85"/>
      <c r="X382" s="85"/>
      <c r="Y382" s="85"/>
      <c r="AB382" s="85"/>
      <c r="AC382" s="85"/>
      <c r="AD382" s="85"/>
      <c r="AG382" s="85"/>
      <c r="AH382" s="85"/>
      <c r="AI382" s="85"/>
    </row>
    <row r="383" spans="18:35" x14ac:dyDescent="0.3">
      <c r="R383" s="85"/>
      <c r="S383" s="85"/>
      <c r="T383" s="85"/>
      <c r="W383" s="85"/>
      <c r="X383" s="85"/>
      <c r="Y383" s="85"/>
      <c r="AB383" s="85"/>
      <c r="AC383" s="85"/>
      <c r="AD383" s="85"/>
      <c r="AG383" s="85"/>
      <c r="AH383" s="85"/>
      <c r="AI383" s="85"/>
    </row>
    <row r="384" spans="18:35" x14ac:dyDescent="0.3">
      <c r="R384" s="85"/>
      <c r="S384" s="85"/>
      <c r="T384" s="85"/>
      <c r="W384" s="85"/>
      <c r="X384" s="85"/>
      <c r="Y384" s="85"/>
      <c r="AB384" s="85"/>
      <c r="AC384" s="85"/>
      <c r="AD384" s="85"/>
      <c r="AG384" s="85"/>
      <c r="AH384" s="85"/>
      <c r="AI384" s="85"/>
    </row>
    <row r="385" spans="18:35" x14ac:dyDescent="0.3">
      <c r="R385" s="85"/>
      <c r="S385" s="85"/>
      <c r="T385" s="85"/>
      <c r="W385" s="85"/>
      <c r="X385" s="85"/>
      <c r="Y385" s="85"/>
      <c r="AB385" s="85"/>
      <c r="AC385" s="85"/>
      <c r="AD385" s="85"/>
      <c r="AG385" s="85"/>
      <c r="AH385" s="85"/>
      <c r="AI385" s="85"/>
    </row>
    <row r="386" spans="18:35" x14ac:dyDescent="0.3">
      <c r="R386" s="85"/>
      <c r="S386" s="85"/>
      <c r="T386" s="85"/>
      <c r="W386" s="85"/>
      <c r="X386" s="85"/>
      <c r="Y386" s="85"/>
      <c r="AB386" s="85"/>
      <c r="AC386" s="85"/>
      <c r="AD386" s="85"/>
      <c r="AG386" s="85"/>
      <c r="AH386" s="85"/>
      <c r="AI386" s="85"/>
    </row>
    <row r="387" spans="18:35" x14ac:dyDescent="0.3">
      <c r="R387" s="85"/>
      <c r="S387" s="85"/>
      <c r="T387" s="85"/>
      <c r="W387" s="85"/>
      <c r="X387" s="85"/>
      <c r="Y387" s="85"/>
      <c r="AB387" s="85"/>
      <c r="AC387" s="85"/>
      <c r="AD387" s="85"/>
      <c r="AG387" s="85"/>
      <c r="AH387" s="85"/>
      <c r="AI387" s="85"/>
    </row>
    <row r="388" spans="18:35" x14ac:dyDescent="0.3">
      <c r="R388" s="85"/>
      <c r="S388" s="85"/>
      <c r="T388" s="85"/>
      <c r="W388" s="85"/>
      <c r="X388" s="85"/>
      <c r="Y388" s="85"/>
      <c r="AB388" s="85"/>
      <c r="AC388" s="85"/>
      <c r="AD388" s="85"/>
      <c r="AG388" s="85"/>
      <c r="AH388" s="85"/>
      <c r="AI388" s="85"/>
    </row>
    <row r="389" spans="18:35" x14ac:dyDescent="0.3">
      <c r="R389" s="85"/>
      <c r="S389" s="85"/>
      <c r="T389" s="85"/>
      <c r="W389" s="85"/>
      <c r="X389" s="85"/>
      <c r="Y389" s="85"/>
      <c r="AB389" s="85"/>
      <c r="AC389" s="85"/>
      <c r="AD389" s="85"/>
      <c r="AG389" s="85"/>
      <c r="AH389" s="85"/>
      <c r="AI389" s="85"/>
    </row>
    <row r="390" spans="18:35" x14ac:dyDescent="0.3">
      <c r="R390" s="85"/>
      <c r="S390" s="85"/>
      <c r="T390" s="85"/>
      <c r="W390" s="85"/>
      <c r="X390" s="85"/>
      <c r="Y390" s="85"/>
      <c r="AB390" s="85"/>
      <c r="AC390" s="85"/>
      <c r="AD390" s="85"/>
      <c r="AG390" s="85"/>
      <c r="AH390" s="85"/>
      <c r="AI390" s="85"/>
    </row>
    <row r="391" spans="18:35" x14ac:dyDescent="0.3">
      <c r="R391" s="85"/>
      <c r="S391" s="85"/>
      <c r="T391" s="85"/>
      <c r="W391" s="85"/>
      <c r="X391" s="85"/>
      <c r="Y391" s="85"/>
      <c r="AB391" s="85"/>
      <c r="AC391" s="85"/>
      <c r="AD391" s="85"/>
      <c r="AG391" s="85"/>
      <c r="AH391" s="85"/>
      <c r="AI391" s="85"/>
    </row>
    <row r="392" spans="18:35" x14ac:dyDescent="0.3">
      <c r="R392" s="85"/>
      <c r="S392" s="85"/>
      <c r="T392" s="85"/>
      <c r="W392" s="85"/>
      <c r="X392" s="85"/>
      <c r="Y392" s="85"/>
      <c r="AB392" s="85"/>
      <c r="AC392" s="85"/>
      <c r="AD392" s="85"/>
      <c r="AG392" s="85"/>
      <c r="AH392" s="85"/>
      <c r="AI392" s="85"/>
    </row>
    <row r="393" spans="18:35" x14ac:dyDescent="0.3">
      <c r="R393" s="85"/>
      <c r="S393" s="85"/>
      <c r="T393" s="85"/>
      <c r="W393" s="85"/>
      <c r="X393" s="85"/>
      <c r="Y393" s="85"/>
      <c r="AB393" s="85"/>
      <c r="AC393" s="85"/>
      <c r="AD393" s="85"/>
      <c r="AG393" s="85"/>
      <c r="AH393" s="85"/>
      <c r="AI393" s="85"/>
    </row>
    <row r="394" spans="18:35" x14ac:dyDescent="0.3">
      <c r="R394" s="85"/>
      <c r="S394" s="85"/>
      <c r="T394" s="85"/>
      <c r="W394" s="85"/>
      <c r="X394" s="85"/>
      <c r="Y394" s="85"/>
      <c r="AB394" s="85"/>
      <c r="AC394" s="85"/>
      <c r="AD394" s="85"/>
      <c r="AG394" s="85"/>
      <c r="AH394" s="85"/>
      <c r="AI394" s="85"/>
    </row>
    <row r="395" spans="18:35" x14ac:dyDescent="0.3">
      <c r="R395" s="85"/>
      <c r="S395" s="85"/>
      <c r="T395" s="85"/>
      <c r="W395" s="85"/>
      <c r="X395" s="85"/>
      <c r="Y395" s="85"/>
      <c r="AB395" s="85"/>
      <c r="AC395" s="85"/>
      <c r="AD395" s="85"/>
      <c r="AG395" s="85"/>
      <c r="AH395" s="85"/>
      <c r="AI395" s="85"/>
    </row>
    <row r="396" spans="18:35" x14ac:dyDescent="0.3">
      <c r="R396" s="85"/>
      <c r="S396" s="85"/>
      <c r="T396" s="85"/>
      <c r="W396" s="85"/>
      <c r="X396" s="85"/>
      <c r="Y396" s="85"/>
      <c r="AB396" s="85"/>
      <c r="AC396" s="85"/>
      <c r="AD396" s="85"/>
      <c r="AG396" s="85"/>
      <c r="AH396" s="85"/>
      <c r="AI396" s="85"/>
    </row>
    <row r="397" spans="18:35" x14ac:dyDescent="0.3">
      <c r="R397" s="85"/>
      <c r="S397" s="85"/>
      <c r="T397" s="85"/>
      <c r="W397" s="85"/>
      <c r="X397" s="85"/>
      <c r="Y397" s="85"/>
      <c r="AB397" s="85"/>
      <c r="AC397" s="85"/>
      <c r="AD397" s="85"/>
      <c r="AG397" s="85"/>
      <c r="AH397" s="85"/>
      <c r="AI397" s="85"/>
    </row>
    <row r="398" spans="18:35" x14ac:dyDescent="0.3">
      <c r="R398" s="85"/>
      <c r="S398" s="85"/>
      <c r="T398" s="85"/>
      <c r="W398" s="85"/>
      <c r="X398" s="85"/>
      <c r="Y398" s="85"/>
      <c r="AB398" s="85"/>
      <c r="AC398" s="85"/>
      <c r="AD398" s="85"/>
      <c r="AG398" s="85"/>
      <c r="AH398" s="85"/>
      <c r="AI398" s="85"/>
    </row>
    <row r="399" spans="18:35" x14ac:dyDescent="0.3">
      <c r="R399" s="85"/>
      <c r="S399" s="85"/>
      <c r="T399" s="85"/>
      <c r="W399" s="85"/>
      <c r="X399" s="85"/>
      <c r="Y399" s="85"/>
      <c r="AB399" s="85"/>
      <c r="AC399" s="85"/>
      <c r="AD399" s="85"/>
      <c r="AG399" s="85"/>
      <c r="AH399" s="85"/>
      <c r="AI399" s="85"/>
    </row>
    <row r="400" spans="18:35" x14ac:dyDescent="0.3">
      <c r="R400" s="85"/>
      <c r="S400" s="85"/>
      <c r="T400" s="85"/>
      <c r="W400" s="85"/>
      <c r="X400" s="85"/>
      <c r="Y400" s="85"/>
      <c r="AB400" s="85"/>
      <c r="AC400" s="85"/>
      <c r="AD400" s="85"/>
      <c r="AG400" s="85"/>
      <c r="AH400" s="85"/>
      <c r="AI400" s="85"/>
    </row>
    <row r="401" spans="18:35" x14ac:dyDescent="0.3">
      <c r="R401" s="85"/>
      <c r="S401" s="85"/>
      <c r="T401" s="85"/>
      <c r="W401" s="85"/>
      <c r="X401" s="85"/>
      <c r="Y401" s="85"/>
      <c r="AB401" s="85"/>
      <c r="AC401" s="85"/>
      <c r="AD401" s="85"/>
      <c r="AG401" s="85"/>
      <c r="AH401" s="85"/>
      <c r="AI401" s="85"/>
    </row>
    <row r="402" spans="18:35" x14ac:dyDescent="0.3">
      <c r="R402" s="85"/>
      <c r="S402" s="85"/>
      <c r="T402" s="85"/>
      <c r="W402" s="85"/>
      <c r="X402" s="85"/>
      <c r="Y402" s="85"/>
      <c r="AB402" s="85"/>
      <c r="AC402" s="85"/>
      <c r="AD402" s="85"/>
      <c r="AG402" s="85"/>
      <c r="AH402" s="85"/>
      <c r="AI402" s="85"/>
    </row>
    <row r="403" spans="18:35" x14ac:dyDescent="0.3">
      <c r="R403" s="85"/>
      <c r="S403" s="85"/>
      <c r="T403" s="85"/>
      <c r="W403" s="85"/>
      <c r="X403" s="85"/>
      <c r="Y403" s="85"/>
      <c r="AB403" s="85"/>
      <c r="AC403" s="85"/>
      <c r="AD403" s="85"/>
      <c r="AG403" s="85"/>
      <c r="AH403" s="85"/>
      <c r="AI403" s="85"/>
    </row>
    <row r="404" spans="18:35" x14ac:dyDescent="0.3">
      <c r="R404" s="85"/>
      <c r="S404" s="85"/>
      <c r="T404" s="85"/>
      <c r="W404" s="85"/>
      <c r="X404" s="85"/>
      <c r="Y404" s="85"/>
      <c r="AB404" s="85"/>
      <c r="AC404" s="85"/>
      <c r="AD404" s="85"/>
      <c r="AG404" s="85"/>
      <c r="AH404" s="85"/>
      <c r="AI404" s="85"/>
    </row>
    <row r="405" spans="18:35" x14ac:dyDescent="0.3">
      <c r="R405" s="85"/>
      <c r="S405" s="85"/>
      <c r="T405" s="85"/>
      <c r="W405" s="85"/>
      <c r="X405" s="85"/>
      <c r="Y405" s="85"/>
      <c r="AB405" s="85"/>
      <c r="AC405" s="85"/>
      <c r="AD405" s="85"/>
      <c r="AG405" s="85"/>
      <c r="AH405" s="85"/>
      <c r="AI405" s="85"/>
    </row>
    <row r="406" spans="18:35" x14ac:dyDescent="0.3">
      <c r="R406" s="85"/>
      <c r="S406" s="85"/>
      <c r="T406" s="85"/>
      <c r="W406" s="85"/>
      <c r="X406" s="85"/>
      <c r="Y406" s="85"/>
      <c r="AB406" s="85"/>
      <c r="AC406" s="85"/>
      <c r="AD406" s="85"/>
      <c r="AG406" s="85"/>
      <c r="AH406" s="85"/>
      <c r="AI406" s="85"/>
    </row>
    <row r="407" spans="18:35" x14ac:dyDescent="0.3">
      <c r="R407" s="85"/>
      <c r="S407" s="85"/>
      <c r="T407" s="85"/>
      <c r="W407" s="85"/>
      <c r="X407" s="85"/>
      <c r="Y407" s="85"/>
      <c r="AB407" s="85"/>
      <c r="AC407" s="85"/>
      <c r="AD407" s="85"/>
      <c r="AG407" s="85"/>
      <c r="AH407" s="85"/>
      <c r="AI407" s="85"/>
    </row>
    <row r="408" spans="18:35" x14ac:dyDescent="0.3">
      <c r="R408" s="85"/>
      <c r="S408" s="85"/>
      <c r="T408" s="85"/>
      <c r="W408" s="85"/>
      <c r="X408" s="85"/>
      <c r="Y408" s="85"/>
      <c r="AB408" s="85"/>
      <c r="AC408" s="85"/>
      <c r="AD408" s="85"/>
      <c r="AG408" s="85"/>
      <c r="AH408" s="85"/>
      <c r="AI408" s="85"/>
    </row>
    <row r="409" spans="18:35" x14ac:dyDescent="0.3">
      <c r="R409" s="85"/>
      <c r="S409" s="85"/>
      <c r="T409" s="85"/>
      <c r="W409" s="85"/>
      <c r="X409" s="85"/>
      <c r="Y409" s="85"/>
      <c r="AB409" s="85"/>
      <c r="AC409" s="85"/>
      <c r="AD409" s="85"/>
      <c r="AG409" s="85"/>
      <c r="AH409" s="85"/>
      <c r="AI409" s="85"/>
    </row>
    <row r="410" spans="18:35" x14ac:dyDescent="0.3">
      <c r="R410" s="85"/>
      <c r="S410" s="85"/>
      <c r="T410" s="85"/>
      <c r="W410" s="85"/>
      <c r="X410" s="85"/>
      <c r="Y410" s="85"/>
      <c r="AB410" s="85"/>
      <c r="AC410" s="85"/>
      <c r="AD410" s="85"/>
      <c r="AG410" s="85"/>
      <c r="AH410" s="85"/>
      <c r="AI410" s="85"/>
    </row>
    <row r="411" spans="18:35" x14ac:dyDescent="0.3">
      <c r="R411" s="85"/>
      <c r="S411" s="85"/>
      <c r="T411" s="85"/>
      <c r="W411" s="85"/>
      <c r="X411" s="85"/>
      <c r="Y411" s="85"/>
      <c r="AB411" s="85"/>
      <c r="AC411" s="85"/>
      <c r="AD411" s="85"/>
      <c r="AG411" s="85"/>
      <c r="AH411" s="85"/>
      <c r="AI411" s="85"/>
    </row>
    <row r="412" spans="18:35" x14ac:dyDescent="0.3">
      <c r="R412" s="85"/>
      <c r="S412" s="85"/>
      <c r="T412" s="85"/>
      <c r="W412" s="85"/>
      <c r="X412" s="85"/>
      <c r="Y412" s="85"/>
      <c r="AB412" s="85"/>
      <c r="AC412" s="85"/>
      <c r="AD412" s="85"/>
      <c r="AG412" s="85"/>
      <c r="AH412" s="85"/>
      <c r="AI412" s="85"/>
    </row>
    <row r="413" spans="18:35" x14ac:dyDescent="0.3">
      <c r="R413" s="85"/>
      <c r="S413" s="85"/>
      <c r="T413" s="85"/>
      <c r="W413" s="85"/>
      <c r="X413" s="85"/>
      <c r="Y413" s="85"/>
      <c r="AB413" s="85"/>
      <c r="AC413" s="85"/>
      <c r="AD413" s="85"/>
      <c r="AG413" s="85"/>
      <c r="AH413" s="85"/>
      <c r="AI413" s="85"/>
    </row>
    <row r="414" spans="18:35" x14ac:dyDescent="0.3">
      <c r="R414" s="85"/>
      <c r="S414" s="85"/>
      <c r="T414" s="85"/>
      <c r="W414" s="85"/>
      <c r="X414" s="85"/>
      <c r="Y414" s="85"/>
      <c r="AB414" s="85"/>
      <c r="AC414" s="85"/>
      <c r="AD414" s="85"/>
      <c r="AG414" s="85"/>
      <c r="AH414" s="85"/>
      <c r="AI414" s="85"/>
    </row>
    <row r="415" spans="18:35" x14ac:dyDescent="0.3">
      <c r="R415" s="85"/>
      <c r="S415" s="85"/>
      <c r="T415" s="85"/>
      <c r="W415" s="85"/>
      <c r="X415" s="85"/>
      <c r="Y415" s="85"/>
      <c r="AB415" s="85"/>
      <c r="AC415" s="85"/>
      <c r="AD415" s="85"/>
      <c r="AG415" s="85"/>
      <c r="AH415" s="85"/>
      <c r="AI415" s="85"/>
    </row>
    <row r="416" spans="18:35" x14ac:dyDescent="0.3">
      <c r="R416" s="85"/>
      <c r="S416" s="85"/>
      <c r="T416" s="85"/>
      <c r="W416" s="85"/>
      <c r="X416" s="85"/>
      <c r="Y416" s="85"/>
      <c r="AB416" s="85"/>
      <c r="AC416" s="85"/>
      <c r="AD416" s="85"/>
      <c r="AG416" s="85"/>
      <c r="AH416" s="85"/>
      <c r="AI416" s="85"/>
    </row>
    <row r="417" spans="18:35" x14ac:dyDescent="0.3">
      <c r="R417" s="85"/>
      <c r="S417" s="85"/>
      <c r="T417" s="85"/>
      <c r="W417" s="85"/>
      <c r="X417" s="85"/>
      <c r="Y417" s="85"/>
      <c r="AB417" s="85"/>
      <c r="AC417" s="85"/>
      <c r="AD417" s="85"/>
      <c r="AG417" s="85"/>
      <c r="AH417" s="85"/>
      <c r="AI417" s="85"/>
    </row>
    <row r="418" spans="18:35" x14ac:dyDescent="0.3">
      <c r="R418" s="85"/>
      <c r="S418" s="85"/>
      <c r="T418" s="85"/>
      <c r="W418" s="85"/>
      <c r="X418" s="85"/>
      <c r="Y418" s="85"/>
      <c r="AB418" s="85"/>
      <c r="AC418" s="85"/>
      <c r="AD418" s="85"/>
      <c r="AG418" s="85"/>
      <c r="AH418" s="85"/>
      <c r="AI418" s="85"/>
    </row>
    <row r="419" spans="18:35" x14ac:dyDescent="0.3">
      <c r="R419" s="85"/>
      <c r="S419" s="85"/>
      <c r="T419" s="85"/>
      <c r="W419" s="85"/>
      <c r="X419" s="85"/>
      <c r="Y419" s="85"/>
      <c r="AB419" s="85"/>
      <c r="AC419" s="85"/>
      <c r="AD419" s="85"/>
      <c r="AG419" s="85"/>
      <c r="AH419" s="85"/>
      <c r="AI419" s="85"/>
    </row>
    <row r="420" spans="18:35" x14ac:dyDescent="0.3">
      <c r="R420" s="85"/>
      <c r="S420" s="85"/>
      <c r="T420" s="85"/>
      <c r="W420" s="85"/>
      <c r="X420" s="85"/>
      <c r="Y420" s="85"/>
      <c r="AB420" s="85"/>
      <c r="AC420" s="85"/>
      <c r="AD420" s="85"/>
      <c r="AG420" s="85"/>
      <c r="AH420" s="85"/>
      <c r="AI420" s="85"/>
    </row>
    <row r="421" spans="18:35" x14ac:dyDescent="0.3">
      <c r="R421" s="85"/>
      <c r="S421" s="85"/>
      <c r="T421" s="85"/>
      <c r="W421" s="85"/>
      <c r="X421" s="85"/>
      <c r="Y421" s="85"/>
      <c r="AB421" s="85"/>
      <c r="AC421" s="85"/>
      <c r="AD421" s="85"/>
      <c r="AG421" s="85"/>
      <c r="AH421" s="85"/>
      <c r="AI421" s="85"/>
    </row>
    <row r="422" spans="18:35" x14ac:dyDescent="0.3">
      <c r="R422" s="85"/>
      <c r="S422" s="85"/>
      <c r="T422" s="85"/>
      <c r="W422" s="85"/>
      <c r="X422" s="85"/>
      <c r="Y422" s="85"/>
      <c r="AB422" s="85"/>
      <c r="AC422" s="85"/>
      <c r="AD422" s="85"/>
      <c r="AG422" s="85"/>
      <c r="AH422" s="85"/>
      <c r="AI422" s="85"/>
    </row>
    <row r="423" spans="18:35" x14ac:dyDescent="0.3">
      <c r="R423" s="85"/>
      <c r="S423" s="85"/>
      <c r="T423" s="85"/>
      <c r="W423" s="85"/>
      <c r="X423" s="85"/>
      <c r="Y423" s="85"/>
      <c r="AB423" s="85"/>
      <c r="AC423" s="85"/>
      <c r="AD423" s="85"/>
      <c r="AG423" s="85"/>
      <c r="AH423" s="85"/>
      <c r="AI423" s="85"/>
    </row>
    <row r="424" spans="18:35" x14ac:dyDescent="0.3">
      <c r="R424" s="85"/>
      <c r="S424" s="85"/>
      <c r="T424" s="85"/>
      <c r="W424" s="85"/>
      <c r="X424" s="85"/>
      <c r="Y424" s="85"/>
      <c r="AB424" s="85"/>
      <c r="AC424" s="85"/>
      <c r="AD424" s="85"/>
      <c r="AG424" s="85"/>
      <c r="AH424" s="85"/>
      <c r="AI424" s="85"/>
    </row>
    <row r="425" spans="18:35" x14ac:dyDescent="0.3">
      <c r="R425" s="85"/>
      <c r="S425" s="85"/>
      <c r="T425" s="85"/>
      <c r="W425" s="85"/>
      <c r="X425" s="85"/>
      <c r="Y425" s="85"/>
      <c r="AB425" s="85"/>
      <c r="AC425" s="85"/>
      <c r="AD425" s="85"/>
      <c r="AG425" s="85"/>
      <c r="AH425" s="85"/>
      <c r="AI425" s="85"/>
    </row>
    <row r="426" spans="18:35" x14ac:dyDescent="0.3">
      <c r="R426" s="85"/>
      <c r="S426" s="85"/>
      <c r="T426" s="85"/>
      <c r="W426" s="85"/>
      <c r="X426" s="85"/>
      <c r="Y426" s="85"/>
      <c r="AB426" s="85"/>
      <c r="AC426" s="85"/>
      <c r="AD426" s="85"/>
      <c r="AG426" s="85"/>
      <c r="AH426" s="85"/>
      <c r="AI426" s="85"/>
    </row>
    <row r="427" spans="18:35" x14ac:dyDescent="0.3">
      <c r="R427" s="85"/>
      <c r="S427" s="85"/>
      <c r="T427" s="85"/>
      <c r="W427" s="85"/>
      <c r="X427" s="85"/>
      <c r="Y427" s="85"/>
      <c r="AB427" s="85"/>
      <c r="AC427" s="85"/>
      <c r="AD427" s="85"/>
      <c r="AG427" s="85"/>
      <c r="AH427" s="85"/>
      <c r="AI427" s="85"/>
    </row>
    <row r="428" spans="18:35" x14ac:dyDescent="0.3">
      <c r="R428" s="85"/>
      <c r="S428" s="85"/>
      <c r="T428" s="85"/>
      <c r="W428" s="85"/>
      <c r="X428" s="85"/>
      <c r="Y428" s="85"/>
      <c r="AB428" s="85"/>
      <c r="AC428" s="85"/>
      <c r="AD428" s="85"/>
      <c r="AG428" s="85"/>
      <c r="AH428" s="85"/>
      <c r="AI428" s="85"/>
    </row>
    <row r="429" spans="18:35" x14ac:dyDescent="0.3">
      <c r="R429" s="85"/>
      <c r="S429" s="85"/>
      <c r="T429" s="85"/>
      <c r="W429" s="85"/>
      <c r="X429" s="85"/>
      <c r="Y429" s="85"/>
      <c r="AB429" s="85"/>
      <c r="AC429" s="85"/>
      <c r="AD429" s="85"/>
      <c r="AG429" s="85"/>
      <c r="AH429" s="85"/>
      <c r="AI429" s="85"/>
    </row>
    <row r="430" spans="18:35" x14ac:dyDescent="0.3">
      <c r="R430" s="85"/>
      <c r="S430" s="85"/>
      <c r="T430" s="85"/>
      <c r="W430" s="85"/>
      <c r="X430" s="85"/>
      <c r="Y430" s="85"/>
      <c r="AB430" s="85"/>
      <c r="AC430" s="85"/>
      <c r="AD430" s="85"/>
      <c r="AG430" s="85"/>
      <c r="AH430" s="85"/>
      <c r="AI430" s="85"/>
    </row>
    <row r="431" spans="18:35" x14ac:dyDescent="0.3">
      <c r="R431" s="85"/>
      <c r="S431" s="85"/>
      <c r="T431" s="85"/>
      <c r="W431" s="85"/>
      <c r="X431" s="85"/>
      <c r="Y431" s="85"/>
      <c r="AB431" s="85"/>
      <c r="AC431" s="85"/>
      <c r="AD431" s="85"/>
      <c r="AG431" s="85"/>
      <c r="AH431" s="85"/>
      <c r="AI431" s="85"/>
    </row>
    <row r="432" spans="18:35" x14ac:dyDescent="0.3">
      <c r="R432" s="85"/>
      <c r="S432" s="85"/>
      <c r="T432" s="85"/>
      <c r="W432" s="85"/>
      <c r="X432" s="85"/>
      <c r="Y432" s="85"/>
      <c r="AB432" s="85"/>
      <c r="AC432" s="85"/>
      <c r="AD432" s="85"/>
      <c r="AG432" s="85"/>
      <c r="AH432" s="85"/>
      <c r="AI432" s="85"/>
    </row>
    <row r="433" spans="18:35" x14ac:dyDescent="0.3">
      <c r="R433" s="85"/>
      <c r="S433" s="85"/>
      <c r="T433" s="85"/>
      <c r="W433" s="85"/>
      <c r="X433" s="85"/>
      <c r="Y433" s="85"/>
      <c r="AB433" s="85"/>
      <c r="AC433" s="85"/>
      <c r="AD433" s="85"/>
      <c r="AG433" s="85"/>
      <c r="AH433" s="85"/>
      <c r="AI433" s="85"/>
    </row>
    <row r="434" spans="18:35" x14ac:dyDescent="0.3">
      <c r="R434" s="85"/>
      <c r="S434" s="85"/>
      <c r="T434" s="85"/>
      <c r="W434" s="85"/>
      <c r="X434" s="85"/>
      <c r="Y434" s="85"/>
      <c r="AB434" s="85"/>
      <c r="AC434" s="85"/>
      <c r="AD434" s="85"/>
      <c r="AG434" s="85"/>
      <c r="AH434" s="85"/>
      <c r="AI434" s="85"/>
    </row>
    <row r="435" spans="18:35" x14ac:dyDescent="0.3">
      <c r="R435" s="85"/>
      <c r="S435" s="85"/>
      <c r="T435" s="85"/>
      <c r="W435" s="85"/>
      <c r="X435" s="85"/>
      <c r="Y435" s="85"/>
      <c r="AB435" s="85"/>
      <c r="AC435" s="85"/>
      <c r="AD435" s="85"/>
      <c r="AG435" s="85"/>
      <c r="AH435" s="85"/>
      <c r="AI435" s="85"/>
    </row>
    <row r="436" spans="18:35" x14ac:dyDescent="0.3">
      <c r="R436" s="85"/>
      <c r="S436" s="85"/>
      <c r="T436" s="85"/>
      <c r="W436" s="85"/>
      <c r="X436" s="85"/>
      <c r="Y436" s="85"/>
      <c r="AB436" s="85"/>
      <c r="AC436" s="85"/>
      <c r="AD436" s="85"/>
      <c r="AG436" s="85"/>
      <c r="AH436" s="85"/>
      <c r="AI436" s="85"/>
    </row>
    <row r="437" spans="18:35" x14ac:dyDescent="0.3">
      <c r="R437" s="85"/>
      <c r="S437" s="85"/>
      <c r="T437" s="85"/>
      <c r="W437" s="85"/>
      <c r="X437" s="85"/>
      <c r="Y437" s="85"/>
      <c r="AB437" s="85"/>
      <c r="AC437" s="85"/>
      <c r="AD437" s="85"/>
      <c r="AG437" s="85"/>
      <c r="AH437" s="85"/>
      <c r="AI437" s="85"/>
    </row>
    <row r="438" spans="18:35" x14ac:dyDescent="0.3">
      <c r="R438" s="85"/>
      <c r="S438" s="85"/>
      <c r="T438" s="85"/>
      <c r="W438" s="85"/>
      <c r="X438" s="85"/>
      <c r="Y438" s="85"/>
      <c r="AB438" s="85"/>
      <c r="AC438" s="85"/>
      <c r="AD438" s="85"/>
      <c r="AG438" s="85"/>
      <c r="AH438" s="85"/>
      <c r="AI438" s="85"/>
    </row>
    <row r="439" spans="18:35" x14ac:dyDescent="0.3">
      <c r="R439" s="85"/>
      <c r="S439" s="85"/>
      <c r="T439" s="85"/>
      <c r="W439" s="85"/>
      <c r="X439" s="85"/>
      <c r="Y439" s="85"/>
      <c r="AB439" s="85"/>
      <c r="AC439" s="85"/>
      <c r="AD439" s="85"/>
      <c r="AG439" s="85"/>
      <c r="AH439" s="85"/>
      <c r="AI439" s="85"/>
    </row>
    <row r="440" spans="18:35" x14ac:dyDescent="0.3">
      <c r="R440" s="85"/>
      <c r="S440" s="85"/>
      <c r="T440" s="85"/>
      <c r="W440" s="85"/>
      <c r="X440" s="85"/>
      <c r="Y440" s="85"/>
      <c r="AB440" s="85"/>
      <c r="AC440" s="85"/>
      <c r="AD440" s="85"/>
      <c r="AG440" s="85"/>
      <c r="AH440" s="85"/>
      <c r="AI440" s="85"/>
    </row>
    <row r="441" spans="18:35" x14ac:dyDescent="0.3">
      <c r="R441" s="85"/>
      <c r="S441" s="85"/>
      <c r="T441" s="85"/>
      <c r="W441" s="85"/>
      <c r="X441" s="85"/>
      <c r="Y441" s="85"/>
      <c r="AB441" s="85"/>
      <c r="AC441" s="85"/>
      <c r="AD441" s="85"/>
      <c r="AG441" s="85"/>
      <c r="AH441" s="85"/>
      <c r="AI441" s="85"/>
    </row>
    <row r="442" spans="18:35" x14ac:dyDescent="0.3">
      <c r="R442" s="85"/>
      <c r="S442" s="85"/>
      <c r="T442" s="85"/>
      <c r="W442" s="85"/>
      <c r="X442" s="85"/>
      <c r="Y442" s="85"/>
      <c r="AB442" s="85"/>
      <c r="AC442" s="85"/>
      <c r="AD442" s="85"/>
      <c r="AG442" s="85"/>
      <c r="AH442" s="85"/>
      <c r="AI442" s="85"/>
    </row>
    <row r="443" spans="18:35" x14ac:dyDescent="0.3">
      <c r="R443" s="85"/>
      <c r="S443" s="85"/>
      <c r="T443" s="85"/>
      <c r="W443" s="85"/>
      <c r="X443" s="85"/>
      <c r="Y443" s="85"/>
      <c r="AB443" s="85"/>
      <c r="AC443" s="85"/>
      <c r="AD443" s="85"/>
      <c r="AG443" s="85"/>
      <c r="AH443" s="85"/>
      <c r="AI443" s="85"/>
    </row>
    <row r="444" spans="18:35" x14ac:dyDescent="0.3">
      <c r="R444" s="85"/>
      <c r="S444" s="85"/>
      <c r="T444" s="85"/>
      <c r="W444" s="85"/>
      <c r="X444" s="85"/>
      <c r="Y444" s="85"/>
      <c r="AB444" s="85"/>
      <c r="AC444" s="85"/>
      <c r="AD444" s="85"/>
      <c r="AG444" s="85"/>
      <c r="AH444" s="85"/>
      <c r="AI444" s="85"/>
    </row>
    <row r="445" spans="18:35" x14ac:dyDescent="0.3">
      <c r="R445" s="85"/>
      <c r="S445" s="85"/>
      <c r="T445" s="85"/>
      <c r="W445" s="85"/>
      <c r="X445" s="85"/>
      <c r="Y445" s="85"/>
      <c r="AB445" s="85"/>
      <c r="AC445" s="85"/>
      <c r="AD445" s="85"/>
      <c r="AG445" s="85"/>
      <c r="AH445" s="85"/>
      <c r="AI445" s="85"/>
    </row>
    <row r="446" spans="18:35" x14ac:dyDescent="0.3">
      <c r="R446" s="85"/>
      <c r="S446" s="85"/>
      <c r="T446" s="85"/>
      <c r="W446" s="85"/>
      <c r="X446" s="85"/>
      <c r="Y446" s="85"/>
      <c r="AB446" s="85"/>
      <c r="AC446" s="85"/>
      <c r="AD446" s="85"/>
      <c r="AG446" s="85"/>
      <c r="AH446" s="85"/>
      <c r="AI446" s="85"/>
    </row>
    <row r="447" spans="18:35" x14ac:dyDescent="0.3">
      <c r="R447" s="85"/>
      <c r="S447" s="85"/>
      <c r="T447" s="85"/>
      <c r="W447" s="85"/>
      <c r="X447" s="85"/>
      <c r="Y447" s="85"/>
      <c r="AB447" s="85"/>
      <c r="AC447" s="85"/>
      <c r="AD447" s="85"/>
      <c r="AG447" s="85"/>
      <c r="AH447" s="85"/>
      <c r="AI447" s="85"/>
    </row>
    <row r="448" spans="18:35" x14ac:dyDescent="0.3">
      <c r="R448" s="85"/>
      <c r="S448" s="85"/>
      <c r="T448" s="85"/>
      <c r="W448" s="85"/>
      <c r="X448" s="85"/>
      <c r="Y448" s="85"/>
      <c r="AB448" s="85"/>
      <c r="AC448" s="85"/>
      <c r="AD448" s="85"/>
      <c r="AG448" s="85"/>
      <c r="AH448" s="85"/>
      <c r="AI448" s="85"/>
    </row>
    <row r="449" spans="18:35" x14ac:dyDescent="0.3">
      <c r="R449" s="85"/>
      <c r="S449" s="85"/>
      <c r="T449" s="85"/>
      <c r="W449" s="85"/>
      <c r="X449" s="85"/>
      <c r="Y449" s="85"/>
      <c r="AB449" s="85"/>
      <c r="AC449" s="85"/>
      <c r="AD449" s="85"/>
      <c r="AG449" s="85"/>
      <c r="AH449" s="85"/>
      <c r="AI449" s="85"/>
    </row>
    <row r="450" spans="18:35" x14ac:dyDescent="0.3">
      <c r="R450" s="85"/>
      <c r="S450" s="85"/>
      <c r="T450" s="85"/>
      <c r="W450" s="85"/>
      <c r="X450" s="85"/>
      <c r="Y450" s="85"/>
      <c r="AB450" s="85"/>
      <c r="AC450" s="85"/>
      <c r="AD450" s="85"/>
      <c r="AG450" s="85"/>
      <c r="AH450" s="85"/>
      <c r="AI450" s="85"/>
    </row>
    <row r="451" spans="18:35" x14ac:dyDescent="0.3">
      <c r="R451" s="85"/>
      <c r="S451" s="85"/>
      <c r="T451" s="85"/>
      <c r="W451" s="85"/>
      <c r="X451" s="85"/>
      <c r="Y451" s="85"/>
      <c r="AB451" s="85"/>
      <c r="AC451" s="85"/>
      <c r="AD451" s="85"/>
      <c r="AG451" s="85"/>
      <c r="AH451" s="85"/>
      <c r="AI451" s="85"/>
    </row>
    <row r="452" spans="18:35" x14ac:dyDescent="0.3">
      <c r="R452" s="85"/>
      <c r="S452" s="85"/>
      <c r="T452" s="85"/>
      <c r="W452" s="85"/>
      <c r="X452" s="85"/>
      <c r="Y452" s="85"/>
      <c r="AB452" s="85"/>
      <c r="AC452" s="85"/>
      <c r="AD452" s="85"/>
      <c r="AG452" s="85"/>
      <c r="AH452" s="85"/>
      <c r="AI452" s="85"/>
    </row>
    <row r="453" spans="18:35" x14ac:dyDescent="0.3">
      <c r="R453" s="85"/>
      <c r="S453" s="85"/>
      <c r="T453" s="85"/>
      <c r="W453" s="85"/>
      <c r="X453" s="85"/>
      <c r="Y453" s="85"/>
      <c r="AB453" s="85"/>
      <c r="AC453" s="85"/>
      <c r="AD453" s="85"/>
      <c r="AG453" s="85"/>
      <c r="AH453" s="85"/>
      <c r="AI453" s="85"/>
    </row>
    <row r="454" spans="18:35" x14ac:dyDescent="0.3">
      <c r="R454" s="85"/>
      <c r="S454" s="85"/>
      <c r="T454" s="85"/>
      <c r="W454" s="85"/>
      <c r="X454" s="85"/>
      <c r="Y454" s="85"/>
      <c r="AB454" s="85"/>
      <c r="AC454" s="85"/>
      <c r="AD454" s="85"/>
      <c r="AG454" s="85"/>
      <c r="AH454" s="85"/>
      <c r="AI454" s="85"/>
    </row>
    <row r="455" spans="18:35" x14ac:dyDescent="0.3">
      <c r="R455" s="85"/>
      <c r="S455" s="85"/>
      <c r="T455" s="85"/>
      <c r="W455" s="85"/>
      <c r="X455" s="85"/>
      <c r="Y455" s="85"/>
      <c r="AB455" s="85"/>
      <c r="AC455" s="85"/>
      <c r="AD455" s="85"/>
      <c r="AG455" s="85"/>
      <c r="AH455" s="85"/>
      <c r="AI455" s="85"/>
    </row>
    <row r="456" spans="18:35" x14ac:dyDescent="0.3">
      <c r="R456" s="85"/>
      <c r="S456" s="85"/>
      <c r="T456" s="85"/>
      <c r="W456" s="85"/>
      <c r="X456" s="85"/>
      <c r="Y456" s="85"/>
      <c r="AB456" s="85"/>
      <c r="AC456" s="85"/>
      <c r="AD456" s="85"/>
      <c r="AG456" s="85"/>
      <c r="AH456" s="85"/>
      <c r="AI456" s="85"/>
    </row>
    <row r="457" spans="18:35" x14ac:dyDescent="0.3">
      <c r="R457" s="85"/>
      <c r="S457" s="85"/>
      <c r="T457" s="85"/>
      <c r="W457" s="85"/>
      <c r="X457" s="85"/>
      <c r="Y457" s="85"/>
      <c r="AB457" s="85"/>
      <c r="AC457" s="85"/>
      <c r="AD457" s="85"/>
      <c r="AG457" s="85"/>
      <c r="AH457" s="85"/>
      <c r="AI457" s="85"/>
    </row>
    <row r="458" spans="18:35" x14ac:dyDescent="0.3">
      <c r="R458" s="85"/>
      <c r="S458" s="85"/>
      <c r="T458" s="85"/>
      <c r="W458" s="85"/>
      <c r="X458" s="85"/>
      <c r="Y458" s="85"/>
      <c r="AB458" s="85"/>
      <c r="AC458" s="85"/>
      <c r="AD458" s="85"/>
      <c r="AG458" s="85"/>
      <c r="AH458" s="85"/>
      <c r="AI458" s="85"/>
    </row>
    <row r="459" spans="18:35" x14ac:dyDescent="0.3">
      <c r="AG459" s="85"/>
      <c r="AH459" s="85"/>
      <c r="AI459" s="85"/>
    </row>
  </sheetData>
  <sheetProtection algorithmName="SHA-512" hashValue="3V6IPD3TILxWZBYWYhlQIG0C1jVndyNCQLaerwFeP2RkaePQkvEGBPH+uzcrFs0IgqM2pBBmJPZVvjuZIQFNHQ==" saltValue="oXAkgWx/JLS6/bjvOoBpKQ==" spinCount="100000" sheet="1" selectLockedCells="1"/>
  <mergeCells count="3">
    <mergeCell ref="F73:H73"/>
    <mergeCell ref="O3:P3"/>
    <mergeCell ref="A1:Q1"/>
  </mergeCells>
  <phoneticPr fontId="5" type="noConversion"/>
  <conditionalFormatting sqref="E12">
    <cfRule type="cellIs" dxfId="24" priority="23" stopIfTrue="1" operator="notBetween">
      <formula>1000</formula>
      <formula>100</formula>
    </cfRule>
    <cfRule type="cellIs" dxfId="23" priority="24" stopIfTrue="1" operator="notBetween">
      <formula>$E$11*0.8</formula>
      <formula>$E$11*1.5</formula>
    </cfRule>
  </conditionalFormatting>
  <conditionalFormatting sqref="E11">
    <cfRule type="cellIs" dxfId="22" priority="26" stopIfTrue="1" operator="notBetween">
      <formula>1000</formula>
      <formula>100</formula>
    </cfRule>
    <cfRule type="cellIs" dxfId="21" priority="27" stopIfTrue="1" operator="notBetween">
      <formula>$E$12/1.5</formula>
      <formula>$E$12/0.8</formula>
    </cfRule>
  </conditionalFormatting>
  <conditionalFormatting sqref="E31">
    <cfRule type="cellIs" dxfId="20" priority="20" stopIfTrue="1" operator="lessThanOrEqual">
      <formula>0</formula>
    </cfRule>
  </conditionalFormatting>
  <conditionalFormatting sqref="E33">
    <cfRule type="cellIs" dxfId="19" priority="19" stopIfTrue="1" operator="lessThan">
      <formula>$E$32</formula>
    </cfRule>
  </conditionalFormatting>
  <conditionalFormatting sqref="E35">
    <cfRule type="cellIs" dxfId="18" priority="18" stopIfTrue="1" operator="greaterThan">
      <formula>$E$34</formula>
    </cfRule>
  </conditionalFormatting>
  <conditionalFormatting sqref="E40">
    <cfRule type="cellIs" dxfId="17" priority="16" stopIfTrue="1" operator="equal">
      <formula>0</formula>
    </cfRule>
  </conditionalFormatting>
  <conditionalFormatting sqref="E42">
    <cfRule type="cellIs" dxfId="16" priority="15" stopIfTrue="1" operator="lessThan">
      <formula>$E$41</formula>
    </cfRule>
  </conditionalFormatting>
  <conditionalFormatting sqref="E44">
    <cfRule type="cellIs" dxfId="15" priority="13" stopIfTrue="1" operator="greaterThan">
      <formula>$E$43</formula>
    </cfRule>
    <cfRule type="cellIs" dxfId="14" priority="14" stopIfTrue="1" operator="equal">
      <formula>0</formula>
    </cfRule>
  </conditionalFormatting>
  <conditionalFormatting sqref="E51">
    <cfRule type="cellIs" dxfId="13" priority="11" operator="notBetween">
      <formula>VIN_MIN_RATING</formula>
      <formula>VIN_MAX_RATING</formula>
    </cfRule>
  </conditionalFormatting>
  <conditionalFormatting sqref="E52">
    <cfRule type="cellIs" dxfId="12" priority="10" operator="notBetween">
      <formula>VIN_MIN_RATING</formula>
      <formula>VIN_MAX_RATING</formula>
    </cfRule>
  </conditionalFormatting>
  <conditionalFormatting sqref="E9">
    <cfRule type="cellIs" dxfId="11" priority="28" operator="greaterThan">
      <formula>$E$7</formula>
    </cfRule>
    <cfRule type="cellIs" dxfId="10" priority="29" stopIfTrue="1" operator="notBetween">
      <formula>0.8</formula>
      <formula>VOUT_MAX_RATING</formula>
    </cfRule>
  </conditionalFormatting>
  <conditionalFormatting sqref="E6:E8">
    <cfRule type="cellIs" dxfId="9" priority="7" operator="notBetween">
      <formula>VIN_MIN_RATING</formula>
      <formula>VIN_MAX_RATING</formula>
    </cfRule>
  </conditionalFormatting>
  <conditionalFormatting sqref="D24:F24">
    <cfRule type="expression" dxfId="8" priority="3">
      <formula>RDSON_sense=1</formula>
    </cfRule>
  </conditionalFormatting>
  <hyperlinks>
    <hyperlink ref="C3" r:id="rId1" xr:uid="{00000000-0004-0000-0000-000000000000}"/>
  </hyperlinks>
  <printOptions horizontalCentered="1" verticalCentered="1"/>
  <pageMargins left="0.1" right="0.17" top="0.25" bottom="0.25" header="0.25" footer="0.25"/>
  <pageSetup scale="47" orientation="portrait" r:id="rId2"/>
  <headerFooter alignWithMargins="0"/>
  <rowBreaks count="1" manualBreakCount="1">
    <brk id="111" max="16" man="1"/>
  </rowBreaks>
  <ignoredErrors>
    <ignoredError sqref="E72" unlockedFormula="1"/>
  </ignoredError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73565" r:id="rId6" name="Button 797">
              <controlPr locked="0" defaultSize="0" print="0" autoFill="0" autoPict="0" macro="[0]!FIX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83100" r:id="rId7" name="Drop Down 1116">
              <controlPr defaultSize="0" autoLine="0" autoPict="0">
                <anchor moveWithCells="1">
                  <from>
                    <xdr:col>16</xdr:col>
                    <xdr:colOff>1699260</xdr:colOff>
                    <xdr:row>0</xdr:row>
                    <xdr:rowOff>449580</xdr:rowOff>
                  </from>
                  <to>
                    <xdr:col>16</xdr:col>
                    <xdr:colOff>2080260</xdr:colOff>
                    <xdr:row>1</xdr:row>
                    <xdr:rowOff>30480</xdr:rowOff>
                  </to>
                </anchor>
              </controlPr>
            </control>
          </mc:Choice>
        </mc:AlternateContent>
        <mc:AlternateContent xmlns:mc="http://schemas.openxmlformats.org/markup-compatibility/2006">
          <mc:Choice Requires="x14">
            <control shapeId="673566" r:id="rId8" name="Button 798">
              <controlPr locked="0" defaultSize="0" print="0" autoFill="0" autoPict="0" macro="[0]!RESETValues">
                <anchor moveWithCells="1" sizeWithCells="1">
                  <from>
                    <xdr:col>2</xdr:col>
                    <xdr:colOff>388620</xdr:colOff>
                    <xdr:row>74</xdr:row>
                    <xdr:rowOff>7620</xdr:rowOff>
                  </from>
                  <to>
                    <xdr:col>3</xdr:col>
                    <xdr:colOff>7620</xdr:colOff>
                    <xdr:row>77</xdr:row>
                    <xdr:rowOff>22860</xdr:rowOff>
                  </to>
                </anchor>
              </controlPr>
            </control>
          </mc:Choice>
        </mc:AlternateContent>
        <mc:AlternateContent xmlns:mc="http://schemas.openxmlformats.org/markup-compatibility/2006">
          <mc:Choice Requires="x14">
            <control shapeId="672829" r:id="rId9" name="Spinner 61">
              <controlPr defaultSize="0" autoPict="0">
                <anchor moveWithCells="1" sizeWithCells="1">
                  <from>
                    <xdr:col>5</xdr:col>
                    <xdr:colOff>0</xdr:colOff>
                    <xdr:row>59</xdr:row>
                    <xdr:rowOff>160020</xdr:rowOff>
                  </from>
                  <to>
                    <xdr:col>5</xdr:col>
                    <xdr:colOff>182880</xdr:colOff>
                    <xdr:row>61</xdr:row>
                    <xdr:rowOff>7620</xdr:rowOff>
                  </to>
                </anchor>
              </controlPr>
            </control>
          </mc:Choice>
        </mc:AlternateContent>
        <mc:AlternateContent xmlns:mc="http://schemas.openxmlformats.org/markup-compatibility/2006">
          <mc:Choice Requires="x14">
            <control shapeId="672830" r:id="rId10" name="Spinner 62">
              <controlPr defaultSize="0" autoPict="0">
                <anchor moveWithCells="1" sizeWithCells="1">
                  <from>
                    <xdr:col>5</xdr:col>
                    <xdr:colOff>0</xdr:colOff>
                    <xdr:row>66</xdr:row>
                    <xdr:rowOff>0</xdr:rowOff>
                  </from>
                  <to>
                    <xdr:col>5</xdr:col>
                    <xdr:colOff>182880</xdr:colOff>
                    <xdr:row>67</xdr:row>
                    <xdr:rowOff>0</xdr:rowOff>
                  </to>
                </anchor>
              </controlPr>
            </control>
          </mc:Choice>
        </mc:AlternateContent>
        <mc:AlternateContent xmlns:mc="http://schemas.openxmlformats.org/markup-compatibility/2006">
          <mc:Choice Requires="x14">
            <control shapeId="672831" r:id="rId11" name="Spinner 63">
              <controlPr defaultSize="0" autoPict="0">
                <anchor moveWithCells="1" sizeWithCells="1">
                  <from>
                    <xdr:col>5</xdr:col>
                    <xdr:colOff>0</xdr:colOff>
                    <xdr:row>67</xdr:row>
                    <xdr:rowOff>0</xdr:rowOff>
                  </from>
                  <to>
                    <xdr:col>5</xdr:col>
                    <xdr:colOff>182880</xdr:colOff>
                    <xdr:row>67</xdr:row>
                    <xdr:rowOff>190500</xdr:rowOff>
                  </to>
                </anchor>
              </controlPr>
            </control>
          </mc:Choice>
        </mc:AlternateContent>
        <mc:AlternateContent xmlns:mc="http://schemas.openxmlformats.org/markup-compatibility/2006">
          <mc:Choice Requires="x14">
            <control shapeId="672832" r:id="rId12" name="Spinner 64">
              <controlPr defaultSize="0" autoPict="0">
                <anchor moveWithCells="1" sizeWithCells="1">
                  <from>
                    <xdr:col>5</xdr:col>
                    <xdr:colOff>0</xdr:colOff>
                    <xdr:row>68</xdr:row>
                    <xdr:rowOff>0</xdr:rowOff>
                  </from>
                  <to>
                    <xdr:col>5</xdr:col>
                    <xdr:colOff>182880</xdr:colOff>
                    <xdr:row>68</xdr:row>
                    <xdr:rowOff>190500</xdr:rowOff>
                  </to>
                </anchor>
              </controlPr>
            </control>
          </mc:Choice>
        </mc:AlternateContent>
        <mc:AlternateContent xmlns:mc="http://schemas.openxmlformats.org/markup-compatibility/2006">
          <mc:Choice Requires="x14">
            <control shapeId="672833" r:id="rId13" name="Spinner 65">
              <controlPr defaultSize="0" autoPict="0">
                <anchor moveWithCells="1" sizeWithCells="1">
                  <from>
                    <xdr:col>5</xdr:col>
                    <xdr:colOff>0</xdr:colOff>
                    <xdr:row>69</xdr:row>
                    <xdr:rowOff>0</xdr:rowOff>
                  </from>
                  <to>
                    <xdr:col>5</xdr:col>
                    <xdr:colOff>182880</xdr:colOff>
                    <xdr:row>69</xdr:row>
                    <xdr:rowOff>190500</xdr:rowOff>
                  </to>
                </anchor>
              </controlPr>
            </control>
          </mc:Choice>
        </mc:AlternateContent>
        <mc:AlternateContent xmlns:mc="http://schemas.openxmlformats.org/markup-compatibility/2006">
          <mc:Choice Requires="x14">
            <control shapeId="672871" r:id="rId14" name="Drop Down 103">
              <controlPr defaultSize="0" autoLine="0" autoPict="0">
                <anchor moveWithCells="1">
                  <from>
                    <xdr:col>0</xdr:col>
                    <xdr:colOff>7620</xdr:colOff>
                    <xdr:row>23</xdr:row>
                    <xdr:rowOff>0</xdr:rowOff>
                  </from>
                  <to>
                    <xdr:col>1</xdr:col>
                    <xdr:colOff>525780</xdr:colOff>
                    <xdr:row>24</xdr:row>
                    <xdr:rowOff>0</xdr:rowOff>
                  </to>
                </anchor>
              </controlPr>
            </control>
          </mc:Choice>
        </mc:AlternateContent>
        <mc:AlternateContent xmlns:mc="http://schemas.openxmlformats.org/markup-compatibility/2006">
          <mc:Choice Requires="x14">
            <control shapeId="683041" r:id="rId15" name="Drop Down 1057">
              <controlPr locked="0" defaultSize="0" autoLine="0" autoPict="0">
                <anchor moveWithCells="1">
                  <from>
                    <xdr:col>4</xdr:col>
                    <xdr:colOff>38100</xdr:colOff>
                    <xdr:row>3</xdr:row>
                    <xdr:rowOff>175260</xdr:rowOff>
                  </from>
                  <to>
                    <xdr:col>6</xdr:col>
                    <xdr:colOff>0</xdr:colOff>
                    <xdr:row>4</xdr:row>
                    <xdr:rowOff>236220</xdr:rowOff>
                  </to>
                </anchor>
              </controlPr>
            </control>
          </mc:Choice>
        </mc:AlternateContent>
        <mc:AlternateContent xmlns:mc="http://schemas.openxmlformats.org/markup-compatibility/2006">
          <mc:Choice Requires="x14">
            <control shapeId="683134" r:id="rId16" name="Drop Down 1150">
              <controlPr defaultSize="0" autoLine="0" autoPict="0">
                <anchor moveWithCells="1">
                  <from>
                    <xdr:col>0</xdr:col>
                    <xdr:colOff>22860</xdr:colOff>
                    <xdr:row>108</xdr:row>
                    <xdr:rowOff>0</xdr:rowOff>
                  </from>
                  <to>
                    <xdr:col>2</xdr:col>
                    <xdr:colOff>198120</xdr:colOff>
                    <xdr:row>109</xdr:row>
                    <xdr:rowOff>15240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7A020C5F-9345-43EA-822E-8A1B038AD51E}">
            <xm:f>'Variable Management'!$B$18&lt;140</xm:f>
            <x14:dxf>
              <font>
                <color rgb="FFFF0000"/>
              </font>
            </x14:dxf>
          </x14:cfRule>
          <xm:sqref>E6</xm:sqref>
        </x14:conditionalFormatting>
        <x14:conditionalFormatting xmlns:xm="http://schemas.microsoft.com/office/excel/2006/main">
          <x14:cfRule type="expression" priority="1" id="{A84700B2-9D6A-4FAA-BAEF-6285CF5F700C}">
            <xm:f>'Variable Management'!$B$17&lt;40</xm:f>
            <x14:dxf>
              <font>
                <color rgb="FFFF0000"/>
              </font>
            </x14:dxf>
          </x14:cfRule>
          <xm:sqref>E8</xm:sqref>
        </x14:conditionalFormatting>
        <x14:conditionalFormatting xmlns:xm="http://schemas.microsoft.com/office/excel/2006/main">
          <x14:cfRule type="expression" priority="30" id="{07A203AC-6DB1-4954-A98A-B7A4EB5F4CBB}">
            <xm:f>'Variable Management'!$M$56=1</xm:f>
            <x14:dxf>
              <font>
                <color theme="0"/>
              </font>
            </x14:dxf>
          </x14:cfRule>
          <xm:sqref>D28:F28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0000FF"/>
  </sheetPr>
  <dimension ref="A1:S455"/>
  <sheetViews>
    <sheetView topLeftCell="A5" zoomScaleNormal="100" workbookViewId="0">
      <selection activeCell="C63" sqref="C63"/>
    </sheetView>
  </sheetViews>
  <sheetFormatPr defaultRowHeight="13.2" x14ac:dyDescent="0.25"/>
  <cols>
    <col min="1" max="1" width="8.6640625" style="310" bestFit="1" customWidth="1"/>
    <col min="2" max="2" width="14.88671875" style="310" customWidth="1"/>
    <col min="3" max="3" width="16.109375" style="310" bestFit="1" customWidth="1"/>
    <col min="4" max="4" width="20.109375" style="310" customWidth="1"/>
    <col min="5" max="5" width="17.33203125" style="310" customWidth="1"/>
    <col min="6" max="6" width="20.5546875" style="310" bestFit="1" customWidth="1"/>
    <col min="7" max="7" width="9.6640625" style="310" customWidth="1"/>
    <col min="8" max="8" width="16.109375" style="310" customWidth="1"/>
    <col min="9" max="9" width="18.6640625" style="310" customWidth="1"/>
    <col min="10" max="10" width="12.6640625" style="310" customWidth="1"/>
    <col min="11" max="11" width="17.109375" style="310" customWidth="1"/>
    <col min="12" max="12" width="13.88671875" style="310" customWidth="1"/>
    <col min="13" max="13" width="9.109375" style="311"/>
    <col min="14" max="16" width="9.109375" style="310"/>
    <col min="17" max="17" width="4.88671875" style="310" customWidth="1"/>
    <col min="18" max="256" width="9.109375" style="310"/>
    <col min="257" max="257" width="8.6640625" style="310" bestFit="1" customWidth="1"/>
    <col min="258" max="258" width="13.33203125" style="310" customWidth="1"/>
    <col min="259" max="259" width="16.109375" style="310" bestFit="1" customWidth="1"/>
    <col min="260" max="260" width="23.5546875" style="310" customWidth="1"/>
    <col min="261" max="261" width="17.33203125" style="310" customWidth="1"/>
    <col min="262" max="262" width="20.5546875" style="310" bestFit="1" customWidth="1"/>
    <col min="263" max="263" width="17.109375" style="310" customWidth="1"/>
    <col min="264" max="264" width="21.88671875" style="310" bestFit="1" customWidth="1"/>
    <col min="265" max="265" width="17.109375" style="310" bestFit="1" customWidth="1"/>
    <col min="266" max="266" width="18.109375" style="310" bestFit="1" customWidth="1"/>
    <col min="267" max="267" width="26.44140625" style="310" customWidth="1"/>
    <col min="268" max="512" width="9.109375" style="310"/>
    <col min="513" max="513" width="8.6640625" style="310" bestFit="1" customWidth="1"/>
    <col min="514" max="514" width="13.33203125" style="310" customWidth="1"/>
    <col min="515" max="515" width="16.109375" style="310" bestFit="1" customWidth="1"/>
    <col min="516" max="516" width="23.5546875" style="310" customWidth="1"/>
    <col min="517" max="517" width="17.33203125" style="310" customWidth="1"/>
    <col min="518" max="518" width="20.5546875" style="310" bestFit="1" customWidth="1"/>
    <col min="519" max="519" width="17.109375" style="310" customWidth="1"/>
    <col min="520" max="520" width="21.88671875" style="310" bestFit="1" customWidth="1"/>
    <col min="521" max="521" width="17.109375" style="310" bestFit="1" customWidth="1"/>
    <col min="522" max="522" width="18.109375" style="310" bestFit="1" customWidth="1"/>
    <col min="523" max="523" width="26.44140625" style="310" customWidth="1"/>
    <col min="524" max="768" width="9.109375" style="310"/>
    <col min="769" max="769" width="8.6640625" style="310" bestFit="1" customWidth="1"/>
    <col min="770" max="770" width="13.33203125" style="310" customWidth="1"/>
    <col min="771" max="771" width="16.109375" style="310" bestFit="1" customWidth="1"/>
    <col min="772" max="772" width="23.5546875" style="310" customWidth="1"/>
    <col min="773" max="773" width="17.33203125" style="310" customWidth="1"/>
    <col min="774" max="774" width="20.5546875" style="310" bestFit="1" customWidth="1"/>
    <col min="775" max="775" width="17.109375" style="310" customWidth="1"/>
    <col min="776" max="776" width="21.88671875" style="310" bestFit="1" customWidth="1"/>
    <col min="777" max="777" width="17.109375" style="310" bestFit="1" customWidth="1"/>
    <col min="778" max="778" width="18.109375" style="310" bestFit="1" customWidth="1"/>
    <col min="779" max="779" width="26.44140625" style="310" customWidth="1"/>
    <col min="780" max="1024" width="9.109375" style="310"/>
    <col min="1025" max="1025" width="8.6640625" style="310" bestFit="1" customWidth="1"/>
    <col min="1026" max="1026" width="13.33203125" style="310" customWidth="1"/>
    <col min="1027" max="1027" width="16.109375" style="310" bestFit="1" customWidth="1"/>
    <col min="1028" max="1028" width="23.5546875" style="310" customWidth="1"/>
    <col min="1029" max="1029" width="17.33203125" style="310" customWidth="1"/>
    <col min="1030" max="1030" width="20.5546875" style="310" bestFit="1" customWidth="1"/>
    <col min="1031" max="1031" width="17.109375" style="310" customWidth="1"/>
    <col min="1032" max="1032" width="21.88671875" style="310" bestFit="1" customWidth="1"/>
    <col min="1033" max="1033" width="17.109375" style="310" bestFit="1" customWidth="1"/>
    <col min="1034" max="1034" width="18.109375" style="310" bestFit="1" customWidth="1"/>
    <col min="1035" max="1035" width="26.44140625" style="310" customWidth="1"/>
    <col min="1036" max="1280" width="9.109375" style="310"/>
    <col min="1281" max="1281" width="8.6640625" style="310" bestFit="1" customWidth="1"/>
    <col min="1282" max="1282" width="13.33203125" style="310" customWidth="1"/>
    <col min="1283" max="1283" width="16.109375" style="310" bestFit="1" customWidth="1"/>
    <col min="1284" max="1284" width="23.5546875" style="310" customWidth="1"/>
    <col min="1285" max="1285" width="17.33203125" style="310" customWidth="1"/>
    <col min="1286" max="1286" width="20.5546875" style="310" bestFit="1" customWidth="1"/>
    <col min="1287" max="1287" width="17.109375" style="310" customWidth="1"/>
    <col min="1288" max="1288" width="21.88671875" style="310" bestFit="1" customWidth="1"/>
    <col min="1289" max="1289" width="17.109375" style="310" bestFit="1" customWidth="1"/>
    <col min="1290" max="1290" width="18.109375" style="310" bestFit="1" customWidth="1"/>
    <col min="1291" max="1291" width="26.44140625" style="310" customWidth="1"/>
    <col min="1292" max="1536" width="9.109375" style="310"/>
    <col min="1537" max="1537" width="8.6640625" style="310" bestFit="1" customWidth="1"/>
    <col min="1538" max="1538" width="13.33203125" style="310" customWidth="1"/>
    <col min="1539" max="1539" width="16.109375" style="310" bestFit="1" customWidth="1"/>
    <col min="1540" max="1540" width="23.5546875" style="310" customWidth="1"/>
    <col min="1541" max="1541" width="17.33203125" style="310" customWidth="1"/>
    <col min="1542" max="1542" width="20.5546875" style="310" bestFit="1" customWidth="1"/>
    <col min="1543" max="1543" width="17.109375" style="310" customWidth="1"/>
    <col min="1544" max="1544" width="21.88671875" style="310" bestFit="1" customWidth="1"/>
    <col min="1545" max="1545" width="17.109375" style="310" bestFit="1" customWidth="1"/>
    <col min="1546" max="1546" width="18.109375" style="310" bestFit="1" customWidth="1"/>
    <col min="1547" max="1547" width="26.44140625" style="310" customWidth="1"/>
    <col min="1548" max="1792" width="9.109375" style="310"/>
    <col min="1793" max="1793" width="8.6640625" style="310" bestFit="1" customWidth="1"/>
    <col min="1794" max="1794" width="13.33203125" style="310" customWidth="1"/>
    <col min="1795" max="1795" width="16.109375" style="310" bestFit="1" customWidth="1"/>
    <col min="1796" max="1796" width="23.5546875" style="310" customWidth="1"/>
    <col min="1797" max="1797" width="17.33203125" style="310" customWidth="1"/>
    <col min="1798" max="1798" width="20.5546875" style="310" bestFit="1" customWidth="1"/>
    <col min="1799" max="1799" width="17.109375" style="310" customWidth="1"/>
    <col min="1800" max="1800" width="21.88671875" style="310" bestFit="1" customWidth="1"/>
    <col min="1801" max="1801" width="17.109375" style="310" bestFit="1" customWidth="1"/>
    <col min="1802" max="1802" width="18.109375" style="310" bestFit="1" customWidth="1"/>
    <col min="1803" max="1803" width="26.44140625" style="310" customWidth="1"/>
    <col min="1804" max="2048" width="9.109375" style="310"/>
    <col min="2049" max="2049" width="8.6640625" style="310" bestFit="1" customWidth="1"/>
    <col min="2050" max="2050" width="13.33203125" style="310" customWidth="1"/>
    <col min="2051" max="2051" width="16.109375" style="310" bestFit="1" customWidth="1"/>
    <col min="2052" max="2052" width="23.5546875" style="310" customWidth="1"/>
    <col min="2053" max="2053" width="17.33203125" style="310" customWidth="1"/>
    <col min="2054" max="2054" width="20.5546875" style="310" bestFit="1" customWidth="1"/>
    <col min="2055" max="2055" width="17.109375" style="310" customWidth="1"/>
    <col min="2056" max="2056" width="21.88671875" style="310" bestFit="1" customWidth="1"/>
    <col min="2057" max="2057" width="17.109375" style="310" bestFit="1" customWidth="1"/>
    <col min="2058" max="2058" width="18.109375" style="310" bestFit="1" customWidth="1"/>
    <col min="2059" max="2059" width="26.44140625" style="310" customWidth="1"/>
    <col min="2060" max="2304" width="9.109375" style="310"/>
    <col min="2305" max="2305" width="8.6640625" style="310" bestFit="1" customWidth="1"/>
    <col min="2306" max="2306" width="13.33203125" style="310" customWidth="1"/>
    <col min="2307" max="2307" width="16.109375" style="310" bestFit="1" customWidth="1"/>
    <col min="2308" max="2308" width="23.5546875" style="310" customWidth="1"/>
    <col min="2309" max="2309" width="17.33203125" style="310" customWidth="1"/>
    <col min="2310" max="2310" width="20.5546875" style="310" bestFit="1" customWidth="1"/>
    <col min="2311" max="2311" width="17.109375" style="310" customWidth="1"/>
    <col min="2312" max="2312" width="21.88671875" style="310" bestFit="1" customWidth="1"/>
    <col min="2313" max="2313" width="17.109375" style="310" bestFit="1" customWidth="1"/>
    <col min="2314" max="2314" width="18.109375" style="310" bestFit="1" customWidth="1"/>
    <col min="2315" max="2315" width="26.44140625" style="310" customWidth="1"/>
    <col min="2316" max="2560" width="9.109375" style="310"/>
    <col min="2561" max="2561" width="8.6640625" style="310" bestFit="1" customWidth="1"/>
    <col min="2562" max="2562" width="13.33203125" style="310" customWidth="1"/>
    <col min="2563" max="2563" width="16.109375" style="310" bestFit="1" customWidth="1"/>
    <col min="2564" max="2564" width="23.5546875" style="310" customWidth="1"/>
    <col min="2565" max="2565" width="17.33203125" style="310" customWidth="1"/>
    <col min="2566" max="2566" width="20.5546875" style="310" bestFit="1" customWidth="1"/>
    <col min="2567" max="2567" width="17.109375" style="310" customWidth="1"/>
    <col min="2568" max="2568" width="21.88671875" style="310" bestFit="1" customWidth="1"/>
    <col min="2569" max="2569" width="17.109375" style="310" bestFit="1" customWidth="1"/>
    <col min="2570" max="2570" width="18.109375" style="310" bestFit="1" customWidth="1"/>
    <col min="2571" max="2571" width="26.44140625" style="310" customWidth="1"/>
    <col min="2572" max="2816" width="9.109375" style="310"/>
    <col min="2817" max="2817" width="8.6640625" style="310" bestFit="1" customWidth="1"/>
    <col min="2818" max="2818" width="13.33203125" style="310" customWidth="1"/>
    <col min="2819" max="2819" width="16.109375" style="310" bestFit="1" customWidth="1"/>
    <col min="2820" max="2820" width="23.5546875" style="310" customWidth="1"/>
    <col min="2821" max="2821" width="17.33203125" style="310" customWidth="1"/>
    <col min="2822" max="2822" width="20.5546875" style="310" bestFit="1" customWidth="1"/>
    <col min="2823" max="2823" width="17.109375" style="310" customWidth="1"/>
    <col min="2824" max="2824" width="21.88671875" style="310" bestFit="1" customWidth="1"/>
    <col min="2825" max="2825" width="17.109375" style="310" bestFit="1" customWidth="1"/>
    <col min="2826" max="2826" width="18.109375" style="310" bestFit="1" customWidth="1"/>
    <col min="2827" max="2827" width="26.44140625" style="310" customWidth="1"/>
    <col min="2828" max="3072" width="9.109375" style="310"/>
    <col min="3073" max="3073" width="8.6640625" style="310" bestFit="1" customWidth="1"/>
    <col min="3074" max="3074" width="13.33203125" style="310" customWidth="1"/>
    <col min="3075" max="3075" width="16.109375" style="310" bestFit="1" customWidth="1"/>
    <col min="3076" max="3076" width="23.5546875" style="310" customWidth="1"/>
    <col min="3077" max="3077" width="17.33203125" style="310" customWidth="1"/>
    <col min="3078" max="3078" width="20.5546875" style="310" bestFit="1" customWidth="1"/>
    <col min="3079" max="3079" width="17.109375" style="310" customWidth="1"/>
    <col min="3080" max="3080" width="21.88671875" style="310" bestFit="1" customWidth="1"/>
    <col min="3081" max="3081" width="17.109375" style="310" bestFit="1" customWidth="1"/>
    <col min="3082" max="3082" width="18.109375" style="310" bestFit="1" customWidth="1"/>
    <col min="3083" max="3083" width="26.44140625" style="310" customWidth="1"/>
    <col min="3084" max="3328" width="9.109375" style="310"/>
    <col min="3329" max="3329" width="8.6640625" style="310" bestFit="1" customWidth="1"/>
    <col min="3330" max="3330" width="13.33203125" style="310" customWidth="1"/>
    <col min="3331" max="3331" width="16.109375" style="310" bestFit="1" customWidth="1"/>
    <col min="3332" max="3332" width="23.5546875" style="310" customWidth="1"/>
    <col min="3333" max="3333" width="17.33203125" style="310" customWidth="1"/>
    <col min="3334" max="3334" width="20.5546875" style="310" bestFit="1" customWidth="1"/>
    <col min="3335" max="3335" width="17.109375" style="310" customWidth="1"/>
    <col min="3336" max="3336" width="21.88671875" style="310" bestFit="1" customWidth="1"/>
    <col min="3337" max="3337" width="17.109375" style="310" bestFit="1" customWidth="1"/>
    <col min="3338" max="3338" width="18.109375" style="310" bestFit="1" customWidth="1"/>
    <col min="3339" max="3339" width="26.44140625" style="310" customWidth="1"/>
    <col min="3340" max="3584" width="9.109375" style="310"/>
    <col min="3585" max="3585" width="8.6640625" style="310" bestFit="1" customWidth="1"/>
    <col min="3586" max="3586" width="13.33203125" style="310" customWidth="1"/>
    <col min="3587" max="3587" width="16.109375" style="310" bestFit="1" customWidth="1"/>
    <col min="3588" max="3588" width="23.5546875" style="310" customWidth="1"/>
    <col min="3589" max="3589" width="17.33203125" style="310" customWidth="1"/>
    <col min="3590" max="3590" width="20.5546875" style="310" bestFit="1" customWidth="1"/>
    <col min="3591" max="3591" width="17.109375" style="310" customWidth="1"/>
    <col min="3592" max="3592" width="21.88671875" style="310" bestFit="1" customWidth="1"/>
    <col min="3593" max="3593" width="17.109375" style="310" bestFit="1" customWidth="1"/>
    <col min="3594" max="3594" width="18.109375" style="310" bestFit="1" customWidth="1"/>
    <col min="3595" max="3595" width="26.44140625" style="310" customWidth="1"/>
    <col min="3596" max="3840" width="9.109375" style="310"/>
    <col min="3841" max="3841" width="8.6640625" style="310" bestFit="1" customWidth="1"/>
    <col min="3842" max="3842" width="13.33203125" style="310" customWidth="1"/>
    <col min="3843" max="3843" width="16.109375" style="310" bestFit="1" customWidth="1"/>
    <col min="3844" max="3844" width="23.5546875" style="310" customWidth="1"/>
    <col min="3845" max="3845" width="17.33203125" style="310" customWidth="1"/>
    <col min="3846" max="3846" width="20.5546875" style="310" bestFit="1" customWidth="1"/>
    <col min="3847" max="3847" width="17.109375" style="310" customWidth="1"/>
    <col min="3848" max="3848" width="21.88671875" style="310" bestFit="1" customWidth="1"/>
    <col min="3849" max="3849" width="17.109375" style="310" bestFit="1" customWidth="1"/>
    <col min="3850" max="3850" width="18.109375" style="310" bestFit="1" customWidth="1"/>
    <col min="3851" max="3851" width="26.44140625" style="310" customWidth="1"/>
    <col min="3852" max="4096" width="9.109375" style="310"/>
    <col min="4097" max="4097" width="8.6640625" style="310" bestFit="1" customWidth="1"/>
    <col min="4098" max="4098" width="13.33203125" style="310" customWidth="1"/>
    <col min="4099" max="4099" width="16.109375" style="310" bestFit="1" customWidth="1"/>
    <col min="4100" max="4100" width="23.5546875" style="310" customWidth="1"/>
    <col min="4101" max="4101" width="17.33203125" style="310" customWidth="1"/>
    <col min="4102" max="4102" width="20.5546875" style="310" bestFit="1" customWidth="1"/>
    <col min="4103" max="4103" width="17.109375" style="310" customWidth="1"/>
    <col min="4104" max="4104" width="21.88671875" style="310" bestFit="1" customWidth="1"/>
    <col min="4105" max="4105" width="17.109375" style="310" bestFit="1" customWidth="1"/>
    <col min="4106" max="4106" width="18.109375" style="310" bestFit="1" customWidth="1"/>
    <col min="4107" max="4107" width="26.44140625" style="310" customWidth="1"/>
    <col min="4108" max="4352" width="9.109375" style="310"/>
    <col min="4353" max="4353" width="8.6640625" style="310" bestFit="1" customWidth="1"/>
    <col min="4354" max="4354" width="13.33203125" style="310" customWidth="1"/>
    <col min="4355" max="4355" width="16.109375" style="310" bestFit="1" customWidth="1"/>
    <col min="4356" max="4356" width="23.5546875" style="310" customWidth="1"/>
    <col min="4357" max="4357" width="17.33203125" style="310" customWidth="1"/>
    <col min="4358" max="4358" width="20.5546875" style="310" bestFit="1" customWidth="1"/>
    <col min="4359" max="4359" width="17.109375" style="310" customWidth="1"/>
    <col min="4360" max="4360" width="21.88671875" style="310" bestFit="1" customWidth="1"/>
    <col min="4361" max="4361" width="17.109375" style="310" bestFit="1" customWidth="1"/>
    <col min="4362" max="4362" width="18.109375" style="310" bestFit="1" customWidth="1"/>
    <col min="4363" max="4363" width="26.44140625" style="310" customWidth="1"/>
    <col min="4364" max="4608" width="9.109375" style="310"/>
    <col min="4609" max="4609" width="8.6640625" style="310" bestFit="1" customWidth="1"/>
    <col min="4610" max="4610" width="13.33203125" style="310" customWidth="1"/>
    <col min="4611" max="4611" width="16.109375" style="310" bestFit="1" customWidth="1"/>
    <col min="4612" max="4612" width="23.5546875" style="310" customWidth="1"/>
    <col min="4613" max="4613" width="17.33203125" style="310" customWidth="1"/>
    <col min="4614" max="4614" width="20.5546875" style="310" bestFit="1" customWidth="1"/>
    <col min="4615" max="4615" width="17.109375" style="310" customWidth="1"/>
    <col min="4616" max="4616" width="21.88671875" style="310" bestFit="1" customWidth="1"/>
    <col min="4617" max="4617" width="17.109375" style="310" bestFit="1" customWidth="1"/>
    <col min="4618" max="4618" width="18.109375" style="310" bestFit="1" customWidth="1"/>
    <col min="4619" max="4619" width="26.44140625" style="310" customWidth="1"/>
    <col min="4620" max="4864" width="9.109375" style="310"/>
    <col min="4865" max="4865" width="8.6640625" style="310" bestFit="1" customWidth="1"/>
    <col min="4866" max="4866" width="13.33203125" style="310" customWidth="1"/>
    <col min="4867" max="4867" width="16.109375" style="310" bestFit="1" customWidth="1"/>
    <col min="4868" max="4868" width="23.5546875" style="310" customWidth="1"/>
    <col min="4869" max="4869" width="17.33203125" style="310" customWidth="1"/>
    <col min="4870" max="4870" width="20.5546875" style="310" bestFit="1" customWidth="1"/>
    <col min="4871" max="4871" width="17.109375" style="310" customWidth="1"/>
    <col min="4872" max="4872" width="21.88671875" style="310" bestFit="1" customWidth="1"/>
    <col min="4873" max="4873" width="17.109375" style="310" bestFit="1" customWidth="1"/>
    <col min="4874" max="4874" width="18.109375" style="310" bestFit="1" customWidth="1"/>
    <col min="4875" max="4875" width="26.44140625" style="310" customWidth="1"/>
    <col min="4876" max="5120" width="9.109375" style="310"/>
    <col min="5121" max="5121" width="8.6640625" style="310" bestFit="1" customWidth="1"/>
    <col min="5122" max="5122" width="13.33203125" style="310" customWidth="1"/>
    <col min="5123" max="5123" width="16.109375" style="310" bestFit="1" customWidth="1"/>
    <col min="5124" max="5124" width="23.5546875" style="310" customWidth="1"/>
    <col min="5125" max="5125" width="17.33203125" style="310" customWidth="1"/>
    <col min="5126" max="5126" width="20.5546875" style="310" bestFit="1" customWidth="1"/>
    <col min="5127" max="5127" width="17.109375" style="310" customWidth="1"/>
    <col min="5128" max="5128" width="21.88671875" style="310" bestFit="1" customWidth="1"/>
    <col min="5129" max="5129" width="17.109375" style="310" bestFit="1" customWidth="1"/>
    <col min="5130" max="5130" width="18.109375" style="310" bestFit="1" customWidth="1"/>
    <col min="5131" max="5131" width="26.44140625" style="310" customWidth="1"/>
    <col min="5132" max="5376" width="9.109375" style="310"/>
    <col min="5377" max="5377" width="8.6640625" style="310" bestFit="1" customWidth="1"/>
    <col min="5378" max="5378" width="13.33203125" style="310" customWidth="1"/>
    <col min="5379" max="5379" width="16.109375" style="310" bestFit="1" customWidth="1"/>
    <col min="5380" max="5380" width="23.5546875" style="310" customWidth="1"/>
    <col min="5381" max="5381" width="17.33203125" style="310" customWidth="1"/>
    <col min="5382" max="5382" width="20.5546875" style="310" bestFit="1" customWidth="1"/>
    <col min="5383" max="5383" width="17.109375" style="310" customWidth="1"/>
    <col min="5384" max="5384" width="21.88671875" style="310" bestFit="1" customWidth="1"/>
    <col min="5385" max="5385" width="17.109375" style="310" bestFit="1" customWidth="1"/>
    <col min="5386" max="5386" width="18.109375" style="310" bestFit="1" customWidth="1"/>
    <col min="5387" max="5387" width="26.44140625" style="310" customWidth="1"/>
    <col min="5388" max="5632" width="9.109375" style="310"/>
    <col min="5633" max="5633" width="8.6640625" style="310" bestFit="1" customWidth="1"/>
    <col min="5634" max="5634" width="13.33203125" style="310" customWidth="1"/>
    <col min="5635" max="5635" width="16.109375" style="310" bestFit="1" customWidth="1"/>
    <col min="5636" max="5636" width="23.5546875" style="310" customWidth="1"/>
    <col min="5637" max="5637" width="17.33203125" style="310" customWidth="1"/>
    <col min="5638" max="5638" width="20.5546875" style="310" bestFit="1" customWidth="1"/>
    <col min="5639" max="5639" width="17.109375" style="310" customWidth="1"/>
    <col min="5640" max="5640" width="21.88671875" style="310" bestFit="1" customWidth="1"/>
    <col min="5641" max="5641" width="17.109375" style="310" bestFit="1" customWidth="1"/>
    <col min="5642" max="5642" width="18.109375" style="310" bestFit="1" customWidth="1"/>
    <col min="5643" max="5643" width="26.44140625" style="310" customWidth="1"/>
    <col min="5644" max="5888" width="9.109375" style="310"/>
    <col min="5889" max="5889" width="8.6640625" style="310" bestFit="1" customWidth="1"/>
    <col min="5890" max="5890" width="13.33203125" style="310" customWidth="1"/>
    <col min="5891" max="5891" width="16.109375" style="310" bestFit="1" customWidth="1"/>
    <col min="5892" max="5892" width="23.5546875" style="310" customWidth="1"/>
    <col min="5893" max="5893" width="17.33203125" style="310" customWidth="1"/>
    <col min="5894" max="5894" width="20.5546875" style="310" bestFit="1" customWidth="1"/>
    <col min="5895" max="5895" width="17.109375" style="310" customWidth="1"/>
    <col min="5896" max="5896" width="21.88671875" style="310" bestFit="1" customWidth="1"/>
    <col min="5897" max="5897" width="17.109375" style="310" bestFit="1" customWidth="1"/>
    <col min="5898" max="5898" width="18.109375" style="310" bestFit="1" customWidth="1"/>
    <col min="5899" max="5899" width="26.44140625" style="310" customWidth="1"/>
    <col min="5900" max="6144" width="9.109375" style="310"/>
    <col min="6145" max="6145" width="8.6640625" style="310" bestFit="1" customWidth="1"/>
    <col min="6146" max="6146" width="13.33203125" style="310" customWidth="1"/>
    <col min="6147" max="6147" width="16.109375" style="310" bestFit="1" customWidth="1"/>
    <col min="6148" max="6148" width="23.5546875" style="310" customWidth="1"/>
    <col min="6149" max="6149" width="17.33203125" style="310" customWidth="1"/>
    <col min="6150" max="6150" width="20.5546875" style="310" bestFit="1" customWidth="1"/>
    <col min="6151" max="6151" width="17.109375" style="310" customWidth="1"/>
    <col min="6152" max="6152" width="21.88671875" style="310" bestFit="1" customWidth="1"/>
    <col min="6153" max="6153" width="17.109375" style="310" bestFit="1" customWidth="1"/>
    <col min="6154" max="6154" width="18.109375" style="310" bestFit="1" customWidth="1"/>
    <col min="6155" max="6155" width="26.44140625" style="310" customWidth="1"/>
    <col min="6156" max="6400" width="9.109375" style="310"/>
    <col min="6401" max="6401" width="8.6640625" style="310" bestFit="1" customWidth="1"/>
    <col min="6402" max="6402" width="13.33203125" style="310" customWidth="1"/>
    <col min="6403" max="6403" width="16.109375" style="310" bestFit="1" customWidth="1"/>
    <col min="6404" max="6404" width="23.5546875" style="310" customWidth="1"/>
    <col min="6405" max="6405" width="17.33203125" style="310" customWidth="1"/>
    <col min="6406" max="6406" width="20.5546875" style="310" bestFit="1" customWidth="1"/>
    <col min="6407" max="6407" width="17.109375" style="310" customWidth="1"/>
    <col min="6408" max="6408" width="21.88671875" style="310" bestFit="1" customWidth="1"/>
    <col min="6409" max="6409" width="17.109375" style="310" bestFit="1" customWidth="1"/>
    <col min="6410" max="6410" width="18.109375" style="310" bestFit="1" customWidth="1"/>
    <col min="6411" max="6411" width="26.44140625" style="310" customWidth="1"/>
    <col min="6412" max="6656" width="9.109375" style="310"/>
    <col min="6657" max="6657" width="8.6640625" style="310" bestFit="1" customWidth="1"/>
    <col min="6658" max="6658" width="13.33203125" style="310" customWidth="1"/>
    <col min="6659" max="6659" width="16.109375" style="310" bestFit="1" customWidth="1"/>
    <col min="6660" max="6660" width="23.5546875" style="310" customWidth="1"/>
    <col min="6661" max="6661" width="17.33203125" style="310" customWidth="1"/>
    <col min="6662" max="6662" width="20.5546875" style="310" bestFit="1" customWidth="1"/>
    <col min="6663" max="6663" width="17.109375" style="310" customWidth="1"/>
    <col min="6664" max="6664" width="21.88671875" style="310" bestFit="1" customWidth="1"/>
    <col min="6665" max="6665" width="17.109375" style="310" bestFit="1" customWidth="1"/>
    <col min="6666" max="6666" width="18.109375" style="310" bestFit="1" customWidth="1"/>
    <col min="6667" max="6667" width="26.44140625" style="310" customWidth="1"/>
    <col min="6668" max="6912" width="9.109375" style="310"/>
    <col min="6913" max="6913" width="8.6640625" style="310" bestFit="1" customWidth="1"/>
    <col min="6914" max="6914" width="13.33203125" style="310" customWidth="1"/>
    <col min="6915" max="6915" width="16.109375" style="310" bestFit="1" customWidth="1"/>
    <col min="6916" max="6916" width="23.5546875" style="310" customWidth="1"/>
    <col min="6917" max="6917" width="17.33203125" style="310" customWidth="1"/>
    <col min="6918" max="6918" width="20.5546875" style="310" bestFit="1" customWidth="1"/>
    <col min="6919" max="6919" width="17.109375" style="310" customWidth="1"/>
    <col min="6920" max="6920" width="21.88671875" style="310" bestFit="1" customWidth="1"/>
    <col min="6921" max="6921" width="17.109375" style="310" bestFit="1" customWidth="1"/>
    <col min="6922" max="6922" width="18.109375" style="310" bestFit="1" customWidth="1"/>
    <col min="6923" max="6923" width="26.44140625" style="310" customWidth="1"/>
    <col min="6924" max="7168" width="9.109375" style="310"/>
    <col min="7169" max="7169" width="8.6640625" style="310" bestFit="1" customWidth="1"/>
    <col min="7170" max="7170" width="13.33203125" style="310" customWidth="1"/>
    <col min="7171" max="7171" width="16.109375" style="310" bestFit="1" customWidth="1"/>
    <col min="7172" max="7172" width="23.5546875" style="310" customWidth="1"/>
    <col min="7173" max="7173" width="17.33203125" style="310" customWidth="1"/>
    <col min="7174" max="7174" width="20.5546875" style="310" bestFit="1" customWidth="1"/>
    <col min="7175" max="7175" width="17.109375" style="310" customWidth="1"/>
    <col min="7176" max="7176" width="21.88671875" style="310" bestFit="1" customWidth="1"/>
    <col min="7177" max="7177" width="17.109375" style="310" bestFit="1" customWidth="1"/>
    <col min="7178" max="7178" width="18.109375" style="310" bestFit="1" customWidth="1"/>
    <col min="7179" max="7179" width="26.44140625" style="310" customWidth="1"/>
    <col min="7180" max="7424" width="9.109375" style="310"/>
    <col min="7425" max="7425" width="8.6640625" style="310" bestFit="1" customWidth="1"/>
    <col min="7426" max="7426" width="13.33203125" style="310" customWidth="1"/>
    <col min="7427" max="7427" width="16.109375" style="310" bestFit="1" customWidth="1"/>
    <col min="7428" max="7428" width="23.5546875" style="310" customWidth="1"/>
    <col min="7429" max="7429" width="17.33203125" style="310" customWidth="1"/>
    <col min="7430" max="7430" width="20.5546875" style="310" bestFit="1" customWidth="1"/>
    <col min="7431" max="7431" width="17.109375" style="310" customWidth="1"/>
    <col min="7432" max="7432" width="21.88671875" style="310" bestFit="1" customWidth="1"/>
    <col min="7433" max="7433" width="17.109375" style="310" bestFit="1" customWidth="1"/>
    <col min="7434" max="7434" width="18.109375" style="310" bestFit="1" customWidth="1"/>
    <col min="7435" max="7435" width="26.44140625" style="310" customWidth="1"/>
    <col min="7436" max="7680" width="9.109375" style="310"/>
    <col min="7681" max="7681" width="8.6640625" style="310" bestFit="1" customWidth="1"/>
    <col min="7682" max="7682" width="13.33203125" style="310" customWidth="1"/>
    <col min="7683" max="7683" width="16.109375" style="310" bestFit="1" customWidth="1"/>
    <col min="7684" max="7684" width="23.5546875" style="310" customWidth="1"/>
    <col min="7685" max="7685" width="17.33203125" style="310" customWidth="1"/>
    <col min="7686" max="7686" width="20.5546875" style="310" bestFit="1" customWidth="1"/>
    <col min="7687" max="7687" width="17.109375" style="310" customWidth="1"/>
    <col min="7688" max="7688" width="21.88671875" style="310" bestFit="1" customWidth="1"/>
    <col min="7689" max="7689" width="17.109375" style="310" bestFit="1" customWidth="1"/>
    <col min="7690" max="7690" width="18.109375" style="310" bestFit="1" customWidth="1"/>
    <col min="7691" max="7691" width="26.44140625" style="310" customWidth="1"/>
    <col min="7692" max="7936" width="9.109375" style="310"/>
    <col min="7937" max="7937" width="8.6640625" style="310" bestFit="1" customWidth="1"/>
    <col min="7938" max="7938" width="13.33203125" style="310" customWidth="1"/>
    <col min="7939" max="7939" width="16.109375" style="310" bestFit="1" customWidth="1"/>
    <col min="7940" max="7940" width="23.5546875" style="310" customWidth="1"/>
    <col min="7941" max="7941" width="17.33203125" style="310" customWidth="1"/>
    <col min="7942" max="7942" width="20.5546875" style="310" bestFit="1" customWidth="1"/>
    <col min="7943" max="7943" width="17.109375" style="310" customWidth="1"/>
    <col min="7944" max="7944" width="21.88671875" style="310" bestFit="1" customWidth="1"/>
    <col min="7945" max="7945" width="17.109375" style="310" bestFit="1" customWidth="1"/>
    <col min="7946" max="7946" width="18.109375" style="310" bestFit="1" customWidth="1"/>
    <col min="7947" max="7947" width="26.44140625" style="310" customWidth="1"/>
    <col min="7948" max="8192" width="9.109375" style="310"/>
    <col min="8193" max="8193" width="8.6640625" style="310" bestFit="1" customWidth="1"/>
    <col min="8194" max="8194" width="13.33203125" style="310" customWidth="1"/>
    <col min="8195" max="8195" width="16.109375" style="310" bestFit="1" customWidth="1"/>
    <col min="8196" max="8196" width="23.5546875" style="310" customWidth="1"/>
    <col min="8197" max="8197" width="17.33203125" style="310" customWidth="1"/>
    <col min="8198" max="8198" width="20.5546875" style="310" bestFit="1" customWidth="1"/>
    <col min="8199" max="8199" width="17.109375" style="310" customWidth="1"/>
    <col min="8200" max="8200" width="21.88671875" style="310" bestFit="1" customWidth="1"/>
    <col min="8201" max="8201" width="17.109375" style="310" bestFit="1" customWidth="1"/>
    <col min="8202" max="8202" width="18.109375" style="310" bestFit="1" customWidth="1"/>
    <col min="8203" max="8203" width="26.44140625" style="310" customWidth="1"/>
    <col min="8204" max="8448" width="9.109375" style="310"/>
    <col min="8449" max="8449" width="8.6640625" style="310" bestFit="1" customWidth="1"/>
    <col min="8450" max="8450" width="13.33203125" style="310" customWidth="1"/>
    <col min="8451" max="8451" width="16.109375" style="310" bestFit="1" customWidth="1"/>
    <col min="8452" max="8452" width="23.5546875" style="310" customWidth="1"/>
    <col min="8453" max="8453" width="17.33203125" style="310" customWidth="1"/>
    <col min="8454" max="8454" width="20.5546875" style="310" bestFit="1" customWidth="1"/>
    <col min="8455" max="8455" width="17.109375" style="310" customWidth="1"/>
    <col min="8456" max="8456" width="21.88671875" style="310" bestFit="1" customWidth="1"/>
    <col min="8457" max="8457" width="17.109375" style="310" bestFit="1" customWidth="1"/>
    <col min="8458" max="8458" width="18.109375" style="310" bestFit="1" customWidth="1"/>
    <col min="8459" max="8459" width="26.44140625" style="310" customWidth="1"/>
    <col min="8460" max="8704" width="9.109375" style="310"/>
    <col min="8705" max="8705" width="8.6640625" style="310" bestFit="1" customWidth="1"/>
    <col min="8706" max="8706" width="13.33203125" style="310" customWidth="1"/>
    <col min="8707" max="8707" width="16.109375" style="310" bestFit="1" customWidth="1"/>
    <col min="8708" max="8708" width="23.5546875" style="310" customWidth="1"/>
    <col min="8709" max="8709" width="17.33203125" style="310" customWidth="1"/>
    <col min="8710" max="8710" width="20.5546875" style="310" bestFit="1" customWidth="1"/>
    <col min="8711" max="8711" width="17.109375" style="310" customWidth="1"/>
    <col min="8712" max="8712" width="21.88671875" style="310" bestFit="1" customWidth="1"/>
    <col min="8713" max="8713" width="17.109375" style="310" bestFit="1" customWidth="1"/>
    <col min="8714" max="8714" width="18.109375" style="310" bestFit="1" customWidth="1"/>
    <col min="8715" max="8715" width="26.44140625" style="310" customWidth="1"/>
    <col min="8716" max="8960" width="9.109375" style="310"/>
    <col min="8961" max="8961" width="8.6640625" style="310" bestFit="1" customWidth="1"/>
    <col min="8962" max="8962" width="13.33203125" style="310" customWidth="1"/>
    <col min="8963" max="8963" width="16.109375" style="310" bestFit="1" customWidth="1"/>
    <col min="8964" max="8964" width="23.5546875" style="310" customWidth="1"/>
    <col min="8965" max="8965" width="17.33203125" style="310" customWidth="1"/>
    <col min="8966" max="8966" width="20.5546875" style="310" bestFit="1" customWidth="1"/>
    <col min="8967" max="8967" width="17.109375" style="310" customWidth="1"/>
    <col min="8968" max="8968" width="21.88671875" style="310" bestFit="1" customWidth="1"/>
    <col min="8969" max="8969" width="17.109375" style="310" bestFit="1" customWidth="1"/>
    <col min="8970" max="8970" width="18.109375" style="310" bestFit="1" customWidth="1"/>
    <col min="8971" max="8971" width="26.44140625" style="310" customWidth="1"/>
    <col min="8972" max="9216" width="9.109375" style="310"/>
    <col min="9217" max="9217" width="8.6640625" style="310" bestFit="1" customWidth="1"/>
    <col min="9218" max="9218" width="13.33203125" style="310" customWidth="1"/>
    <col min="9219" max="9219" width="16.109375" style="310" bestFit="1" customWidth="1"/>
    <col min="9220" max="9220" width="23.5546875" style="310" customWidth="1"/>
    <col min="9221" max="9221" width="17.33203125" style="310" customWidth="1"/>
    <col min="9222" max="9222" width="20.5546875" style="310" bestFit="1" customWidth="1"/>
    <col min="9223" max="9223" width="17.109375" style="310" customWidth="1"/>
    <col min="9224" max="9224" width="21.88671875" style="310" bestFit="1" customWidth="1"/>
    <col min="9225" max="9225" width="17.109375" style="310" bestFit="1" customWidth="1"/>
    <col min="9226" max="9226" width="18.109375" style="310" bestFit="1" customWidth="1"/>
    <col min="9227" max="9227" width="26.44140625" style="310" customWidth="1"/>
    <col min="9228" max="9472" width="9.109375" style="310"/>
    <col min="9473" max="9473" width="8.6640625" style="310" bestFit="1" customWidth="1"/>
    <col min="9474" max="9474" width="13.33203125" style="310" customWidth="1"/>
    <col min="9475" max="9475" width="16.109375" style="310" bestFit="1" customWidth="1"/>
    <col min="9476" max="9476" width="23.5546875" style="310" customWidth="1"/>
    <col min="9477" max="9477" width="17.33203125" style="310" customWidth="1"/>
    <col min="9478" max="9478" width="20.5546875" style="310" bestFit="1" customWidth="1"/>
    <col min="9479" max="9479" width="17.109375" style="310" customWidth="1"/>
    <col min="9480" max="9480" width="21.88671875" style="310" bestFit="1" customWidth="1"/>
    <col min="9481" max="9481" width="17.109375" style="310" bestFit="1" customWidth="1"/>
    <col min="9482" max="9482" width="18.109375" style="310" bestFit="1" customWidth="1"/>
    <col min="9483" max="9483" width="26.44140625" style="310" customWidth="1"/>
    <col min="9484" max="9728" width="9.109375" style="310"/>
    <col min="9729" max="9729" width="8.6640625" style="310" bestFit="1" customWidth="1"/>
    <col min="9730" max="9730" width="13.33203125" style="310" customWidth="1"/>
    <col min="9731" max="9731" width="16.109375" style="310" bestFit="1" customWidth="1"/>
    <col min="9732" max="9732" width="23.5546875" style="310" customWidth="1"/>
    <col min="9733" max="9733" width="17.33203125" style="310" customWidth="1"/>
    <col min="9734" max="9734" width="20.5546875" style="310" bestFit="1" customWidth="1"/>
    <col min="9735" max="9735" width="17.109375" style="310" customWidth="1"/>
    <col min="9736" max="9736" width="21.88671875" style="310" bestFit="1" customWidth="1"/>
    <col min="9737" max="9737" width="17.109375" style="310" bestFit="1" customWidth="1"/>
    <col min="9738" max="9738" width="18.109375" style="310" bestFit="1" customWidth="1"/>
    <col min="9739" max="9739" width="26.44140625" style="310" customWidth="1"/>
    <col min="9740" max="9984" width="9.109375" style="310"/>
    <col min="9985" max="9985" width="8.6640625" style="310" bestFit="1" customWidth="1"/>
    <col min="9986" max="9986" width="13.33203125" style="310" customWidth="1"/>
    <col min="9987" max="9987" width="16.109375" style="310" bestFit="1" customWidth="1"/>
    <col min="9988" max="9988" width="23.5546875" style="310" customWidth="1"/>
    <col min="9989" max="9989" width="17.33203125" style="310" customWidth="1"/>
    <col min="9990" max="9990" width="20.5546875" style="310" bestFit="1" customWidth="1"/>
    <col min="9991" max="9991" width="17.109375" style="310" customWidth="1"/>
    <col min="9992" max="9992" width="21.88671875" style="310" bestFit="1" customWidth="1"/>
    <col min="9993" max="9993" width="17.109375" style="310" bestFit="1" customWidth="1"/>
    <col min="9994" max="9994" width="18.109375" style="310" bestFit="1" customWidth="1"/>
    <col min="9995" max="9995" width="26.44140625" style="310" customWidth="1"/>
    <col min="9996" max="10240" width="9.109375" style="310"/>
    <col min="10241" max="10241" width="8.6640625" style="310" bestFit="1" customWidth="1"/>
    <col min="10242" max="10242" width="13.33203125" style="310" customWidth="1"/>
    <col min="10243" max="10243" width="16.109375" style="310" bestFit="1" customWidth="1"/>
    <col min="10244" max="10244" width="23.5546875" style="310" customWidth="1"/>
    <col min="10245" max="10245" width="17.33203125" style="310" customWidth="1"/>
    <col min="10246" max="10246" width="20.5546875" style="310" bestFit="1" customWidth="1"/>
    <col min="10247" max="10247" width="17.109375" style="310" customWidth="1"/>
    <col min="10248" max="10248" width="21.88671875" style="310" bestFit="1" customWidth="1"/>
    <col min="10249" max="10249" width="17.109375" style="310" bestFit="1" customWidth="1"/>
    <col min="10250" max="10250" width="18.109375" style="310" bestFit="1" customWidth="1"/>
    <col min="10251" max="10251" width="26.44140625" style="310" customWidth="1"/>
    <col min="10252" max="10496" width="9.109375" style="310"/>
    <col min="10497" max="10497" width="8.6640625" style="310" bestFit="1" customWidth="1"/>
    <col min="10498" max="10498" width="13.33203125" style="310" customWidth="1"/>
    <col min="10499" max="10499" width="16.109375" style="310" bestFit="1" customWidth="1"/>
    <col min="10500" max="10500" width="23.5546875" style="310" customWidth="1"/>
    <col min="10501" max="10501" width="17.33203125" style="310" customWidth="1"/>
    <col min="10502" max="10502" width="20.5546875" style="310" bestFit="1" customWidth="1"/>
    <col min="10503" max="10503" width="17.109375" style="310" customWidth="1"/>
    <col min="10504" max="10504" width="21.88671875" style="310" bestFit="1" customWidth="1"/>
    <col min="10505" max="10505" width="17.109375" style="310" bestFit="1" customWidth="1"/>
    <col min="10506" max="10506" width="18.109375" style="310" bestFit="1" customWidth="1"/>
    <col min="10507" max="10507" width="26.44140625" style="310" customWidth="1"/>
    <col min="10508" max="10752" width="9.109375" style="310"/>
    <col min="10753" max="10753" width="8.6640625" style="310" bestFit="1" customWidth="1"/>
    <col min="10754" max="10754" width="13.33203125" style="310" customWidth="1"/>
    <col min="10755" max="10755" width="16.109375" style="310" bestFit="1" customWidth="1"/>
    <col min="10756" max="10756" width="23.5546875" style="310" customWidth="1"/>
    <col min="10757" max="10757" width="17.33203125" style="310" customWidth="1"/>
    <col min="10758" max="10758" width="20.5546875" style="310" bestFit="1" customWidth="1"/>
    <col min="10759" max="10759" width="17.109375" style="310" customWidth="1"/>
    <col min="10760" max="10760" width="21.88671875" style="310" bestFit="1" customWidth="1"/>
    <col min="10761" max="10761" width="17.109375" style="310" bestFit="1" customWidth="1"/>
    <col min="10762" max="10762" width="18.109375" style="310" bestFit="1" customWidth="1"/>
    <col min="10763" max="10763" width="26.44140625" style="310" customWidth="1"/>
    <col min="10764" max="11008" width="9.109375" style="310"/>
    <col min="11009" max="11009" width="8.6640625" style="310" bestFit="1" customWidth="1"/>
    <col min="11010" max="11010" width="13.33203125" style="310" customWidth="1"/>
    <col min="11011" max="11011" width="16.109375" style="310" bestFit="1" customWidth="1"/>
    <col min="11012" max="11012" width="23.5546875" style="310" customWidth="1"/>
    <col min="11013" max="11013" width="17.33203125" style="310" customWidth="1"/>
    <col min="11014" max="11014" width="20.5546875" style="310" bestFit="1" customWidth="1"/>
    <col min="11015" max="11015" width="17.109375" style="310" customWidth="1"/>
    <col min="11016" max="11016" width="21.88671875" style="310" bestFit="1" customWidth="1"/>
    <col min="11017" max="11017" width="17.109375" style="310" bestFit="1" customWidth="1"/>
    <col min="11018" max="11018" width="18.109375" style="310" bestFit="1" customWidth="1"/>
    <col min="11019" max="11019" width="26.44140625" style="310" customWidth="1"/>
    <col min="11020" max="11264" width="9.109375" style="310"/>
    <col min="11265" max="11265" width="8.6640625" style="310" bestFit="1" customWidth="1"/>
    <col min="11266" max="11266" width="13.33203125" style="310" customWidth="1"/>
    <col min="11267" max="11267" width="16.109375" style="310" bestFit="1" customWidth="1"/>
    <col min="11268" max="11268" width="23.5546875" style="310" customWidth="1"/>
    <col min="11269" max="11269" width="17.33203125" style="310" customWidth="1"/>
    <col min="11270" max="11270" width="20.5546875" style="310" bestFit="1" customWidth="1"/>
    <col min="11271" max="11271" width="17.109375" style="310" customWidth="1"/>
    <col min="11272" max="11272" width="21.88671875" style="310" bestFit="1" customWidth="1"/>
    <col min="11273" max="11273" width="17.109375" style="310" bestFit="1" customWidth="1"/>
    <col min="11274" max="11274" width="18.109375" style="310" bestFit="1" customWidth="1"/>
    <col min="11275" max="11275" width="26.44140625" style="310" customWidth="1"/>
    <col min="11276" max="11520" width="9.109375" style="310"/>
    <col min="11521" max="11521" width="8.6640625" style="310" bestFit="1" customWidth="1"/>
    <col min="11522" max="11522" width="13.33203125" style="310" customWidth="1"/>
    <col min="11523" max="11523" width="16.109375" style="310" bestFit="1" customWidth="1"/>
    <col min="11524" max="11524" width="23.5546875" style="310" customWidth="1"/>
    <col min="11525" max="11525" width="17.33203125" style="310" customWidth="1"/>
    <col min="11526" max="11526" width="20.5546875" style="310" bestFit="1" customWidth="1"/>
    <col min="11527" max="11527" width="17.109375" style="310" customWidth="1"/>
    <col min="11528" max="11528" width="21.88671875" style="310" bestFit="1" customWidth="1"/>
    <col min="11529" max="11529" width="17.109375" style="310" bestFit="1" customWidth="1"/>
    <col min="11530" max="11530" width="18.109375" style="310" bestFit="1" customWidth="1"/>
    <col min="11531" max="11531" width="26.44140625" style="310" customWidth="1"/>
    <col min="11532" max="11776" width="9.109375" style="310"/>
    <col min="11777" max="11777" width="8.6640625" style="310" bestFit="1" customWidth="1"/>
    <col min="11778" max="11778" width="13.33203125" style="310" customWidth="1"/>
    <col min="11779" max="11779" width="16.109375" style="310" bestFit="1" customWidth="1"/>
    <col min="11780" max="11780" width="23.5546875" style="310" customWidth="1"/>
    <col min="11781" max="11781" width="17.33203125" style="310" customWidth="1"/>
    <col min="11782" max="11782" width="20.5546875" style="310" bestFit="1" customWidth="1"/>
    <col min="11783" max="11783" width="17.109375" style="310" customWidth="1"/>
    <col min="11784" max="11784" width="21.88671875" style="310" bestFit="1" customWidth="1"/>
    <col min="11785" max="11785" width="17.109375" style="310" bestFit="1" customWidth="1"/>
    <col min="11786" max="11786" width="18.109375" style="310" bestFit="1" customWidth="1"/>
    <col min="11787" max="11787" width="26.44140625" style="310" customWidth="1"/>
    <col min="11788" max="12032" width="9.109375" style="310"/>
    <col min="12033" max="12033" width="8.6640625" style="310" bestFit="1" customWidth="1"/>
    <col min="12034" max="12034" width="13.33203125" style="310" customWidth="1"/>
    <col min="12035" max="12035" width="16.109375" style="310" bestFit="1" customWidth="1"/>
    <col min="12036" max="12036" width="23.5546875" style="310" customWidth="1"/>
    <col min="12037" max="12037" width="17.33203125" style="310" customWidth="1"/>
    <col min="12038" max="12038" width="20.5546875" style="310" bestFit="1" customWidth="1"/>
    <col min="12039" max="12039" width="17.109375" style="310" customWidth="1"/>
    <col min="12040" max="12040" width="21.88671875" style="310" bestFit="1" customWidth="1"/>
    <col min="12041" max="12041" width="17.109375" style="310" bestFit="1" customWidth="1"/>
    <col min="12042" max="12042" width="18.109375" style="310" bestFit="1" customWidth="1"/>
    <col min="12043" max="12043" width="26.44140625" style="310" customWidth="1"/>
    <col min="12044" max="12288" width="9.109375" style="310"/>
    <col min="12289" max="12289" width="8.6640625" style="310" bestFit="1" customWidth="1"/>
    <col min="12290" max="12290" width="13.33203125" style="310" customWidth="1"/>
    <col min="12291" max="12291" width="16.109375" style="310" bestFit="1" customWidth="1"/>
    <col min="12292" max="12292" width="23.5546875" style="310" customWidth="1"/>
    <col min="12293" max="12293" width="17.33203125" style="310" customWidth="1"/>
    <col min="12294" max="12294" width="20.5546875" style="310" bestFit="1" customWidth="1"/>
    <col min="12295" max="12295" width="17.109375" style="310" customWidth="1"/>
    <col min="12296" max="12296" width="21.88671875" style="310" bestFit="1" customWidth="1"/>
    <col min="12297" max="12297" width="17.109375" style="310" bestFit="1" customWidth="1"/>
    <col min="12298" max="12298" width="18.109375" style="310" bestFit="1" customWidth="1"/>
    <col min="12299" max="12299" width="26.44140625" style="310" customWidth="1"/>
    <col min="12300" max="12544" width="9.109375" style="310"/>
    <col min="12545" max="12545" width="8.6640625" style="310" bestFit="1" customWidth="1"/>
    <col min="12546" max="12546" width="13.33203125" style="310" customWidth="1"/>
    <col min="12547" max="12547" width="16.109375" style="310" bestFit="1" customWidth="1"/>
    <col min="12548" max="12548" width="23.5546875" style="310" customWidth="1"/>
    <col min="12549" max="12549" width="17.33203125" style="310" customWidth="1"/>
    <col min="12550" max="12550" width="20.5546875" style="310" bestFit="1" customWidth="1"/>
    <col min="12551" max="12551" width="17.109375" style="310" customWidth="1"/>
    <col min="12552" max="12552" width="21.88671875" style="310" bestFit="1" customWidth="1"/>
    <col min="12553" max="12553" width="17.109375" style="310" bestFit="1" customWidth="1"/>
    <col min="12554" max="12554" width="18.109375" style="310" bestFit="1" customWidth="1"/>
    <col min="12555" max="12555" width="26.44140625" style="310" customWidth="1"/>
    <col min="12556" max="12800" width="9.109375" style="310"/>
    <col min="12801" max="12801" width="8.6640625" style="310" bestFit="1" customWidth="1"/>
    <col min="12802" max="12802" width="13.33203125" style="310" customWidth="1"/>
    <col min="12803" max="12803" width="16.109375" style="310" bestFit="1" customWidth="1"/>
    <col min="12804" max="12804" width="23.5546875" style="310" customWidth="1"/>
    <col min="12805" max="12805" width="17.33203125" style="310" customWidth="1"/>
    <col min="12806" max="12806" width="20.5546875" style="310" bestFit="1" customWidth="1"/>
    <col min="12807" max="12807" width="17.109375" style="310" customWidth="1"/>
    <col min="12808" max="12808" width="21.88671875" style="310" bestFit="1" customWidth="1"/>
    <col min="12809" max="12809" width="17.109375" style="310" bestFit="1" customWidth="1"/>
    <col min="12810" max="12810" width="18.109375" style="310" bestFit="1" customWidth="1"/>
    <col min="12811" max="12811" width="26.44140625" style="310" customWidth="1"/>
    <col min="12812" max="13056" width="9.109375" style="310"/>
    <col min="13057" max="13057" width="8.6640625" style="310" bestFit="1" customWidth="1"/>
    <col min="13058" max="13058" width="13.33203125" style="310" customWidth="1"/>
    <col min="13059" max="13059" width="16.109375" style="310" bestFit="1" customWidth="1"/>
    <col min="13060" max="13060" width="23.5546875" style="310" customWidth="1"/>
    <col min="13061" max="13061" width="17.33203125" style="310" customWidth="1"/>
    <col min="13062" max="13062" width="20.5546875" style="310" bestFit="1" customWidth="1"/>
    <col min="13063" max="13063" width="17.109375" style="310" customWidth="1"/>
    <col min="13064" max="13064" width="21.88671875" style="310" bestFit="1" customWidth="1"/>
    <col min="13065" max="13065" width="17.109375" style="310" bestFit="1" customWidth="1"/>
    <col min="13066" max="13066" width="18.109375" style="310" bestFit="1" customWidth="1"/>
    <col min="13067" max="13067" width="26.44140625" style="310" customWidth="1"/>
    <col min="13068" max="13312" width="9.109375" style="310"/>
    <col min="13313" max="13313" width="8.6640625" style="310" bestFit="1" customWidth="1"/>
    <col min="13314" max="13314" width="13.33203125" style="310" customWidth="1"/>
    <col min="13315" max="13315" width="16.109375" style="310" bestFit="1" customWidth="1"/>
    <col min="13316" max="13316" width="23.5546875" style="310" customWidth="1"/>
    <col min="13317" max="13317" width="17.33203125" style="310" customWidth="1"/>
    <col min="13318" max="13318" width="20.5546875" style="310" bestFit="1" customWidth="1"/>
    <col min="13319" max="13319" width="17.109375" style="310" customWidth="1"/>
    <col min="13320" max="13320" width="21.88671875" style="310" bestFit="1" customWidth="1"/>
    <col min="13321" max="13321" width="17.109375" style="310" bestFit="1" customWidth="1"/>
    <col min="13322" max="13322" width="18.109375" style="310" bestFit="1" customWidth="1"/>
    <col min="13323" max="13323" width="26.44140625" style="310" customWidth="1"/>
    <col min="13324" max="13568" width="9.109375" style="310"/>
    <col min="13569" max="13569" width="8.6640625" style="310" bestFit="1" customWidth="1"/>
    <col min="13570" max="13570" width="13.33203125" style="310" customWidth="1"/>
    <col min="13571" max="13571" width="16.109375" style="310" bestFit="1" customWidth="1"/>
    <col min="13572" max="13572" width="23.5546875" style="310" customWidth="1"/>
    <col min="13573" max="13573" width="17.33203125" style="310" customWidth="1"/>
    <col min="13574" max="13574" width="20.5546875" style="310" bestFit="1" customWidth="1"/>
    <col min="13575" max="13575" width="17.109375" style="310" customWidth="1"/>
    <col min="13576" max="13576" width="21.88671875" style="310" bestFit="1" customWidth="1"/>
    <col min="13577" max="13577" width="17.109375" style="310" bestFit="1" customWidth="1"/>
    <col min="13578" max="13578" width="18.109375" style="310" bestFit="1" customWidth="1"/>
    <col min="13579" max="13579" width="26.44140625" style="310" customWidth="1"/>
    <col min="13580" max="13824" width="9.109375" style="310"/>
    <col min="13825" max="13825" width="8.6640625" style="310" bestFit="1" customWidth="1"/>
    <col min="13826" max="13826" width="13.33203125" style="310" customWidth="1"/>
    <col min="13827" max="13827" width="16.109375" style="310" bestFit="1" customWidth="1"/>
    <col min="13828" max="13828" width="23.5546875" style="310" customWidth="1"/>
    <col min="13829" max="13829" width="17.33203125" style="310" customWidth="1"/>
    <col min="13830" max="13830" width="20.5546875" style="310" bestFit="1" customWidth="1"/>
    <col min="13831" max="13831" width="17.109375" style="310" customWidth="1"/>
    <col min="13832" max="13832" width="21.88671875" style="310" bestFit="1" customWidth="1"/>
    <col min="13833" max="13833" width="17.109375" style="310" bestFit="1" customWidth="1"/>
    <col min="13834" max="13834" width="18.109375" style="310" bestFit="1" customWidth="1"/>
    <col min="13835" max="13835" width="26.44140625" style="310" customWidth="1"/>
    <col min="13836" max="14080" width="9.109375" style="310"/>
    <col min="14081" max="14081" width="8.6640625" style="310" bestFit="1" customWidth="1"/>
    <col min="14082" max="14082" width="13.33203125" style="310" customWidth="1"/>
    <col min="14083" max="14083" width="16.109375" style="310" bestFit="1" customWidth="1"/>
    <col min="14084" max="14084" width="23.5546875" style="310" customWidth="1"/>
    <col min="14085" max="14085" width="17.33203125" style="310" customWidth="1"/>
    <col min="14086" max="14086" width="20.5546875" style="310" bestFit="1" customWidth="1"/>
    <col min="14087" max="14087" width="17.109375" style="310" customWidth="1"/>
    <col min="14088" max="14088" width="21.88671875" style="310" bestFit="1" customWidth="1"/>
    <col min="14089" max="14089" width="17.109375" style="310" bestFit="1" customWidth="1"/>
    <col min="14090" max="14090" width="18.109375" style="310" bestFit="1" customWidth="1"/>
    <col min="14091" max="14091" width="26.44140625" style="310" customWidth="1"/>
    <col min="14092" max="14336" width="9.109375" style="310"/>
    <col min="14337" max="14337" width="8.6640625" style="310" bestFit="1" customWidth="1"/>
    <col min="14338" max="14338" width="13.33203125" style="310" customWidth="1"/>
    <col min="14339" max="14339" width="16.109375" style="310" bestFit="1" customWidth="1"/>
    <col min="14340" max="14340" width="23.5546875" style="310" customWidth="1"/>
    <col min="14341" max="14341" width="17.33203125" style="310" customWidth="1"/>
    <col min="14342" max="14342" width="20.5546875" style="310" bestFit="1" customWidth="1"/>
    <col min="14343" max="14343" width="17.109375" style="310" customWidth="1"/>
    <col min="14344" max="14344" width="21.88671875" style="310" bestFit="1" customWidth="1"/>
    <col min="14345" max="14345" width="17.109375" style="310" bestFit="1" customWidth="1"/>
    <col min="14346" max="14346" width="18.109375" style="310" bestFit="1" customWidth="1"/>
    <col min="14347" max="14347" width="26.44140625" style="310" customWidth="1"/>
    <col min="14348" max="14592" width="9.109375" style="310"/>
    <col min="14593" max="14593" width="8.6640625" style="310" bestFit="1" customWidth="1"/>
    <col min="14594" max="14594" width="13.33203125" style="310" customWidth="1"/>
    <col min="14595" max="14595" width="16.109375" style="310" bestFit="1" customWidth="1"/>
    <col min="14596" max="14596" width="23.5546875" style="310" customWidth="1"/>
    <col min="14597" max="14597" width="17.33203125" style="310" customWidth="1"/>
    <col min="14598" max="14598" width="20.5546875" style="310" bestFit="1" customWidth="1"/>
    <col min="14599" max="14599" width="17.109375" style="310" customWidth="1"/>
    <col min="14600" max="14600" width="21.88671875" style="310" bestFit="1" customWidth="1"/>
    <col min="14601" max="14601" width="17.109375" style="310" bestFit="1" customWidth="1"/>
    <col min="14602" max="14602" width="18.109375" style="310" bestFit="1" customWidth="1"/>
    <col min="14603" max="14603" width="26.44140625" style="310" customWidth="1"/>
    <col min="14604" max="14848" width="9.109375" style="310"/>
    <col min="14849" max="14849" width="8.6640625" style="310" bestFit="1" customWidth="1"/>
    <col min="14850" max="14850" width="13.33203125" style="310" customWidth="1"/>
    <col min="14851" max="14851" width="16.109375" style="310" bestFit="1" customWidth="1"/>
    <col min="14852" max="14852" width="23.5546875" style="310" customWidth="1"/>
    <col min="14853" max="14853" width="17.33203125" style="310" customWidth="1"/>
    <col min="14854" max="14854" width="20.5546875" style="310" bestFit="1" customWidth="1"/>
    <col min="14855" max="14855" width="17.109375" style="310" customWidth="1"/>
    <col min="14856" max="14856" width="21.88671875" style="310" bestFit="1" customWidth="1"/>
    <col min="14857" max="14857" width="17.109375" style="310" bestFit="1" customWidth="1"/>
    <col min="14858" max="14858" width="18.109375" style="310" bestFit="1" customWidth="1"/>
    <col min="14859" max="14859" width="26.44140625" style="310" customWidth="1"/>
    <col min="14860" max="15104" width="9.109375" style="310"/>
    <col min="15105" max="15105" width="8.6640625" style="310" bestFit="1" customWidth="1"/>
    <col min="15106" max="15106" width="13.33203125" style="310" customWidth="1"/>
    <col min="15107" max="15107" width="16.109375" style="310" bestFit="1" customWidth="1"/>
    <col min="15108" max="15108" width="23.5546875" style="310" customWidth="1"/>
    <col min="15109" max="15109" width="17.33203125" style="310" customWidth="1"/>
    <col min="15110" max="15110" width="20.5546875" style="310" bestFit="1" customWidth="1"/>
    <col min="15111" max="15111" width="17.109375" style="310" customWidth="1"/>
    <col min="15112" max="15112" width="21.88671875" style="310" bestFit="1" customWidth="1"/>
    <col min="15113" max="15113" width="17.109375" style="310" bestFit="1" customWidth="1"/>
    <col min="15114" max="15114" width="18.109375" style="310" bestFit="1" customWidth="1"/>
    <col min="15115" max="15115" width="26.44140625" style="310" customWidth="1"/>
    <col min="15116" max="15360" width="9.109375" style="310"/>
    <col min="15361" max="15361" width="8.6640625" style="310" bestFit="1" customWidth="1"/>
    <col min="15362" max="15362" width="13.33203125" style="310" customWidth="1"/>
    <col min="15363" max="15363" width="16.109375" style="310" bestFit="1" customWidth="1"/>
    <col min="15364" max="15364" width="23.5546875" style="310" customWidth="1"/>
    <col min="15365" max="15365" width="17.33203125" style="310" customWidth="1"/>
    <col min="15366" max="15366" width="20.5546875" style="310" bestFit="1" customWidth="1"/>
    <col min="15367" max="15367" width="17.109375" style="310" customWidth="1"/>
    <col min="15368" max="15368" width="21.88671875" style="310" bestFit="1" customWidth="1"/>
    <col min="15369" max="15369" width="17.109375" style="310" bestFit="1" customWidth="1"/>
    <col min="15370" max="15370" width="18.109375" style="310" bestFit="1" customWidth="1"/>
    <col min="15371" max="15371" width="26.44140625" style="310" customWidth="1"/>
    <col min="15372" max="15616" width="9.109375" style="310"/>
    <col min="15617" max="15617" width="8.6640625" style="310" bestFit="1" customWidth="1"/>
    <col min="15618" max="15618" width="13.33203125" style="310" customWidth="1"/>
    <col min="15619" max="15619" width="16.109375" style="310" bestFit="1" customWidth="1"/>
    <col min="15620" max="15620" width="23.5546875" style="310" customWidth="1"/>
    <col min="15621" max="15621" width="17.33203125" style="310" customWidth="1"/>
    <col min="15622" max="15622" width="20.5546875" style="310" bestFit="1" customWidth="1"/>
    <col min="15623" max="15623" width="17.109375" style="310" customWidth="1"/>
    <col min="15624" max="15624" width="21.88671875" style="310" bestFit="1" customWidth="1"/>
    <col min="15625" max="15625" width="17.109375" style="310" bestFit="1" customWidth="1"/>
    <col min="15626" max="15626" width="18.109375" style="310" bestFit="1" customWidth="1"/>
    <col min="15627" max="15627" width="26.44140625" style="310" customWidth="1"/>
    <col min="15628" max="15872" width="9.109375" style="310"/>
    <col min="15873" max="15873" width="8.6640625" style="310" bestFit="1" customWidth="1"/>
    <col min="15874" max="15874" width="13.33203125" style="310" customWidth="1"/>
    <col min="15875" max="15875" width="16.109375" style="310" bestFit="1" customWidth="1"/>
    <col min="15876" max="15876" width="23.5546875" style="310" customWidth="1"/>
    <col min="15877" max="15877" width="17.33203125" style="310" customWidth="1"/>
    <col min="15878" max="15878" width="20.5546875" style="310" bestFit="1" customWidth="1"/>
    <col min="15879" max="15879" width="17.109375" style="310" customWidth="1"/>
    <col min="15880" max="15880" width="21.88671875" style="310" bestFit="1" customWidth="1"/>
    <col min="15881" max="15881" width="17.109375" style="310" bestFit="1" customWidth="1"/>
    <col min="15882" max="15882" width="18.109375" style="310" bestFit="1" customWidth="1"/>
    <col min="15883" max="15883" width="26.44140625" style="310" customWidth="1"/>
    <col min="15884" max="16128" width="9.109375" style="310"/>
    <col min="16129" max="16129" width="8.6640625" style="310" bestFit="1" customWidth="1"/>
    <col min="16130" max="16130" width="13.33203125" style="310" customWidth="1"/>
    <col min="16131" max="16131" width="16.109375" style="310" bestFit="1" customWidth="1"/>
    <col min="16132" max="16132" width="23.5546875" style="310" customWidth="1"/>
    <col min="16133" max="16133" width="17.33203125" style="310" customWidth="1"/>
    <col min="16134" max="16134" width="20.5546875" style="310" bestFit="1" customWidth="1"/>
    <col min="16135" max="16135" width="17.109375" style="310" customWidth="1"/>
    <col min="16136" max="16136" width="21.88671875" style="310" bestFit="1" customWidth="1"/>
    <col min="16137" max="16137" width="17.109375" style="310" bestFit="1" customWidth="1"/>
    <col min="16138" max="16138" width="18.109375" style="310" bestFit="1" customWidth="1"/>
    <col min="16139" max="16139" width="26.44140625" style="310" customWidth="1"/>
    <col min="16140" max="16384" width="9.109375" style="310"/>
  </cols>
  <sheetData>
    <row r="1" spans="13:13" s="346" customFormat="1" x14ac:dyDescent="0.25">
      <c r="M1" s="347"/>
    </row>
    <row r="2" spans="13:13" s="346" customFormat="1" x14ac:dyDescent="0.25">
      <c r="M2" s="347"/>
    </row>
    <row r="3" spans="13:13" s="346" customFormat="1" x14ac:dyDescent="0.25">
      <c r="M3" s="347"/>
    </row>
    <row r="4" spans="13:13" s="346" customFormat="1" x14ac:dyDescent="0.25">
      <c r="M4" s="347"/>
    </row>
    <row r="5" spans="13:13" s="346" customFormat="1" x14ac:dyDescent="0.25">
      <c r="M5" s="347"/>
    </row>
    <row r="6" spans="13:13" s="346" customFormat="1" x14ac:dyDescent="0.25">
      <c r="M6" s="347"/>
    </row>
    <row r="7" spans="13:13" s="346" customFormat="1" x14ac:dyDescent="0.25">
      <c r="M7" s="347"/>
    </row>
    <row r="8" spans="13:13" s="346" customFormat="1" x14ac:dyDescent="0.25">
      <c r="M8" s="347"/>
    </row>
    <row r="9" spans="13:13" s="346" customFormat="1" x14ac:dyDescent="0.25">
      <c r="M9" s="347"/>
    </row>
    <row r="10" spans="13:13" s="346" customFormat="1" x14ac:dyDescent="0.25">
      <c r="M10" s="347"/>
    </row>
    <row r="11" spans="13:13" s="346" customFormat="1" x14ac:dyDescent="0.25">
      <c r="M11" s="347"/>
    </row>
    <row r="12" spans="13:13" s="346" customFormat="1" x14ac:dyDescent="0.25">
      <c r="M12" s="347"/>
    </row>
    <row r="13" spans="13:13" s="346" customFormat="1" x14ac:dyDescent="0.25">
      <c r="M13" s="347"/>
    </row>
    <row r="14" spans="13:13" s="346" customFormat="1" x14ac:dyDescent="0.25">
      <c r="M14" s="347"/>
    </row>
    <row r="15" spans="13:13" s="346" customFormat="1" x14ac:dyDescent="0.25">
      <c r="M15" s="347"/>
    </row>
    <row r="16" spans="13:13" s="346" customFormat="1" x14ac:dyDescent="0.25">
      <c r="M16" s="347"/>
    </row>
    <row r="17" spans="13:13" s="346" customFormat="1" x14ac:dyDescent="0.25">
      <c r="M17" s="347"/>
    </row>
    <row r="18" spans="13:13" s="346" customFormat="1" x14ac:dyDescent="0.25">
      <c r="M18" s="347"/>
    </row>
    <row r="19" spans="13:13" s="346" customFormat="1" x14ac:dyDescent="0.25">
      <c r="M19" s="347"/>
    </row>
    <row r="20" spans="13:13" s="346" customFormat="1" x14ac:dyDescent="0.25">
      <c r="M20" s="347"/>
    </row>
    <row r="21" spans="13:13" s="346" customFormat="1" x14ac:dyDescent="0.25">
      <c r="M21" s="347"/>
    </row>
    <row r="22" spans="13:13" s="346" customFormat="1" x14ac:dyDescent="0.25">
      <c r="M22" s="347"/>
    </row>
    <row r="23" spans="13:13" s="346" customFormat="1" x14ac:dyDescent="0.25">
      <c r="M23" s="347"/>
    </row>
    <row r="24" spans="13:13" s="346" customFormat="1" x14ac:dyDescent="0.25">
      <c r="M24" s="347"/>
    </row>
    <row r="25" spans="13:13" s="346" customFormat="1" x14ac:dyDescent="0.25">
      <c r="M25" s="347"/>
    </row>
    <row r="26" spans="13:13" s="346" customFormat="1" x14ac:dyDescent="0.25">
      <c r="M26" s="347"/>
    </row>
    <row r="27" spans="13:13" s="346" customFormat="1" x14ac:dyDescent="0.25">
      <c r="M27" s="347"/>
    </row>
    <row r="28" spans="13:13" s="346" customFormat="1" x14ac:dyDescent="0.25">
      <c r="M28" s="347"/>
    </row>
    <row r="29" spans="13:13" s="346" customFormat="1" x14ac:dyDescent="0.25">
      <c r="M29" s="347"/>
    </row>
    <row r="30" spans="13:13" s="346" customFormat="1" x14ac:dyDescent="0.25">
      <c r="M30" s="347"/>
    </row>
    <row r="31" spans="13:13" s="346" customFormat="1" x14ac:dyDescent="0.25">
      <c r="M31" s="347"/>
    </row>
    <row r="32" spans="13:13" s="346" customFormat="1" x14ac:dyDescent="0.25">
      <c r="M32" s="347"/>
    </row>
    <row r="33" spans="1:19" s="346" customFormat="1" x14ac:dyDescent="0.25">
      <c r="M33" s="347"/>
    </row>
    <row r="34" spans="1:19" s="346" customFormat="1" ht="15.75" customHeight="1" x14ac:dyDescent="0.25">
      <c r="B34" s="346" t="s">
        <v>699</v>
      </c>
    </row>
    <row r="35" spans="1:19" s="346" customFormat="1" ht="24.75" customHeight="1" x14ac:dyDescent="0.3">
      <c r="A35" s="351" t="str">
        <f>"VIN = "&amp;Vin&amp;" V, VOUT = "&amp; Vout &amp;" V, IOUT = " &amp;Iout &amp; " A,  Fsw = " &amp; Fsw/1000 &amp;" kHz, Current Limit = "&amp;ROUNDUP(DC_Current_Limit_Setpoint,0)&amp;" A"</f>
        <v>VIN = 24 V, VOUT = 5.1 V, IOUT = 6 A,  Fsw = 300 kHz, Current Limit = 10 A</v>
      </c>
      <c r="Q35" s="457"/>
    </row>
    <row r="36" spans="1:19" ht="24.75" customHeight="1" thickBot="1" x14ac:dyDescent="0.3">
      <c r="A36" s="312" t="s">
        <v>709</v>
      </c>
      <c r="Q36" s="458"/>
    </row>
    <row r="37" spans="1:19" ht="18" customHeight="1" x14ac:dyDescent="0.25">
      <c r="A37" s="443" t="s">
        <v>510</v>
      </c>
      <c r="B37" s="444" t="s">
        <v>509</v>
      </c>
      <c r="C37" s="444" t="s">
        <v>8</v>
      </c>
      <c r="D37" s="536" t="s">
        <v>188</v>
      </c>
      <c r="E37" s="537"/>
      <c r="F37" s="537"/>
      <c r="G37" s="538"/>
      <c r="H37" s="444" t="s">
        <v>496</v>
      </c>
      <c r="I37" s="444" t="s">
        <v>303</v>
      </c>
      <c r="J37" s="444" t="s">
        <v>497</v>
      </c>
      <c r="K37" s="432" t="s">
        <v>674</v>
      </c>
      <c r="L37" s="433" t="s">
        <v>675</v>
      </c>
      <c r="M37" s="310"/>
      <c r="P37" s="465"/>
      <c r="Q37" s="472"/>
      <c r="R37" s="465"/>
      <c r="S37" s="465"/>
    </row>
    <row r="38" spans="1:19" s="317" customFormat="1" ht="17.100000000000001" customHeight="1" x14ac:dyDescent="0.25">
      <c r="A38" s="314">
        <v>1</v>
      </c>
      <c r="B38" s="315" t="s">
        <v>608</v>
      </c>
      <c r="C38" s="329">
        <v>0.1</v>
      </c>
      <c r="D38" s="554">
        <f t="shared" ref="D38:D47" si="0">C38</f>
        <v>0.1</v>
      </c>
      <c r="E38" s="555"/>
      <c r="F38" s="555"/>
      <c r="G38" s="330"/>
      <c r="H38" s="331"/>
      <c r="I38" s="316" t="s">
        <v>498</v>
      </c>
      <c r="J38" s="436" t="s">
        <v>498</v>
      </c>
      <c r="K38" s="440" t="str">
        <f>CHOOSE(Q38, 'Variable Management'!N69,'Variable Management'!N70,'Variable Management'!N71)</f>
        <v>1.6 x 0.8</v>
      </c>
      <c r="L38" s="434">
        <f>CHOOSE(Q38, 'Variable Management'!O69,'Variable Management'!O70,'Variable Management'!O71)</f>
        <v>1.3</v>
      </c>
      <c r="P38" s="456"/>
      <c r="Q38" s="459">
        <v>2</v>
      </c>
      <c r="R38" s="456"/>
      <c r="S38" s="456"/>
    </row>
    <row r="39" spans="1:19" s="317" customFormat="1" ht="17.100000000000001" customHeight="1" x14ac:dyDescent="0.25">
      <c r="A39" s="313">
        <v>1</v>
      </c>
      <c r="B39" s="332" t="s">
        <v>502</v>
      </c>
      <c r="C39" s="333">
        <f>'Design Regulator'!D75</f>
        <v>4700</v>
      </c>
      <c r="D39" s="556">
        <f t="shared" si="0"/>
        <v>4700</v>
      </c>
      <c r="E39" s="557"/>
      <c r="F39" s="557"/>
      <c r="G39" s="334"/>
      <c r="H39" s="335"/>
      <c r="I39" s="336" t="s">
        <v>498</v>
      </c>
      <c r="J39" s="437" t="s">
        <v>498</v>
      </c>
      <c r="K39" s="441" t="str">
        <f>CHOOSE(Q39, 'Variable Management'!N69,'Variable Management'!N70,'Variable Management'!N71)</f>
        <v>1.0 x 0.5</v>
      </c>
      <c r="L39" s="442">
        <f>CHOOSE(Q39, 'Variable Management'!O69,'Variable Management'!O70,'Variable Management'!O71)</f>
        <v>0.5</v>
      </c>
      <c r="P39" s="456"/>
      <c r="Q39" s="459">
        <v>1</v>
      </c>
      <c r="R39" s="456"/>
      <c r="S39" s="456"/>
    </row>
    <row r="40" spans="1:19" s="317" customFormat="1" ht="17.100000000000001" customHeight="1" x14ac:dyDescent="0.25">
      <c r="A40" s="313">
        <v>1</v>
      </c>
      <c r="B40" s="332" t="s">
        <v>503</v>
      </c>
      <c r="C40" s="333">
        <f>'Design Regulator'!D76</f>
        <v>120</v>
      </c>
      <c r="D40" s="558">
        <f t="shared" si="0"/>
        <v>120</v>
      </c>
      <c r="E40" s="559"/>
      <c r="F40" s="559"/>
      <c r="G40" s="334"/>
      <c r="H40" s="335"/>
      <c r="I40" s="336" t="s">
        <v>498</v>
      </c>
      <c r="J40" s="437" t="s">
        <v>498</v>
      </c>
      <c r="K40" s="441" t="str">
        <f>CHOOSE(Q40, 'Variable Management'!N69,'Variable Management'!N70,'Variable Management'!N71)</f>
        <v>1.0 x 0.5</v>
      </c>
      <c r="L40" s="442">
        <f>CHOOSE(Q40, 'Variable Management'!O69,'Variable Management'!O70,'Variable Management'!O71)</f>
        <v>0.5</v>
      </c>
      <c r="P40" s="456"/>
      <c r="Q40" s="459">
        <v>1</v>
      </c>
      <c r="R40" s="456"/>
      <c r="S40" s="456"/>
    </row>
    <row r="41" spans="1:19" s="317" customFormat="1" ht="17.100000000000001" customHeight="1" x14ac:dyDescent="0.25">
      <c r="A41" s="313">
        <v>1</v>
      </c>
      <c r="B41" s="332" t="s">
        <v>504</v>
      </c>
      <c r="C41" s="333">
        <f>'Design Regulator'!D78</f>
        <v>1500</v>
      </c>
      <c r="D41" s="558">
        <f t="shared" si="0"/>
        <v>1500</v>
      </c>
      <c r="E41" s="559"/>
      <c r="F41" s="559"/>
      <c r="G41" s="334"/>
      <c r="H41" s="335"/>
      <c r="I41" s="336" t="s">
        <v>498</v>
      </c>
      <c r="J41" s="437" t="s">
        <v>498</v>
      </c>
      <c r="K41" s="441" t="str">
        <f>CHOOSE(Q41, 'Variable Management'!N69,'Variable Management'!N70,'Variable Management'!N71)</f>
        <v>1.0 x 0.5</v>
      </c>
      <c r="L41" s="442">
        <f>CHOOSE(Q41, 'Variable Management'!O69,'Variable Management'!O70,'Variable Management'!O71)</f>
        <v>0.5</v>
      </c>
      <c r="P41" s="456"/>
      <c r="Q41" s="459">
        <v>1</v>
      </c>
      <c r="R41" s="456"/>
      <c r="S41" s="456"/>
    </row>
    <row r="42" spans="1:19" s="317" customFormat="1" ht="17.100000000000001" customHeight="1" x14ac:dyDescent="0.25">
      <c r="A42" s="324">
        <v>1</v>
      </c>
      <c r="B42" s="325" t="s">
        <v>717</v>
      </c>
      <c r="C42" s="340" t="str">
        <f>'Variable Management'!B270</f>
        <v>22pF</v>
      </c>
      <c r="D42" s="529" t="str">
        <f>"Capacitor, Ceramic, "&amp;'Variable Management'!B270&amp;", 100V, X7R, 20%"</f>
        <v>Capacitor, Ceramic, 22pF, 100V, X7R, 20%</v>
      </c>
      <c r="E42" s="530"/>
      <c r="F42" s="530"/>
      <c r="G42" s="337"/>
      <c r="H42" s="327"/>
      <c r="I42" s="328" t="s">
        <v>498</v>
      </c>
      <c r="J42" s="438" t="s">
        <v>498</v>
      </c>
      <c r="K42" s="440" t="str">
        <f>CHOOSE(Q42, 'Variable Management'!N69,'Variable Management'!N70,'Variable Management'!N71)</f>
        <v>1.6 x 0.8</v>
      </c>
      <c r="L42" s="434">
        <f>CHOOSE(RDSON_sense,CHOOSE(Q42,'Variable Management'!O69,'Variable Management'!O70,'Variable Management'!O71),0)</f>
        <v>1.3</v>
      </c>
      <c r="P42" s="456"/>
      <c r="Q42" s="459">
        <v>2</v>
      </c>
      <c r="R42" s="456"/>
      <c r="S42" s="456"/>
    </row>
    <row r="43" spans="1:19" s="317" customFormat="1" ht="17.100000000000001" customHeight="1" x14ac:dyDescent="0.25">
      <c r="A43" s="313">
        <f>ROUNDUP('Design Regulator'!E42/10,0)</f>
        <v>11</v>
      </c>
      <c r="B43" s="332" t="s">
        <v>505</v>
      </c>
      <c r="C43" s="339" t="str">
        <f>'Variable Management'!B249</f>
        <v>4.7µF</v>
      </c>
      <c r="D43" s="522" t="str">
        <f>CHOOSE(Cin_Voltage_Rating, "Capacitor, Ceramic, "&amp;'Variable Management'!B249&amp;", 10V, X7R, 10%", "Capacitor, Ceramic, "&amp;'Variable Management'!B249&amp;", 16V, X7R, 10%", "Capacitor, Ceramic, "&amp;'Variable Management'!B249&amp;", 25V, X7R, 10%",  "Capacitor, Ceramic, "&amp;'Variable Management'!B249&amp;", 50V, X7R, 10%",  "Capacitor, Ceramic, "&amp;'Variable Management'!B249&amp;", 100V, X7S, 10%")</f>
        <v>Capacitor, Ceramic, 4.7µF, 50V, X7R, 10%</v>
      </c>
      <c r="E43" s="523"/>
      <c r="F43" s="523"/>
      <c r="G43" s="334"/>
      <c r="H43" s="335"/>
      <c r="I43" s="336" t="s">
        <v>498</v>
      </c>
      <c r="J43" s="437" t="s">
        <v>498</v>
      </c>
      <c r="K43" s="441" t="str">
        <f>CHOOSE(Q43, 'Variable Management'!N69,'Variable Management'!N70,'Variable Management'!N71,'Variable Management'!N72,'Variable Management'!N73)</f>
        <v>3.2 x 2.5</v>
      </c>
      <c r="L43" s="442">
        <f>CHOOSE(Q43, 'Variable Management'!O69,'Variable Management'!O70,'Variable Management'!O71,'Variable Management'!O72,'Variable Management'!O73)*A43</f>
        <v>88</v>
      </c>
      <c r="P43" s="456"/>
      <c r="Q43" s="459">
        <v>5</v>
      </c>
      <c r="R43" s="456"/>
      <c r="S43" s="456"/>
    </row>
    <row r="44" spans="1:19" s="317" customFormat="1" ht="17.100000000000001" customHeight="1" x14ac:dyDescent="0.25">
      <c r="A44" s="313">
        <f>'Variable Management'!D242</f>
        <v>3</v>
      </c>
      <c r="B44" s="332" t="s">
        <v>506</v>
      </c>
      <c r="C44" s="339" t="str">
        <f>'Variable Management'!F243</f>
        <v>47µF</v>
      </c>
      <c r="D44" s="522" t="str">
        <f>CHOOSE(Cout_Voltage_Rating, "Capacitor, Ceramic, "&amp;'Variable Management'!B244&amp;", 6.3V, X7R, 10%", "Capacitor, Ceramic, "&amp;'Variable Management'!B244&amp;", 10V, X7R, 10%", "Capacitor, Ceramic, "&amp;'Variable Management'!B244&amp;", 16V, X7R, 10%", "Capacitor, Ceramic, "&amp;'Variable Management'!B244&amp;", 25V, X7R, 10%",  "Capacitor, Ceramic, "&amp;'Variable Management'!B244&amp;", 50V, X7R, 10%",  "Capacitor, Ceramic, "&amp;'Variable Management'!B244&amp;", 100V, X7R, 10%")</f>
        <v>Capacitor, Ceramic, 47µF, 10V, X7R, 10%</v>
      </c>
      <c r="E44" s="523"/>
      <c r="F44" s="523"/>
      <c r="G44" s="334"/>
      <c r="H44" s="335"/>
      <c r="I44" s="336" t="s">
        <v>498</v>
      </c>
      <c r="J44" s="437" t="s">
        <v>498</v>
      </c>
      <c r="K44" s="441" t="str">
        <f>CHOOSE(Q44, 'Variable Management'!N69,'Variable Management'!N70,'Variable Management'!N71,'Variable Management'!N72,'Variable Management'!N73)</f>
        <v>3.2 x 2.5</v>
      </c>
      <c r="L44" s="442">
        <f>CHOOSE(Q44, 'Variable Management'!O69,'Variable Management'!O70,'Variable Management'!O71,'Variable Management'!O72,'Variable Management'!O73)*A44</f>
        <v>24</v>
      </c>
      <c r="P44" s="456"/>
      <c r="Q44" s="459">
        <v>5</v>
      </c>
      <c r="R44" s="456"/>
      <c r="S44" s="456"/>
    </row>
    <row r="45" spans="1:19" s="317" customFormat="1" ht="17.100000000000001" customHeight="1" x14ac:dyDescent="0.25">
      <c r="A45" s="324">
        <v>1</v>
      </c>
      <c r="B45" s="325" t="s">
        <v>507</v>
      </c>
      <c r="C45" s="450">
        <f>'Design Regulator'!E50</f>
        <v>100</v>
      </c>
      <c r="D45" s="525">
        <f t="shared" ref="D45" si="1">C45</f>
        <v>100</v>
      </c>
      <c r="E45" s="526"/>
      <c r="F45" s="526"/>
      <c r="G45" s="337"/>
      <c r="H45" s="327"/>
      <c r="I45" s="328" t="s">
        <v>498</v>
      </c>
      <c r="J45" s="438" t="s">
        <v>498</v>
      </c>
      <c r="K45" s="451" t="str">
        <f>CHOOSE(Q45, 'Variable Management'!N69,'Variable Management'!N70,'Variable Management'!N71)</f>
        <v>1.6 x 0.8</v>
      </c>
      <c r="L45" s="452">
        <f>CHOOSE(Q45, 'Variable Management'!O69,'Variable Management'!O70,'Variable Management'!O71)</f>
        <v>1.3</v>
      </c>
      <c r="P45" s="456"/>
      <c r="Q45" s="459">
        <v>2</v>
      </c>
      <c r="R45" s="456"/>
      <c r="S45" s="456"/>
    </row>
    <row r="46" spans="1:19" s="317" customFormat="1" ht="17.100000000000001" customHeight="1" x14ac:dyDescent="0.25">
      <c r="A46" s="324">
        <v>1</v>
      </c>
      <c r="B46" s="325" t="s">
        <v>607</v>
      </c>
      <c r="C46" s="338">
        <v>2.2000000000000002</v>
      </c>
      <c r="D46" s="531">
        <f t="shared" si="0"/>
        <v>2.2000000000000002</v>
      </c>
      <c r="E46" s="532"/>
      <c r="F46" s="532"/>
      <c r="G46" s="337"/>
      <c r="H46" s="327"/>
      <c r="I46" s="328" t="s">
        <v>498</v>
      </c>
      <c r="J46" s="438" t="s">
        <v>498</v>
      </c>
      <c r="K46" s="440" t="str">
        <f>CHOOSE(Q46, 'Variable Management'!N69,'Variable Management'!N70,'Variable Management'!N71)</f>
        <v>2.0 x 1.25</v>
      </c>
      <c r="L46" s="434">
        <f>CHOOSE(Q46, 'Variable Management'!O69,'Variable Management'!O70,'Variable Management'!O71)</f>
        <v>2.5</v>
      </c>
      <c r="P46" s="456"/>
      <c r="Q46" s="459">
        <v>3</v>
      </c>
      <c r="R46" s="456"/>
      <c r="S46" s="456"/>
    </row>
    <row r="47" spans="1:19" s="317" customFormat="1" ht="17.100000000000001" customHeight="1" x14ac:dyDescent="0.25">
      <c r="A47" s="324">
        <v>1</v>
      </c>
      <c r="B47" s="325" t="s">
        <v>508</v>
      </c>
      <c r="C47" s="338">
        <v>0.1</v>
      </c>
      <c r="D47" s="527">
        <f t="shared" si="0"/>
        <v>0.1</v>
      </c>
      <c r="E47" s="528"/>
      <c r="F47" s="528"/>
      <c r="G47" s="337"/>
      <c r="H47" s="327"/>
      <c r="I47" s="328" t="s">
        <v>498</v>
      </c>
      <c r="J47" s="438" t="s">
        <v>498</v>
      </c>
      <c r="K47" s="440" t="str">
        <f>CHOOSE(Q47, 'Variable Management'!N69,'Variable Management'!N70,'Variable Management'!N71)</f>
        <v>1.6 x 0.8</v>
      </c>
      <c r="L47" s="434">
        <f>CHOOSE(Q47, 'Variable Management'!O69,'Variable Management'!O70,'Variable Management'!O71)</f>
        <v>1.3</v>
      </c>
      <c r="P47" s="456"/>
      <c r="Q47" s="459">
        <v>2</v>
      </c>
      <c r="R47" s="456"/>
      <c r="S47" s="456"/>
    </row>
    <row r="48" spans="1:19" s="317" customFormat="1" ht="17.100000000000001" customHeight="1" x14ac:dyDescent="0.25">
      <c r="A48" s="313">
        <v>1</v>
      </c>
      <c r="B48" s="332" t="s">
        <v>605</v>
      </c>
      <c r="C48" s="341">
        <f>'Design Regulator'!E17</f>
        <v>7.4</v>
      </c>
      <c r="D48" s="522" t="str">
        <f>"Inductor, "&amp;Lout2*1000000&amp;"µH, "&amp;Rdcr*1000&amp;"mΩ, &gt;"&amp;ROUNDUP(Ilsat,0)&amp;"A"</f>
        <v>Inductor, 7.4µH, 5mΩ, &gt;14A</v>
      </c>
      <c r="E48" s="523"/>
      <c r="F48" s="523"/>
      <c r="G48" s="524"/>
      <c r="H48" s="336"/>
      <c r="I48" s="336" t="s">
        <v>511</v>
      </c>
      <c r="J48" s="437" t="s">
        <v>511</v>
      </c>
      <c r="K48" s="441" t="str">
        <f>CHOOSE(Q48, 'Variable Management'!N78,'Variable Management'!N79,'Variable Management'!N80, 'Variable Management'!N81, 'Variable Management'!N82, 'Variable Management'!N83, 'Variable Management'!N84, 'Variable Management'!N85)</f>
        <v>10.0 x 10.0</v>
      </c>
      <c r="L48" s="442">
        <f>CHOOSE(Q48, 'Variable Management'!O78,'Variable Management'!O79,'Variable Management'!O80, 'Variable Management'!O81, 'Variable Management'!O82, 'Variable Management'!O83, 'Variable Management'!O84, 'Variable Management'!O85)</f>
        <v>100</v>
      </c>
      <c r="P48" s="456"/>
      <c r="Q48" s="459">
        <v>7</v>
      </c>
      <c r="R48" s="456"/>
      <c r="S48" s="456"/>
    </row>
    <row r="49" spans="1:19" s="317" customFormat="1" ht="17.100000000000001" customHeight="1" x14ac:dyDescent="0.25">
      <c r="A49" s="324">
        <f>R49</f>
        <v>1</v>
      </c>
      <c r="B49" s="325" t="s">
        <v>512</v>
      </c>
      <c r="C49" s="340" t="s">
        <v>499</v>
      </c>
      <c r="D49" s="545">
        <f>'Design Regulator'!E85</f>
        <v>6</v>
      </c>
      <c r="E49" s="546"/>
      <c r="F49" s="546"/>
      <c r="G49" s="547"/>
      <c r="H49" s="328"/>
      <c r="I49" s="328" t="str">
        <f>'Design Regulator'!E84</f>
        <v>CSD18563Q5D</v>
      </c>
      <c r="J49" s="438" t="s">
        <v>500</v>
      </c>
      <c r="K49" s="440" t="str">
        <f>CHOOSE(Q49, 'Variable Management'!N48,'Variable Management'!N49,'Variable Management'!N50,'Variable Management'!N51)</f>
        <v>5.0 x 6.0</v>
      </c>
      <c r="L49" s="434">
        <f>CHOOSE(Q49, 'Variable Management'!O48,'Variable Management'!O49,'Variable Management'!O50,'Variable Management'!O51)*R49</f>
        <v>30</v>
      </c>
      <c r="P49" s="456"/>
      <c r="Q49" s="459">
        <v>1</v>
      </c>
      <c r="R49" s="459">
        <v>1</v>
      </c>
      <c r="S49" s="456"/>
    </row>
    <row r="50" spans="1:19" s="317" customFormat="1" ht="17.100000000000001" customHeight="1" x14ac:dyDescent="0.25">
      <c r="A50" s="324">
        <f>R50</f>
        <v>1</v>
      </c>
      <c r="B50" s="325" t="s">
        <v>513</v>
      </c>
      <c r="C50" s="340" t="s">
        <v>499</v>
      </c>
      <c r="D50" s="545">
        <f>'Design Regulator'!E97</f>
        <v>6</v>
      </c>
      <c r="E50" s="546"/>
      <c r="F50" s="546"/>
      <c r="G50" s="547"/>
      <c r="H50" s="328"/>
      <c r="I50" s="328" t="str">
        <f>'Design Regulator'!E96</f>
        <v>CSD18563Q5D</v>
      </c>
      <c r="J50" s="438" t="s">
        <v>500</v>
      </c>
      <c r="K50" s="440" t="str">
        <f>CHOOSE(Q50, 'Variable Management'!N48,'Variable Management'!N49,'Variable Management'!N50,'Variable Management'!N51)</f>
        <v>5.0 x 6.0</v>
      </c>
      <c r="L50" s="434">
        <f>CHOOSE(Q50, 'Variable Management'!O48,'Variable Management'!O49,'Variable Management'!O50,'Variable Management'!O51)*R50</f>
        <v>30</v>
      </c>
      <c r="P50" s="456"/>
      <c r="Q50" s="459">
        <v>1</v>
      </c>
      <c r="R50" s="459">
        <v>1</v>
      </c>
      <c r="S50" s="456"/>
    </row>
    <row r="51" spans="1:19" s="317" customFormat="1" ht="17.100000000000001" customHeight="1" x14ac:dyDescent="0.25">
      <c r="A51" s="324"/>
      <c r="B51" s="325"/>
      <c r="C51" s="340"/>
      <c r="D51" s="425"/>
      <c r="E51" s="426"/>
      <c r="F51" s="426"/>
      <c r="G51" s="427"/>
      <c r="H51" s="328"/>
      <c r="I51" s="328"/>
      <c r="J51" s="438"/>
      <c r="K51" s="440"/>
      <c r="L51" s="434"/>
      <c r="P51" s="456"/>
      <c r="Q51" s="459"/>
      <c r="R51" s="456"/>
      <c r="S51" s="456"/>
    </row>
    <row r="52" spans="1:19" s="317" customFormat="1" ht="17.100000000000001" customHeight="1" x14ac:dyDescent="0.25">
      <c r="A52" s="318">
        <v>1</v>
      </c>
      <c r="B52" s="319" t="s">
        <v>514</v>
      </c>
      <c r="C52" s="320">
        <f>'Design Regulator'!D74</f>
        <v>8.66</v>
      </c>
      <c r="D52" s="533">
        <f t="shared" ref="D52:D62" si="2">C52</f>
        <v>8.66</v>
      </c>
      <c r="E52" s="534"/>
      <c r="F52" s="534"/>
      <c r="G52" s="535"/>
      <c r="H52" s="321"/>
      <c r="I52" s="322" t="s">
        <v>498</v>
      </c>
      <c r="J52" s="439" t="s">
        <v>498</v>
      </c>
      <c r="K52" s="441" t="str">
        <f>CHOOSE(Q52, 'Variable Management'!N69,'Variable Management'!N70,'Variable Management'!N71)</f>
        <v>1.0 x 0.5</v>
      </c>
      <c r="L52" s="442">
        <f>CHOOSE(Q52, 'Variable Management'!O69,'Variable Management'!O70,'Variable Management'!O71)</f>
        <v>0.5</v>
      </c>
      <c r="P52" s="456"/>
      <c r="Q52" s="459">
        <v>1</v>
      </c>
      <c r="R52" s="456"/>
      <c r="S52" s="456"/>
    </row>
    <row r="53" spans="1:19" s="317" customFormat="1" ht="17.100000000000001" customHeight="1" x14ac:dyDescent="0.25">
      <c r="A53" s="318">
        <v>1</v>
      </c>
      <c r="B53" s="319" t="s">
        <v>515</v>
      </c>
      <c r="C53" s="323">
        <f>'Design Regulator'!D77</f>
        <v>866</v>
      </c>
      <c r="D53" s="519">
        <f t="shared" si="2"/>
        <v>866</v>
      </c>
      <c r="E53" s="520"/>
      <c r="F53" s="520"/>
      <c r="G53" s="521"/>
      <c r="H53" s="321"/>
      <c r="I53" s="322" t="s">
        <v>498</v>
      </c>
      <c r="J53" s="439" t="s">
        <v>498</v>
      </c>
      <c r="K53" s="441" t="str">
        <f>CHOOSE(Q52, 'Variable Management'!N69,'Variable Management'!N70,'Variable Management'!N71)</f>
        <v>1.0 x 0.5</v>
      </c>
      <c r="L53" s="442">
        <f>CHOOSE(Q53, 'Variable Management'!O69,'Variable Management'!O70,'Variable Management'!O71)</f>
        <v>0.5</v>
      </c>
      <c r="P53" s="456"/>
      <c r="Q53" s="459">
        <v>1</v>
      </c>
      <c r="R53" s="456"/>
      <c r="S53" s="456"/>
    </row>
    <row r="54" spans="1:19" s="317" customFormat="1" ht="17.100000000000001" customHeight="1" x14ac:dyDescent="0.25">
      <c r="A54" s="318">
        <v>1</v>
      </c>
      <c r="B54" s="319" t="s">
        <v>609</v>
      </c>
      <c r="C54" s="323">
        <f>'Design Regulator'!E26</f>
        <v>274</v>
      </c>
      <c r="D54" s="519">
        <f t="shared" si="2"/>
        <v>274</v>
      </c>
      <c r="E54" s="520"/>
      <c r="F54" s="520"/>
      <c r="G54" s="521"/>
      <c r="H54" s="321"/>
      <c r="I54" s="322" t="s">
        <v>498</v>
      </c>
      <c r="J54" s="439" t="s">
        <v>498</v>
      </c>
      <c r="K54" s="441" t="str">
        <f>CHOOSE(Q52, 'Variable Management'!N69,'Variable Management'!N70,'Variable Management'!N71)</f>
        <v>1.0 x 0.5</v>
      </c>
      <c r="L54" s="442">
        <f>CHOOSE(Q54, 'Variable Management'!O69,'Variable Management'!O70,'Variable Management'!O71)</f>
        <v>2.5</v>
      </c>
      <c r="P54" s="456"/>
      <c r="Q54" s="459">
        <v>3</v>
      </c>
      <c r="R54" s="456"/>
      <c r="S54" s="456"/>
    </row>
    <row r="55" spans="1:19" s="317" customFormat="1" ht="17.100000000000001" customHeight="1" x14ac:dyDescent="0.25">
      <c r="A55" s="318">
        <v>1</v>
      </c>
      <c r="B55" s="319" t="s">
        <v>610</v>
      </c>
      <c r="C55" s="320">
        <f>'Design Regulator'!E13</f>
        <v>33.200000000000003</v>
      </c>
      <c r="D55" s="533">
        <f t="shared" si="2"/>
        <v>33.200000000000003</v>
      </c>
      <c r="E55" s="534"/>
      <c r="F55" s="534"/>
      <c r="G55" s="535"/>
      <c r="H55" s="321"/>
      <c r="I55" s="322" t="s">
        <v>498</v>
      </c>
      <c r="J55" s="439" t="s">
        <v>498</v>
      </c>
      <c r="K55" s="441" t="str">
        <f>CHOOSE(Q55, 'Variable Management'!N69,'Variable Management'!N70,'Variable Management'!N71)</f>
        <v>1.0 x 0.5</v>
      </c>
      <c r="L55" s="442">
        <f>CHOOSE(Q55, 'Variable Management'!O69,'Variable Management'!O70,'Variable Management'!O71)</f>
        <v>0.5</v>
      </c>
      <c r="P55" s="456"/>
      <c r="Q55" s="459">
        <v>1</v>
      </c>
      <c r="R55" s="456"/>
      <c r="S55" s="456"/>
    </row>
    <row r="56" spans="1:19" s="317" customFormat="1" ht="17.100000000000001" customHeight="1" x14ac:dyDescent="0.25">
      <c r="A56" s="318">
        <v>1</v>
      </c>
      <c r="B56" s="319" t="s">
        <v>521</v>
      </c>
      <c r="C56" s="320">
        <f>'Design Regulator'!E63</f>
        <v>22.1</v>
      </c>
      <c r="D56" s="533">
        <f t="shared" si="2"/>
        <v>22.1</v>
      </c>
      <c r="E56" s="534"/>
      <c r="F56" s="534"/>
      <c r="G56" s="535"/>
      <c r="H56" s="321"/>
      <c r="I56" s="322" t="s">
        <v>498</v>
      </c>
      <c r="J56" s="439" t="s">
        <v>498</v>
      </c>
      <c r="K56" s="441" t="str">
        <f>CHOOSE(Q56, 'Variable Management'!N69,'Variable Management'!N70,'Variable Management'!N71)</f>
        <v>1.0 x 0.5</v>
      </c>
      <c r="L56" s="442">
        <f>CHOOSE(Q56, 'Variable Management'!O69,'Variable Management'!O70,'Variable Management'!O71)</f>
        <v>0.5</v>
      </c>
      <c r="P56" s="456"/>
      <c r="Q56" s="459">
        <v>1</v>
      </c>
      <c r="R56" s="456"/>
      <c r="S56" s="456"/>
    </row>
    <row r="57" spans="1:19" s="317" customFormat="1" ht="17.100000000000001" customHeight="1" x14ac:dyDescent="0.25">
      <c r="A57" s="318">
        <v>1</v>
      </c>
      <c r="B57" s="319" t="s">
        <v>522</v>
      </c>
      <c r="C57" s="320">
        <f>'Design Regulator'!E64</f>
        <v>4.12</v>
      </c>
      <c r="D57" s="533">
        <f t="shared" si="2"/>
        <v>4.12</v>
      </c>
      <c r="E57" s="534"/>
      <c r="F57" s="534"/>
      <c r="G57" s="535"/>
      <c r="H57" s="321"/>
      <c r="I57" s="322" t="s">
        <v>498</v>
      </c>
      <c r="J57" s="439" t="s">
        <v>498</v>
      </c>
      <c r="K57" s="441" t="str">
        <f>CHOOSE(Q57, 'Variable Management'!N69,'Variable Management'!N70,'Variable Management'!N71)</f>
        <v>1.0 x 0.5</v>
      </c>
      <c r="L57" s="442">
        <f>CHOOSE(Q57, 'Variable Management'!O69,'Variable Management'!O70,'Variable Management'!O71)</f>
        <v>0.5</v>
      </c>
      <c r="P57" s="456"/>
      <c r="Q57" s="459">
        <v>1</v>
      </c>
      <c r="R57" s="456"/>
      <c r="S57" s="456"/>
    </row>
    <row r="58" spans="1:19" s="317" customFormat="1" ht="17.100000000000001" customHeight="1" x14ac:dyDescent="0.25">
      <c r="A58" s="324">
        <v>1</v>
      </c>
      <c r="B58" s="325" t="s">
        <v>520</v>
      </c>
      <c r="C58" s="326">
        <v>20</v>
      </c>
      <c r="D58" s="542">
        <f t="shared" si="2"/>
        <v>20</v>
      </c>
      <c r="E58" s="543"/>
      <c r="F58" s="543"/>
      <c r="G58" s="544"/>
      <c r="H58" s="327"/>
      <c r="I58" s="328" t="s">
        <v>498</v>
      </c>
      <c r="J58" s="438" t="s">
        <v>498</v>
      </c>
      <c r="K58" s="440" t="str">
        <f>CHOOSE(Q58, 'Variable Management'!N69,'Variable Management'!N70,'Variable Management'!N71)</f>
        <v>1.0 x 0.5</v>
      </c>
      <c r="L58" s="434">
        <f>CHOOSE(Q58, 'Variable Management'!O69,'Variable Management'!O70,'Variable Management'!O71)</f>
        <v>0.5</v>
      </c>
      <c r="P58" s="456"/>
      <c r="Q58" s="459">
        <v>1</v>
      </c>
      <c r="R58" s="456"/>
      <c r="S58" s="456"/>
    </row>
    <row r="59" spans="1:19" s="317" customFormat="1" ht="17.100000000000001" customHeight="1" x14ac:dyDescent="0.25">
      <c r="A59" s="324">
        <v>1</v>
      </c>
      <c r="B59" s="325" t="s">
        <v>519</v>
      </c>
      <c r="C59" s="474">
        <f>'Design Regulator'!E24</f>
        <v>6</v>
      </c>
      <c r="D59" s="551">
        <f t="shared" si="2"/>
        <v>6</v>
      </c>
      <c r="E59" s="552"/>
      <c r="F59" s="552"/>
      <c r="G59" s="553"/>
      <c r="H59" s="473">
        <v>1206</v>
      </c>
      <c r="I59" s="328" t="s">
        <v>498</v>
      </c>
      <c r="J59" s="438" t="s">
        <v>498</v>
      </c>
      <c r="K59" s="440" t="s">
        <v>642</v>
      </c>
      <c r="L59" s="434">
        <f>CHOOSE(RDSON_sense, 0,5.1)</f>
        <v>0</v>
      </c>
      <c r="P59" s="456"/>
      <c r="Q59" s="459"/>
      <c r="R59" s="456"/>
      <c r="S59" s="456"/>
    </row>
    <row r="60" spans="1:19" s="317" customFormat="1" ht="17.100000000000001" customHeight="1" x14ac:dyDescent="0.25">
      <c r="A60" s="318">
        <v>1</v>
      </c>
      <c r="B60" s="319" t="s">
        <v>516</v>
      </c>
      <c r="C60" s="320">
        <f>'Design Regulator'!E53</f>
        <v>75</v>
      </c>
      <c r="D60" s="533">
        <f t="shared" si="2"/>
        <v>75</v>
      </c>
      <c r="E60" s="534"/>
      <c r="F60" s="534"/>
      <c r="G60" s="535"/>
      <c r="H60" s="321"/>
      <c r="I60" s="322" t="s">
        <v>498</v>
      </c>
      <c r="J60" s="439" t="s">
        <v>498</v>
      </c>
      <c r="K60" s="441" t="str">
        <f>CHOOSE(Q60, 'Variable Management'!N69,'Variable Management'!N70,'Variable Management'!N71)</f>
        <v>1.6 x 0.8</v>
      </c>
      <c r="L60" s="442">
        <f>CHOOSE(Q60, 'Variable Management'!O69,'Variable Management'!O70,'Variable Management'!O71)</f>
        <v>1.3</v>
      </c>
      <c r="P60" s="456"/>
      <c r="Q60" s="459">
        <v>2</v>
      </c>
      <c r="R60" s="456"/>
      <c r="S60" s="456"/>
    </row>
    <row r="61" spans="1:19" s="317" customFormat="1" ht="17.100000000000001" customHeight="1" x14ac:dyDescent="0.25">
      <c r="A61" s="318">
        <v>1</v>
      </c>
      <c r="B61" s="319" t="s">
        <v>517</v>
      </c>
      <c r="C61" s="320">
        <f>'Design Regulator'!E54</f>
        <v>12.700000000000001</v>
      </c>
      <c r="D61" s="533">
        <f t="shared" si="2"/>
        <v>12.700000000000001</v>
      </c>
      <c r="E61" s="534"/>
      <c r="F61" s="534"/>
      <c r="G61" s="535"/>
      <c r="H61" s="321"/>
      <c r="I61" s="322" t="s">
        <v>498</v>
      </c>
      <c r="J61" s="439" t="s">
        <v>498</v>
      </c>
      <c r="K61" s="441" t="str">
        <f>CHOOSE(Q61, 'Variable Management'!N69,'Variable Management'!N70,'Variable Management'!N71)</f>
        <v>1.0 x 0.5</v>
      </c>
      <c r="L61" s="442">
        <f>CHOOSE(Q61, 'Variable Management'!O69,'Variable Management'!O70,'Variable Management'!O71)</f>
        <v>0.5</v>
      </c>
      <c r="P61" s="456"/>
      <c r="Q61" s="459">
        <v>1</v>
      </c>
      <c r="R61" s="456"/>
      <c r="S61" s="456"/>
    </row>
    <row r="62" spans="1:19" s="317" customFormat="1" ht="17.100000000000001" customHeight="1" x14ac:dyDescent="0.25">
      <c r="A62" s="324">
        <v>1</v>
      </c>
      <c r="B62" s="325" t="s">
        <v>518</v>
      </c>
      <c r="C62" s="340">
        <v>2.2000000000000002</v>
      </c>
      <c r="D62" s="548">
        <f t="shared" si="2"/>
        <v>2.2000000000000002</v>
      </c>
      <c r="E62" s="549"/>
      <c r="F62" s="549"/>
      <c r="G62" s="550"/>
      <c r="H62" s="327"/>
      <c r="I62" s="328" t="s">
        <v>498</v>
      </c>
      <c r="J62" s="438" t="s">
        <v>498</v>
      </c>
      <c r="K62" s="440" t="str">
        <f>CHOOSE(Q62, 'Variable Management'!N69,'Variable Management'!N70,'Variable Management'!N71)</f>
        <v>1.0 x 0.5</v>
      </c>
      <c r="L62" s="434">
        <f>CHOOSE(Q62, 'Variable Management'!O69,'Variable Management'!O70,'Variable Management'!O71)</f>
        <v>0.5</v>
      </c>
      <c r="P62" s="456"/>
      <c r="Q62" s="459">
        <v>1</v>
      </c>
      <c r="R62" s="456"/>
      <c r="S62" s="456"/>
    </row>
    <row r="63" spans="1:19" s="317" customFormat="1" ht="17.100000000000001" customHeight="1" x14ac:dyDescent="0.25">
      <c r="A63" s="343">
        <v>1</v>
      </c>
      <c r="B63" s="344" t="s">
        <v>523</v>
      </c>
      <c r="C63" s="342" t="str">
        <f>CHOOSE(VARIANT, "LM5145", "LM5145-Q1", "LM25145", "LM5146", "LM5146-Q1")</f>
        <v>LM25145</v>
      </c>
      <c r="D63" s="539" t="str">
        <f>CHOOSE(VARIANT, "IC, LM5145, PWM Controller, 6V-75V Input", "IC, LM5145-Q1, PWM Controller, 6V-75V Input", "IC, LM25145, PWM Controller, 6V-42V Input", "IC, LM5146 PWM Controller, 5.5V-100V Input", "IC, LM5146-Q1, PWM Controller, 5.5V-100V Input")</f>
        <v>IC, LM25145, PWM Controller, 6V-42V Input</v>
      </c>
      <c r="E63" s="540"/>
      <c r="F63" s="540"/>
      <c r="G63" s="541"/>
      <c r="H63" s="345" t="s">
        <v>626</v>
      </c>
      <c r="I63" s="345" t="str">
        <f>CHOOSE(VARIANT, "LM5145RGYR", "LM5145QRGYRQ1", "LM25145RGYR", "LM5146RGYR", "LM5146QRGYRQ1",)</f>
        <v>LM25145RGYR</v>
      </c>
      <c r="J63" s="424" t="s">
        <v>500</v>
      </c>
      <c r="K63" s="440" t="s">
        <v>713</v>
      </c>
      <c r="L63" s="435">
        <v>15.75</v>
      </c>
      <c r="P63" s="456"/>
      <c r="Q63" s="459"/>
      <c r="R63" s="456"/>
      <c r="S63" s="456"/>
    </row>
    <row r="64" spans="1:19" x14ac:dyDescent="0.25">
      <c r="P64" s="465"/>
      <c r="Q64" s="466"/>
      <c r="R64" s="465"/>
      <c r="S64" s="465"/>
    </row>
    <row r="65" spans="1:15" ht="18" x14ac:dyDescent="0.3">
      <c r="I65" s="518" t="s">
        <v>676</v>
      </c>
      <c r="J65" s="518"/>
      <c r="K65" s="518"/>
      <c r="L65" s="445">
        <f>SUM(L38:L63)*1.25</f>
        <v>380.9375</v>
      </c>
      <c r="M65" s="446" t="s">
        <v>677</v>
      </c>
      <c r="N65" s="447">
        <f>L65/25.4/25.4</f>
        <v>0.59045430590861192</v>
      </c>
      <c r="O65" s="446" t="s">
        <v>678</v>
      </c>
    </row>
    <row r="66" spans="1:15" x14ac:dyDescent="0.25">
      <c r="A66" s="352" t="s">
        <v>541</v>
      </c>
    </row>
    <row r="67" spans="1:15" x14ac:dyDescent="0.25">
      <c r="A67" s="310" t="s">
        <v>540</v>
      </c>
    </row>
    <row r="68" spans="1:15" x14ac:dyDescent="0.25">
      <c r="A68" s="310" t="s">
        <v>712</v>
      </c>
    </row>
    <row r="455" spans="17:17" x14ac:dyDescent="0.25">
      <c r="Q455" s="310">
        <v>2</v>
      </c>
    </row>
  </sheetData>
  <sheetProtection algorithmName="SHA-512" hashValue="5TgsSCYYf1uls4yIPKQ6R31wx2xihx2gDN6A2FKtQUMGBtKeZ/JRzZEKN55uNbweAs4RBJmLKrkDyMZSd1WKlA==" saltValue="VL6HNfpDUUlRyqITH/F2hw==" spinCount="100000" sheet="1" objects="1" scenarios="1" selectLockedCells="1" selectUnlockedCells="1"/>
  <mergeCells count="27">
    <mergeCell ref="D37:G37"/>
    <mergeCell ref="D63:G63"/>
    <mergeCell ref="D58:G58"/>
    <mergeCell ref="D56:G56"/>
    <mergeCell ref="D57:G57"/>
    <mergeCell ref="D49:G49"/>
    <mergeCell ref="D50:G50"/>
    <mergeCell ref="D55:G55"/>
    <mergeCell ref="D60:G60"/>
    <mergeCell ref="D61:G61"/>
    <mergeCell ref="D62:G62"/>
    <mergeCell ref="D59:G59"/>
    <mergeCell ref="D38:F38"/>
    <mergeCell ref="D39:F39"/>
    <mergeCell ref="D40:F40"/>
    <mergeCell ref="D41:F41"/>
    <mergeCell ref="D42:F42"/>
    <mergeCell ref="D46:F46"/>
    <mergeCell ref="D43:F43"/>
    <mergeCell ref="D52:G52"/>
    <mergeCell ref="D53:G53"/>
    <mergeCell ref="I65:K65"/>
    <mergeCell ref="D54:G54"/>
    <mergeCell ref="D48:G48"/>
    <mergeCell ref="D44:F44"/>
    <mergeCell ref="D45:F45"/>
    <mergeCell ref="D47:F47"/>
  </mergeCells>
  <phoneticPr fontId="106"/>
  <conditionalFormatting sqref="A59:J59">
    <cfRule type="expression" dxfId="4" priority="6">
      <formula>RDSON_sense=1</formula>
    </cfRule>
  </conditionalFormatting>
  <conditionalFormatting sqref="K59">
    <cfRule type="expression" dxfId="3" priority="5">
      <formula>RDSON_sense=1</formula>
    </cfRule>
  </conditionalFormatting>
  <conditionalFormatting sqref="L59">
    <cfRule type="expression" dxfId="2" priority="3">
      <formula>RDSON_sense=1</formula>
    </cfRule>
  </conditionalFormatting>
  <conditionalFormatting sqref="A42:F42">
    <cfRule type="expression" dxfId="1" priority="2">
      <formula>RDSON_sense=0</formula>
    </cfRule>
  </conditionalFormatting>
  <conditionalFormatting sqref="I42:L42">
    <cfRule type="expression" dxfId="0" priority="1">
      <formula>RDSON_sense=0</formula>
    </cfRule>
  </conditionalFormatting>
  <printOptions horizontalCentered="1"/>
  <pageMargins left="0.23" right="0.23" top="0.7" bottom="0.61" header="0.3" footer="0.5"/>
  <pageSetup scale="84" fitToHeight="2" orientation="landscape" r:id="rId1"/>
  <headerFooter alignWithMargins="0"/>
  <rowBreaks count="1" manualBreakCount="1">
    <brk id="34" max="9" man="1"/>
  </rowBreaks>
  <ignoredErrors>
    <ignoredError sqref="L59"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73839" r:id="rId4" name="Drop Down 47">
              <controlPr defaultSize="0" autoLine="0" autoPict="0">
                <anchor moveWithCells="1">
                  <from>
                    <xdr:col>7</xdr:col>
                    <xdr:colOff>0</xdr:colOff>
                    <xdr:row>48</xdr:row>
                    <xdr:rowOff>0</xdr:rowOff>
                  </from>
                  <to>
                    <xdr:col>8</xdr:col>
                    <xdr:colOff>0</xdr:colOff>
                    <xdr:row>48</xdr:row>
                    <xdr:rowOff>198120</xdr:rowOff>
                  </to>
                </anchor>
              </controlPr>
            </control>
          </mc:Choice>
        </mc:AlternateContent>
        <mc:AlternateContent xmlns:mc="http://schemas.openxmlformats.org/markup-compatibility/2006">
          <mc:Choice Requires="x14">
            <control shapeId="673840" r:id="rId5" name="Drop Down 48">
              <controlPr defaultSize="0" autoLine="0" autoPict="0">
                <anchor moveWithCells="1">
                  <from>
                    <xdr:col>7</xdr:col>
                    <xdr:colOff>0</xdr:colOff>
                    <xdr:row>49</xdr:row>
                    <xdr:rowOff>0</xdr:rowOff>
                  </from>
                  <to>
                    <xdr:col>8</xdr:col>
                    <xdr:colOff>0</xdr:colOff>
                    <xdr:row>49</xdr:row>
                    <xdr:rowOff>198120</xdr:rowOff>
                  </to>
                </anchor>
              </controlPr>
            </control>
          </mc:Choice>
        </mc:AlternateContent>
        <mc:AlternateContent xmlns:mc="http://schemas.openxmlformats.org/markup-compatibility/2006">
          <mc:Choice Requires="x14">
            <control shapeId="673855" r:id="rId6" name="Drop Down 63">
              <controlPr defaultSize="0" autoLine="0" autoPict="0">
                <anchor moveWithCells="1">
                  <from>
                    <xdr:col>7</xdr:col>
                    <xdr:colOff>0</xdr:colOff>
                    <xdr:row>37</xdr:row>
                    <xdr:rowOff>0</xdr:rowOff>
                  </from>
                  <to>
                    <xdr:col>7</xdr:col>
                    <xdr:colOff>876300</xdr:colOff>
                    <xdr:row>37</xdr:row>
                    <xdr:rowOff>198120</xdr:rowOff>
                  </to>
                </anchor>
              </controlPr>
            </control>
          </mc:Choice>
        </mc:AlternateContent>
        <mc:AlternateContent xmlns:mc="http://schemas.openxmlformats.org/markup-compatibility/2006">
          <mc:Choice Requires="x14">
            <control shapeId="673857" r:id="rId7" name="Drop Down 65">
              <controlPr defaultSize="0" autoLine="0" autoPict="0">
                <anchor moveWithCells="1">
                  <from>
                    <xdr:col>7</xdr:col>
                    <xdr:colOff>0</xdr:colOff>
                    <xdr:row>38</xdr:row>
                    <xdr:rowOff>0</xdr:rowOff>
                  </from>
                  <to>
                    <xdr:col>7</xdr:col>
                    <xdr:colOff>876300</xdr:colOff>
                    <xdr:row>38</xdr:row>
                    <xdr:rowOff>198120</xdr:rowOff>
                  </to>
                </anchor>
              </controlPr>
            </control>
          </mc:Choice>
        </mc:AlternateContent>
        <mc:AlternateContent xmlns:mc="http://schemas.openxmlformats.org/markup-compatibility/2006">
          <mc:Choice Requires="x14">
            <control shapeId="673858" r:id="rId8" name="Drop Down 66">
              <controlPr defaultSize="0" autoLine="0" autoPict="0">
                <anchor moveWithCells="1">
                  <from>
                    <xdr:col>7</xdr:col>
                    <xdr:colOff>0</xdr:colOff>
                    <xdr:row>39</xdr:row>
                    <xdr:rowOff>0</xdr:rowOff>
                  </from>
                  <to>
                    <xdr:col>7</xdr:col>
                    <xdr:colOff>876300</xdr:colOff>
                    <xdr:row>39</xdr:row>
                    <xdr:rowOff>198120</xdr:rowOff>
                  </to>
                </anchor>
              </controlPr>
            </control>
          </mc:Choice>
        </mc:AlternateContent>
        <mc:AlternateContent xmlns:mc="http://schemas.openxmlformats.org/markup-compatibility/2006">
          <mc:Choice Requires="x14">
            <control shapeId="673859" r:id="rId9" name="Drop Down 67">
              <controlPr defaultSize="0" autoLine="0" autoPict="0">
                <anchor moveWithCells="1">
                  <from>
                    <xdr:col>7</xdr:col>
                    <xdr:colOff>0</xdr:colOff>
                    <xdr:row>40</xdr:row>
                    <xdr:rowOff>0</xdr:rowOff>
                  </from>
                  <to>
                    <xdr:col>7</xdr:col>
                    <xdr:colOff>876300</xdr:colOff>
                    <xdr:row>40</xdr:row>
                    <xdr:rowOff>198120</xdr:rowOff>
                  </to>
                </anchor>
              </controlPr>
            </control>
          </mc:Choice>
        </mc:AlternateContent>
        <mc:AlternateContent xmlns:mc="http://schemas.openxmlformats.org/markup-compatibility/2006">
          <mc:Choice Requires="x14">
            <control shapeId="673860" r:id="rId10" name="Drop Down 68">
              <controlPr defaultSize="0" autoLine="0" autoPict="0">
                <anchor moveWithCells="1">
                  <from>
                    <xdr:col>7</xdr:col>
                    <xdr:colOff>0</xdr:colOff>
                    <xdr:row>41</xdr:row>
                    <xdr:rowOff>0</xdr:rowOff>
                  </from>
                  <to>
                    <xdr:col>7</xdr:col>
                    <xdr:colOff>876300</xdr:colOff>
                    <xdr:row>41</xdr:row>
                    <xdr:rowOff>198120</xdr:rowOff>
                  </to>
                </anchor>
              </controlPr>
            </control>
          </mc:Choice>
        </mc:AlternateContent>
        <mc:AlternateContent xmlns:mc="http://schemas.openxmlformats.org/markup-compatibility/2006">
          <mc:Choice Requires="x14">
            <control shapeId="673861" r:id="rId11" name="Drop Down 69">
              <controlPr defaultSize="0" autoLine="0" autoPict="0">
                <anchor moveWithCells="1">
                  <from>
                    <xdr:col>7</xdr:col>
                    <xdr:colOff>0</xdr:colOff>
                    <xdr:row>44</xdr:row>
                    <xdr:rowOff>0</xdr:rowOff>
                  </from>
                  <to>
                    <xdr:col>7</xdr:col>
                    <xdr:colOff>876300</xdr:colOff>
                    <xdr:row>44</xdr:row>
                    <xdr:rowOff>198120</xdr:rowOff>
                  </to>
                </anchor>
              </controlPr>
            </control>
          </mc:Choice>
        </mc:AlternateContent>
        <mc:AlternateContent xmlns:mc="http://schemas.openxmlformats.org/markup-compatibility/2006">
          <mc:Choice Requires="x14">
            <control shapeId="673862" r:id="rId12" name="Drop Down 70">
              <controlPr defaultSize="0" autoLine="0" autoPict="0">
                <anchor moveWithCells="1">
                  <from>
                    <xdr:col>7</xdr:col>
                    <xdr:colOff>0</xdr:colOff>
                    <xdr:row>45</xdr:row>
                    <xdr:rowOff>0</xdr:rowOff>
                  </from>
                  <to>
                    <xdr:col>7</xdr:col>
                    <xdr:colOff>876300</xdr:colOff>
                    <xdr:row>45</xdr:row>
                    <xdr:rowOff>198120</xdr:rowOff>
                  </to>
                </anchor>
              </controlPr>
            </control>
          </mc:Choice>
        </mc:AlternateContent>
        <mc:AlternateContent xmlns:mc="http://schemas.openxmlformats.org/markup-compatibility/2006">
          <mc:Choice Requires="x14">
            <control shapeId="673863" r:id="rId13" name="Drop Down 71">
              <controlPr defaultSize="0" autoLine="0" autoPict="0">
                <anchor moveWithCells="1">
                  <from>
                    <xdr:col>7</xdr:col>
                    <xdr:colOff>0</xdr:colOff>
                    <xdr:row>46</xdr:row>
                    <xdr:rowOff>0</xdr:rowOff>
                  </from>
                  <to>
                    <xdr:col>7</xdr:col>
                    <xdr:colOff>876300</xdr:colOff>
                    <xdr:row>46</xdr:row>
                    <xdr:rowOff>198120</xdr:rowOff>
                  </to>
                </anchor>
              </controlPr>
            </control>
          </mc:Choice>
        </mc:AlternateContent>
        <mc:AlternateContent xmlns:mc="http://schemas.openxmlformats.org/markup-compatibility/2006">
          <mc:Choice Requires="x14">
            <control shapeId="673865" r:id="rId14" name="Drop Down 73">
              <controlPr defaultSize="0" autoLine="0" autoPict="0">
                <anchor moveWithCells="1">
                  <from>
                    <xdr:col>7</xdr:col>
                    <xdr:colOff>0</xdr:colOff>
                    <xdr:row>51</xdr:row>
                    <xdr:rowOff>0</xdr:rowOff>
                  </from>
                  <to>
                    <xdr:col>7</xdr:col>
                    <xdr:colOff>876300</xdr:colOff>
                    <xdr:row>51</xdr:row>
                    <xdr:rowOff>198120</xdr:rowOff>
                  </to>
                </anchor>
              </controlPr>
            </control>
          </mc:Choice>
        </mc:AlternateContent>
        <mc:AlternateContent xmlns:mc="http://schemas.openxmlformats.org/markup-compatibility/2006">
          <mc:Choice Requires="x14">
            <control shapeId="673866" r:id="rId15" name="Drop Down 74">
              <controlPr defaultSize="0" autoLine="0" autoPict="0">
                <anchor moveWithCells="1">
                  <from>
                    <xdr:col>7</xdr:col>
                    <xdr:colOff>0</xdr:colOff>
                    <xdr:row>52</xdr:row>
                    <xdr:rowOff>0</xdr:rowOff>
                  </from>
                  <to>
                    <xdr:col>7</xdr:col>
                    <xdr:colOff>876300</xdr:colOff>
                    <xdr:row>52</xdr:row>
                    <xdr:rowOff>198120</xdr:rowOff>
                  </to>
                </anchor>
              </controlPr>
            </control>
          </mc:Choice>
        </mc:AlternateContent>
        <mc:AlternateContent xmlns:mc="http://schemas.openxmlformats.org/markup-compatibility/2006">
          <mc:Choice Requires="x14">
            <control shapeId="673867" r:id="rId16" name="Drop Down 75">
              <controlPr defaultSize="0" autoLine="0" autoPict="0">
                <anchor moveWithCells="1">
                  <from>
                    <xdr:col>7</xdr:col>
                    <xdr:colOff>0</xdr:colOff>
                    <xdr:row>53</xdr:row>
                    <xdr:rowOff>0</xdr:rowOff>
                  </from>
                  <to>
                    <xdr:col>7</xdr:col>
                    <xdr:colOff>876300</xdr:colOff>
                    <xdr:row>53</xdr:row>
                    <xdr:rowOff>198120</xdr:rowOff>
                  </to>
                </anchor>
              </controlPr>
            </control>
          </mc:Choice>
        </mc:AlternateContent>
        <mc:AlternateContent xmlns:mc="http://schemas.openxmlformats.org/markup-compatibility/2006">
          <mc:Choice Requires="x14">
            <control shapeId="673868" r:id="rId17" name="Drop Down 76">
              <controlPr defaultSize="0" autoLine="0" autoPict="0">
                <anchor moveWithCells="1">
                  <from>
                    <xdr:col>7</xdr:col>
                    <xdr:colOff>0</xdr:colOff>
                    <xdr:row>54</xdr:row>
                    <xdr:rowOff>0</xdr:rowOff>
                  </from>
                  <to>
                    <xdr:col>7</xdr:col>
                    <xdr:colOff>876300</xdr:colOff>
                    <xdr:row>54</xdr:row>
                    <xdr:rowOff>198120</xdr:rowOff>
                  </to>
                </anchor>
              </controlPr>
            </control>
          </mc:Choice>
        </mc:AlternateContent>
        <mc:AlternateContent xmlns:mc="http://schemas.openxmlformats.org/markup-compatibility/2006">
          <mc:Choice Requires="x14">
            <control shapeId="673869" r:id="rId18" name="Drop Down 77">
              <controlPr defaultSize="0" autoLine="0" autoPict="0">
                <anchor moveWithCells="1">
                  <from>
                    <xdr:col>7</xdr:col>
                    <xdr:colOff>0</xdr:colOff>
                    <xdr:row>55</xdr:row>
                    <xdr:rowOff>0</xdr:rowOff>
                  </from>
                  <to>
                    <xdr:col>7</xdr:col>
                    <xdr:colOff>876300</xdr:colOff>
                    <xdr:row>55</xdr:row>
                    <xdr:rowOff>198120</xdr:rowOff>
                  </to>
                </anchor>
              </controlPr>
            </control>
          </mc:Choice>
        </mc:AlternateContent>
        <mc:AlternateContent xmlns:mc="http://schemas.openxmlformats.org/markup-compatibility/2006">
          <mc:Choice Requires="x14">
            <control shapeId="673870" r:id="rId19" name="Drop Down 78">
              <controlPr defaultSize="0" autoLine="0" autoPict="0">
                <anchor moveWithCells="1">
                  <from>
                    <xdr:col>7</xdr:col>
                    <xdr:colOff>0</xdr:colOff>
                    <xdr:row>56</xdr:row>
                    <xdr:rowOff>0</xdr:rowOff>
                  </from>
                  <to>
                    <xdr:col>7</xdr:col>
                    <xdr:colOff>876300</xdr:colOff>
                    <xdr:row>56</xdr:row>
                    <xdr:rowOff>198120</xdr:rowOff>
                  </to>
                </anchor>
              </controlPr>
            </control>
          </mc:Choice>
        </mc:AlternateContent>
        <mc:AlternateContent xmlns:mc="http://schemas.openxmlformats.org/markup-compatibility/2006">
          <mc:Choice Requires="x14">
            <control shapeId="673871" r:id="rId20" name="Drop Down 79">
              <controlPr defaultSize="0" autoLine="0" autoPict="0">
                <anchor moveWithCells="1">
                  <from>
                    <xdr:col>7</xdr:col>
                    <xdr:colOff>0</xdr:colOff>
                    <xdr:row>57</xdr:row>
                    <xdr:rowOff>0</xdr:rowOff>
                  </from>
                  <to>
                    <xdr:col>7</xdr:col>
                    <xdr:colOff>876300</xdr:colOff>
                    <xdr:row>57</xdr:row>
                    <xdr:rowOff>198120</xdr:rowOff>
                  </to>
                </anchor>
              </controlPr>
            </control>
          </mc:Choice>
        </mc:AlternateContent>
        <mc:AlternateContent xmlns:mc="http://schemas.openxmlformats.org/markup-compatibility/2006">
          <mc:Choice Requires="x14">
            <control shapeId="673872" r:id="rId21" name="Drop Down 80">
              <controlPr defaultSize="0" autoLine="0" autoPict="0">
                <anchor moveWithCells="1">
                  <from>
                    <xdr:col>7</xdr:col>
                    <xdr:colOff>0</xdr:colOff>
                    <xdr:row>59</xdr:row>
                    <xdr:rowOff>0</xdr:rowOff>
                  </from>
                  <to>
                    <xdr:col>7</xdr:col>
                    <xdr:colOff>876300</xdr:colOff>
                    <xdr:row>59</xdr:row>
                    <xdr:rowOff>198120</xdr:rowOff>
                  </to>
                </anchor>
              </controlPr>
            </control>
          </mc:Choice>
        </mc:AlternateContent>
        <mc:AlternateContent xmlns:mc="http://schemas.openxmlformats.org/markup-compatibility/2006">
          <mc:Choice Requires="x14">
            <control shapeId="673873" r:id="rId22" name="Drop Down 81">
              <controlPr defaultSize="0" autoLine="0" autoPict="0">
                <anchor moveWithCells="1">
                  <from>
                    <xdr:col>7</xdr:col>
                    <xdr:colOff>0</xdr:colOff>
                    <xdr:row>60</xdr:row>
                    <xdr:rowOff>0</xdr:rowOff>
                  </from>
                  <to>
                    <xdr:col>7</xdr:col>
                    <xdr:colOff>876300</xdr:colOff>
                    <xdr:row>60</xdr:row>
                    <xdr:rowOff>198120</xdr:rowOff>
                  </to>
                </anchor>
              </controlPr>
            </control>
          </mc:Choice>
        </mc:AlternateContent>
        <mc:AlternateContent xmlns:mc="http://schemas.openxmlformats.org/markup-compatibility/2006">
          <mc:Choice Requires="x14">
            <control shapeId="673874" r:id="rId23" name="Drop Down 82">
              <controlPr defaultSize="0" autoLine="0" autoPict="0">
                <anchor moveWithCells="1">
                  <from>
                    <xdr:col>7</xdr:col>
                    <xdr:colOff>0</xdr:colOff>
                    <xdr:row>61</xdr:row>
                    <xdr:rowOff>0</xdr:rowOff>
                  </from>
                  <to>
                    <xdr:col>7</xdr:col>
                    <xdr:colOff>876300</xdr:colOff>
                    <xdr:row>61</xdr:row>
                    <xdr:rowOff>198120</xdr:rowOff>
                  </to>
                </anchor>
              </controlPr>
            </control>
          </mc:Choice>
        </mc:AlternateContent>
        <mc:AlternateContent xmlns:mc="http://schemas.openxmlformats.org/markup-compatibility/2006">
          <mc:Choice Requires="x14">
            <control shapeId="673877" r:id="rId24" name="Drop Down 85">
              <controlPr defaultSize="0" autoLine="0" autoPict="0">
                <anchor moveWithCells="1">
                  <from>
                    <xdr:col>7</xdr:col>
                    <xdr:colOff>0</xdr:colOff>
                    <xdr:row>47</xdr:row>
                    <xdr:rowOff>0</xdr:rowOff>
                  </from>
                  <to>
                    <xdr:col>7</xdr:col>
                    <xdr:colOff>876300</xdr:colOff>
                    <xdr:row>47</xdr:row>
                    <xdr:rowOff>198120</xdr:rowOff>
                  </to>
                </anchor>
              </controlPr>
            </control>
          </mc:Choice>
        </mc:AlternateContent>
        <mc:AlternateContent xmlns:mc="http://schemas.openxmlformats.org/markup-compatibility/2006">
          <mc:Choice Requires="x14">
            <control shapeId="673878" r:id="rId25" name="Drop Down 86">
              <controlPr defaultSize="0" autoLine="0" autoPict="0">
                <anchor moveWithCells="1">
                  <from>
                    <xdr:col>7</xdr:col>
                    <xdr:colOff>0</xdr:colOff>
                    <xdr:row>42</xdr:row>
                    <xdr:rowOff>0</xdr:rowOff>
                  </from>
                  <to>
                    <xdr:col>7</xdr:col>
                    <xdr:colOff>876300</xdr:colOff>
                    <xdr:row>42</xdr:row>
                    <xdr:rowOff>198120</xdr:rowOff>
                  </to>
                </anchor>
              </controlPr>
            </control>
          </mc:Choice>
        </mc:AlternateContent>
        <mc:AlternateContent xmlns:mc="http://schemas.openxmlformats.org/markup-compatibility/2006">
          <mc:Choice Requires="x14">
            <control shapeId="673879" r:id="rId26" name="Drop Down 87">
              <controlPr defaultSize="0" autoLine="0" autoPict="0">
                <anchor moveWithCells="1">
                  <from>
                    <xdr:col>7</xdr:col>
                    <xdr:colOff>0</xdr:colOff>
                    <xdr:row>43</xdr:row>
                    <xdr:rowOff>0</xdr:rowOff>
                  </from>
                  <to>
                    <xdr:col>7</xdr:col>
                    <xdr:colOff>876300</xdr:colOff>
                    <xdr:row>43</xdr:row>
                    <xdr:rowOff>198120</xdr:rowOff>
                  </to>
                </anchor>
              </controlPr>
            </control>
          </mc:Choice>
        </mc:AlternateContent>
        <mc:AlternateContent xmlns:mc="http://schemas.openxmlformats.org/markup-compatibility/2006">
          <mc:Choice Requires="x14">
            <control shapeId="674328" r:id="rId27" name="Drop Down 536">
              <controlPr defaultSize="0" autoLine="0" autoPict="0">
                <anchor moveWithCells="1">
                  <from>
                    <xdr:col>5</xdr:col>
                    <xdr:colOff>1173480</xdr:colOff>
                    <xdr:row>48</xdr:row>
                    <xdr:rowOff>7620</xdr:rowOff>
                  </from>
                  <to>
                    <xdr:col>6</xdr:col>
                    <xdr:colOff>640080</xdr:colOff>
                    <xdr:row>49</xdr:row>
                    <xdr:rowOff>0</xdr:rowOff>
                  </to>
                </anchor>
              </controlPr>
            </control>
          </mc:Choice>
        </mc:AlternateContent>
        <mc:AlternateContent xmlns:mc="http://schemas.openxmlformats.org/markup-compatibility/2006">
          <mc:Choice Requires="x14">
            <control shapeId="674330" r:id="rId28" name="Drop Down 538">
              <controlPr defaultSize="0" autoLine="0" autoPict="0">
                <anchor moveWithCells="1">
                  <from>
                    <xdr:col>5</xdr:col>
                    <xdr:colOff>1173480</xdr:colOff>
                    <xdr:row>49</xdr:row>
                    <xdr:rowOff>0</xdr:rowOff>
                  </from>
                  <to>
                    <xdr:col>6</xdr:col>
                    <xdr:colOff>640080</xdr:colOff>
                    <xdr:row>49</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rgb="FFFFFF00"/>
    <pageSetUpPr fitToPage="1"/>
  </sheetPr>
  <dimension ref="A1:Y129"/>
  <sheetViews>
    <sheetView zoomScale="66" zoomScaleNormal="85" zoomScaleSheetLayoutView="80" workbookViewId="0">
      <selection activeCell="AD89" sqref="AD89"/>
    </sheetView>
  </sheetViews>
  <sheetFormatPr defaultColWidth="9.109375" defaultRowHeight="13.2" x14ac:dyDescent="0.25"/>
  <cols>
    <col min="1" max="13" width="9.109375" style="493"/>
    <col min="14" max="14" width="11.88671875" style="493" customWidth="1"/>
    <col min="15" max="16" width="9.109375" style="493"/>
    <col min="17" max="17" width="15.6640625" style="493" customWidth="1"/>
    <col min="18" max="16384" width="9.109375" style="493"/>
  </cols>
  <sheetData>
    <row r="1" spans="1:23" s="492" customFormat="1" ht="47.25" customHeight="1" x14ac:dyDescent="0.3">
      <c r="A1" s="560" t="s">
        <v>751</v>
      </c>
      <c r="B1" s="561"/>
      <c r="C1" s="561"/>
      <c r="D1" s="561"/>
      <c r="E1" s="561"/>
      <c r="F1" s="561"/>
      <c r="G1" s="561"/>
      <c r="H1" s="561"/>
      <c r="I1" s="561"/>
      <c r="J1" s="561"/>
      <c r="K1" s="561"/>
      <c r="L1" s="561"/>
      <c r="M1" s="561"/>
      <c r="N1" s="561"/>
      <c r="O1" s="561"/>
      <c r="P1" s="561"/>
      <c r="Q1" s="561"/>
    </row>
    <row r="2" spans="1:23" ht="20.399999999999999" x14ac:dyDescent="0.35">
      <c r="M2" s="494"/>
      <c r="W2" s="494"/>
    </row>
    <row r="3" spans="1:23" ht="20.399999999999999" x14ac:dyDescent="0.35">
      <c r="B3" s="494" t="s">
        <v>748</v>
      </c>
    </row>
    <row r="5" spans="1:23" ht="20.399999999999999" x14ac:dyDescent="0.25">
      <c r="O5" s="495"/>
    </row>
    <row r="6" spans="1:23" ht="20.399999999999999" x14ac:dyDescent="0.25">
      <c r="O6" s="495"/>
    </row>
    <row r="31" spans="15:15" ht="20.399999999999999" x14ac:dyDescent="0.25">
      <c r="O31" s="496"/>
    </row>
    <row r="32" spans="15:15" ht="20.399999999999999" x14ac:dyDescent="0.25">
      <c r="O32" s="495"/>
    </row>
    <row r="46" spans="2:2" ht="20.399999999999999" x14ac:dyDescent="0.35">
      <c r="B46" s="494" t="s">
        <v>760</v>
      </c>
    </row>
    <row r="50" spans="15:25" ht="20.399999999999999" x14ac:dyDescent="0.25">
      <c r="O50" s="495" t="s">
        <v>761</v>
      </c>
    </row>
    <row r="51" spans="15:25" ht="20.399999999999999" x14ac:dyDescent="0.25">
      <c r="O51" s="495" t="s">
        <v>762</v>
      </c>
      <c r="Y51" s="493" t="s">
        <v>749</v>
      </c>
    </row>
    <row r="76" spans="15:15" ht="20.399999999999999" x14ac:dyDescent="0.25">
      <c r="O76" s="496" t="s">
        <v>763</v>
      </c>
    </row>
    <row r="77" spans="15:15" ht="20.399999999999999" x14ac:dyDescent="0.25">
      <c r="O77" s="495"/>
    </row>
    <row r="102" spans="15:15" ht="20.399999999999999" x14ac:dyDescent="0.25">
      <c r="O102" s="496" t="s">
        <v>764</v>
      </c>
    </row>
    <row r="129" spans="15:15" ht="20.399999999999999" x14ac:dyDescent="0.25">
      <c r="O129" s="495" t="s">
        <v>765</v>
      </c>
    </row>
  </sheetData>
  <sheetProtection algorithmName="SHA-512" hashValue="mfqg14JXM7eQdMxfIbAbyQXXoLaBzh7E+vHpbegv5G7PmoVFz5ldxzWC/I3iiTlNv+ZGdrk2NJefeD8Bt6E9aQ==" saltValue="vwGsBJHwmwVGMufLkpoxbQ==" spinCount="100000" sheet="1" objects="1" scenarios="1" selectLockedCells="1"/>
  <mergeCells count="1">
    <mergeCell ref="A1:Q1"/>
  </mergeCells>
  <phoneticPr fontId="106"/>
  <pageMargins left="0.19" right="0.2" top="0.75" bottom="0.75" header="0.3" footer="0.3"/>
  <pageSetup scale="3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V349"/>
  <sheetViews>
    <sheetView workbookViewId="0">
      <pane ySplit="5" topLeftCell="A123" activePane="bottomLeft" state="frozenSplit"/>
      <selection pane="bottomLeft" activeCell="A6" sqref="A6"/>
    </sheetView>
  </sheetViews>
  <sheetFormatPr defaultRowHeight="13.2" x14ac:dyDescent="0.25"/>
  <cols>
    <col min="1" max="1" width="35.109375" bestFit="1" customWidth="1"/>
    <col min="2" max="2" width="19.109375" customWidth="1"/>
    <col min="7" max="7" width="18.88671875" customWidth="1"/>
    <col min="9" max="10" width="12.44140625" bestFit="1" customWidth="1"/>
    <col min="12" max="12" width="19.88671875" customWidth="1"/>
    <col min="14" max="14" width="11.44140625" customWidth="1"/>
    <col min="17" max="17" width="10.5546875" customWidth="1"/>
    <col min="20" max="20" width="10.88671875" customWidth="1"/>
    <col min="21" max="21" width="10.5546875" customWidth="1"/>
  </cols>
  <sheetData>
    <row r="1" spans="1:22" ht="40.5" customHeight="1" x14ac:dyDescent="0.5">
      <c r="A1" s="563" t="s">
        <v>286</v>
      </c>
      <c r="B1" s="563"/>
      <c r="C1" s="563"/>
      <c r="D1" s="563"/>
      <c r="E1" s="563"/>
      <c r="F1" s="563"/>
      <c r="G1" s="563"/>
      <c r="H1" s="563"/>
    </row>
    <row r="2" spans="1:22" ht="12" customHeight="1" x14ac:dyDescent="0.25">
      <c r="A2" s="56"/>
      <c r="B2" s="56" t="s">
        <v>360</v>
      </c>
      <c r="C2" s="64"/>
      <c r="D2" s="56"/>
      <c r="E2" s="56"/>
      <c r="F2" s="56"/>
      <c r="G2" s="56"/>
      <c r="H2" s="56"/>
    </row>
    <row r="3" spans="1:22" ht="11.25" customHeight="1" x14ac:dyDescent="0.25">
      <c r="A3" s="56"/>
      <c r="B3" s="56" t="s">
        <v>420</v>
      </c>
      <c r="C3" s="65"/>
      <c r="D3" s="56"/>
      <c r="E3" s="56"/>
      <c r="F3" s="56"/>
      <c r="G3" s="56"/>
      <c r="H3" s="56"/>
    </row>
    <row r="4" spans="1:22" ht="11.25" customHeight="1" x14ac:dyDescent="0.25">
      <c r="A4" s="56"/>
      <c r="B4" s="56" t="s">
        <v>361</v>
      </c>
      <c r="C4" s="66"/>
      <c r="D4" s="56"/>
      <c r="E4" s="56"/>
      <c r="F4" s="56"/>
      <c r="G4" s="56"/>
      <c r="H4" s="56"/>
    </row>
    <row r="5" spans="1:22" x14ac:dyDescent="0.25">
      <c r="A5" s="2" t="s">
        <v>113</v>
      </c>
      <c r="B5" s="2" t="s">
        <v>8</v>
      </c>
      <c r="C5" s="2" t="s">
        <v>9</v>
      </c>
      <c r="D5" s="562" t="s">
        <v>13</v>
      </c>
      <c r="E5" s="562"/>
      <c r="F5" s="562"/>
      <c r="G5" s="562"/>
      <c r="H5" s="2" t="s">
        <v>38</v>
      </c>
    </row>
    <row r="6" spans="1:22" ht="16.2" thickBot="1" x14ac:dyDescent="0.35">
      <c r="A6" s="133" t="s">
        <v>288</v>
      </c>
      <c r="B6" s="2"/>
      <c r="C6" s="2"/>
      <c r="D6" s="56"/>
      <c r="E6" s="56"/>
      <c r="F6" s="56"/>
      <c r="G6" s="56"/>
      <c r="H6" s="2"/>
    </row>
    <row r="7" spans="1:22" x14ac:dyDescent="0.25">
      <c r="A7" s="134" t="s">
        <v>4</v>
      </c>
      <c r="B7" s="18">
        <f>'Design Regulator'!E7</f>
        <v>24</v>
      </c>
      <c r="C7" s="94" t="s">
        <v>0</v>
      </c>
      <c r="D7" s="94" t="s">
        <v>14</v>
      </c>
      <c r="E7" s="94"/>
      <c r="F7" s="94"/>
      <c r="G7" s="94"/>
      <c r="H7" s="95">
        <v>1</v>
      </c>
      <c r="U7" s="428" t="s">
        <v>755</v>
      </c>
      <c r="V7" s="500">
        <v>1</v>
      </c>
    </row>
    <row r="8" spans="1:22" x14ac:dyDescent="0.25">
      <c r="A8" s="389" t="s">
        <v>577</v>
      </c>
      <c r="B8" s="39">
        <f>'Design Regulator'!E6</f>
        <v>18</v>
      </c>
      <c r="C8" s="171" t="s">
        <v>0</v>
      </c>
      <c r="D8" s="171" t="s">
        <v>580</v>
      </c>
      <c r="H8" s="88"/>
      <c r="U8" s="428" t="s">
        <v>756</v>
      </c>
      <c r="V8" s="500">
        <v>2</v>
      </c>
    </row>
    <row r="9" spans="1:22" x14ac:dyDescent="0.25">
      <c r="A9" s="389" t="s">
        <v>576</v>
      </c>
      <c r="B9" s="39">
        <f>'Design Regulator'!E8</f>
        <v>36</v>
      </c>
      <c r="C9" s="171" t="s">
        <v>0</v>
      </c>
      <c r="D9" s="171" t="s">
        <v>581</v>
      </c>
      <c r="H9" s="88"/>
      <c r="U9" s="428" t="s">
        <v>757</v>
      </c>
      <c r="V9" s="500">
        <v>3</v>
      </c>
    </row>
    <row r="10" spans="1:22" x14ac:dyDescent="0.25">
      <c r="A10" s="87" t="s">
        <v>5</v>
      </c>
      <c r="B10" s="39">
        <f>'Design Regulator'!E9</f>
        <v>5.0999999999999996</v>
      </c>
      <c r="C10" t="s">
        <v>0</v>
      </c>
      <c r="D10" t="s">
        <v>1</v>
      </c>
      <c r="H10" s="88">
        <v>1</v>
      </c>
      <c r="U10" s="428" t="s">
        <v>758</v>
      </c>
      <c r="V10" s="500">
        <v>4</v>
      </c>
    </row>
    <row r="11" spans="1:22" x14ac:dyDescent="0.25">
      <c r="A11" s="87" t="s">
        <v>6</v>
      </c>
      <c r="B11" s="39">
        <f>'Design Regulator'!E10</f>
        <v>6</v>
      </c>
      <c r="C11" t="s">
        <v>2</v>
      </c>
      <c r="D11" t="s">
        <v>15</v>
      </c>
      <c r="H11" s="88">
        <v>1</v>
      </c>
      <c r="U11" s="428" t="s">
        <v>747</v>
      </c>
      <c r="V11" s="500">
        <v>5</v>
      </c>
    </row>
    <row r="12" spans="1:22" x14ac:dyDescent="0.25">
      <c r="A12" s="89" t="s">
        <v>7</v>
      </c>
      <c r="B12" s="354">
        <f>IF(AND('Design Regulator'!E12&lt;='Design Regulator'!E11*1.5, 'Design Regulator'!E12&gt;='Design Regulator'!E11*0.8), 'Design Regulator'!E12*1000, 'Design Regulator'!E11*1000)</f>
        <v>300000</v>
      </c>
      <c r="C12" s="171" t="s">
        <v>10</v>
      </c>
      <c r="D12" t="s">
        <v>16</v>
      </c>
      <c r="H12" s="88">
        <v>1</v>
      </c>
      <c r="T12" s="384" t="s">
        <v>752</v>
      </c>
      <c r="U12" s="501" t="str">
        <f>CHOOSE(VARIANT, "LM5145", "LM5145-Q1", "LM25145", "LM5146", "LM5146-Q1")</f>
        <v>LM25145</v>
      </c>
      <c r="V12" s="384">
        <v>3</v>
      </c>
    </row>
    <row r="13" spans="1:22" x14ac:dyDescent="0.25">
      <c r="A13" s="389" t="s">
        <v>710</v>
      </c>
      <c r="B13" s="354">
        <f>'Design Regulator'!E11*1000</f>
        <v>300000</v>
      </c>
      <c r="C13" s="171" t="s">
        <v>10</v>
      </c>
      <c r="D13" s="171" t="s">
        <v>711</v>
      </c>
      <c r="H13" s="88"/>
      <c r="T13" s="384" t="s">
        <v>753</v>
      </c>
      <c r="U13" s="501">
        <f>CHOOSE(VARIANT, 75, 75, 42, 100, 100)</f>
        <v>42</v>
      </c>
      <c r="V13" t="s">
        <v>0</v>
      </c>
    </row>
    <row r="14" spans="1:22" x14ac:dyDescent="0.25">
      <c r="A14" s="89" t="s">
        <v>78</v>
      </c>
      <c r="B14" s="90">
        <v>0.8</v>
      </c>
      <c r="C14" t="s">
        <v>0</v>
      </c>
      <c r="D14" t="s">
        <v>79</v>
      </c>
      <c r="H14" s="88"/>
      <c r="T14" s="384" t="s">
        <v>759</v>
      </c>
      <c r="U14" s="501">
        <f>CHOOSE(VARIANT, 6, 6, 6, 5.5, 5.5)</f>
        <v>6</v>
      </c>
      <c r="V14" s="171" t="s">
        <v>0</v>
      </c>
    </row>
    <row r="15" spans="1:22" x14ac:dyDescent="0.25">
      <c r="A15" s="306" t="s">
        <v>575</v>
      </c>
      <c r="B15" s="166">
        <f>1/(B13*0.0000000001)</f>
        <v>33333.333333333336</v>
      </c>
      <c r="C15" s="309" t="s">
        <v>208</v>
      </c>
      <c r="H15" s="88"/>
      <c r="T15" s="384" t="s">
        <v>754</v>
      </c>
      <c r="U15" s="501">
        <f>CHOOSE(VARIANT, 60, 60, 42, 60, 60)</f>
        <v>42</v>
      </c>
      <c r="V15" s="171" t="s">
        <v>0</v>
      </c>
    </row>
    <row r="16" spans="1:22" x14ac:dyDescent="0.25">
      <c r="A16" s="389"/>
      <c r="B16" s="63"/>
      <c r="C16" s="309"/>
      <c r="H16" s="88"/>
    </row>
    <row r="17" spans="1:22" x14ac:dyDescent="0.25">
      <c r="A17" s="389" t="s">
        <v>694</v>
      </c>
      <c r="B17" s="454">
        <f>B38/Fsw*1000000000</f>
        <v>478.33333333333331</v>
      </c>
      <c r="C17" s="171" t="s">
        <v>147</v>
      </c>
      <c r="H17" s="88"/>
    </row>
    <row r="18" spans="1:22" x14ac:dyDescent="0.25">
      <c r="A18" s="306" t="s">
        <v>693</v>
      </c>
      <c r="B18" s="455">
        <f>B37/Fsw*1000000000</f>
        <v>2376.666666666667</v>
      </c>
      <c r="C18" s="171" t="s">
        <v>147</v>
      </c>
      <c r="H18" s="88"/>
    </row>
    <row r="19" spans="1:22" ht="13.8" thickBot="1" x14ac:dyDescent="0.3">
      <c r="A19" s="91"/>
      <c r="B19" s="157"/>
      <c r="C19" s="92"/>
      <c r="D19" s="92"/>
      <c r="E19" s="92"/>
      <c r="F19" s="92"/>
      <c r="G19" s="92"/>
      <c r="H19" s="93"/>
      <c r="U19" s="428" t="s">
        <v>771</v>
      </c>
      <c r="V19" s="173">
        <v>1</v>
      </c>
    </row>
    <row r="20" spans="1:22" x14ac:dyDescent="0.25">
      <c r="U20" s="428" t="s">
        <v>766</v>
      </c>
      <c r="V20" s="173">
        <v>2</v>
      </c>
    </row>
    <row r="21" spans="1:22" x14ac:dyDescent="0.25">
      <c r="U21" s="502" t="s">
        <v>767</v>
      </c>
      <c r="V21" s="384">
        <v>1</v>
      </c>
    </row>
    <row r="22" spans="1:22" ht="16.2" thickBot="1" x14ac:dyDescent="0.35">
      <c r="A22" s="133" t="s">
        <v>112</v>
      </c>
    </row>
    <row r="23" spans="1:22" x14ac:dyDescent="0.25">
      <c r="A23" s="135" t="s">
        <v>19</v>
      </c>
      <c r="B23" s="390">
        <f>Vout/Vin</f>
        <v>0.21249999999999999</v>
      </c>
      <c r="C23" s="94" t="s">
        <v>23</v>
      </c>
      <c r="D23" s="94" t="s">
        <v>17</v>
      </c>
      <c r="E23" s="94"/>
      <c r="F23" s="94"/>
      <c r="G23" s="94"/>
      <c r="H23" s="95">
        <v>1</v>
      </c>
    </row>
    <row r="24" spans="1:22" x14ac:dyDescent="0.25">
      <c r="A24" s="96" t="s">
        <v>20</v>
      </c>
      <c r="B24" s="392">
        <f>1-23:23</f>
        <v>0.78749999999999998</v>
      </c>
      <c r="C24" t="s">
        <v>23</v>
      </c>
      <c r="D24" t="s">
        <v>18</v>
      </c>
      <c r="H24" s="88">
        <v>1</v>
      </c>
    </row>
    <row r="25" spans="1:22" x14ac:dyDescent="0.25">
      <c r="A25" s="393" t="s">
        <v>687</v>
      </c>
      <c r="B25" s="392">
        <f>Vout/Vinmin</f>
        <v>0.28333333333333333</v>
      </c>
      <c r="H25" s="88"/>
    </row>
    <row r="26" spans="1:22" x14ac:dyDescent="0.25">
      <c r="A26" s="393" t="s">
        <v>688</v>
      </c>
      <c r="B26" s="392">
        <f>1-B25</f>
        <v>0.71666666666666667</v>
      </c>
      <c r="H26" s="88"/>
    </row>
    <row r="27" spans="1:22" x14ac:dyDescent="0.25">
      <c r="A27" s="393" t="s">
        <v>579</v>
      </c>
      <c r="B27" s="392">
        <f>Vout/Vinmax</f>
        <v>0.14166666666666666</v>
      </c>
      <c r="H27" s="88"/>
    </row>
    <row r="28" spans="1:22" x14ac:dyDescent="0.25">
      <c r="A28" s="393" t="s">
        <v>578</v>
      </c>
      <c r="B28" s="392">
        <f>1-B27</f>
        <v>0.85833333333333339</v>
      </c>
      <c r="H28" s="88"/>
    </row>
    <row r="29" spans="1:22" x14ac:dyDescent="0.25">
      <c r="A29" s="393"/>
      <c r="B29" s="396"/>
      <c r="H29" s="88"/>
    </row>
    <row r="30" spans="1:22" x14ac:dyDescent="0.25">
      <c r="A30" s="96" t="s">
        <v>31</v>
      </c>
      <c r="B30" s="360">
        <f>(Vin-Vout)*_Don1/(Fsw*Iout*0.333)</f>
        <v>6.7004504504504497E-6</v>
      </c>
      <c r="C30" t="s">
        <v>24</v>
      </c>
      <c r="D30" t="s">
        <v>421</v>
      </c>
      <c r="H30" s="88">
        <v>1</v>
      </c>
    </row>
    <row r="31" spans="1:22" x14ac:dyDescent="0.25">
      <c r="A31" s="87" t="s">
        <v>32</v>
      </c>
      <c r="B31" s="114">
        <f>'Design Regulator'!E17/1000000</f>
        <v>7.4000000000000003E-6</v>
      </c>
      <c r="C31" t="s">
        <v>24</v>
      </c>
      <c r="D31" s="171" t="s">
        <v>543</v>
      </c>
      <c r="H31" s="88">
        <v>2</v>
      </c>
    </row>
    <row r="32" spans="1:22" x14ac:dyDescent="0.25">
      <c r="A32" s="87" t="s">
        <v>12</v>
      </c>
      <c r="B32" s="39">
        <f>'Design Regulator'!E18/1000</f>
        <v>5.0000000000000001E-3</v>
      </c>
      <c r="C32" s="309" t="s">
        <v>208</v>
      </c>
      <c r="D32" s="171" t="s">
        <v>419</v>
      </c>
      <c r="H32" s="88">
        <v>1</v>
      </c>
    </row>
    <row r="33" spans="1:18" x14ac:dyDescent="0.25">
      <c r="A33" s="388"/>
      <c r="C33" s="309"/>
      <c r="D33" s="171"/>
      <c r="H33" s="88"/>
    </row>
    <row r="34" spans="1:18" x14ac:dyDescent="0.25">
      <c r="A34" s="306" t="s">
        <v>21</v>
      </c>
      <c r="B34" s="453">
        <f>(Vout+(Rdcr+RdsonBot)*Iout)/(Vin+(RdsonBot-RdsonTop)*Iout)</f>
        <v>0.21524999999999997</v>
      </c>
      <c r="D34" s="2" t="s">
        <v>422</v>
      </c>
      <c r="H34" s="88">
        <v>2</v>
      </c>
    </row>
    <row r="35" spans="1:18" x14ac:dyDescent="0.25">
      <c r="A35" s="306" t="s">
        <v>22</v>
      </c>
      <c r="B35" s="453">
        <f>1-_Don2</f>
        <v>0.78475000000000006</v>
      </c>
      <c r="D35" s="2" t="s">
        <v>423</v>
      </c>
      <c r="H35" s="88">
        <v>2</v>
      </c>
    </row>
    <row r="36" spans="1:18" x14ac:dyDescent="0.25">
      <c r="A36" s="389" t="s">
        <v>689</v>
      </c>
      <c r="B36" s="453">
        <f>(Vout+(Rdcr+RdsonBot)*Iout)/(Vinmin+(RdsonBot-RdsonTop)*Iout)</f>
        <v>0.28699999999999998</v>
      </c>
      <c r="H36" s="88"/>
    </row>
    <row r="37" spans="1:18" x14ac:dyDescent="0.25">
      <c r="A37" s="389" t="s">
        <v>690</v>
      </c>
      <c r="B37" s="453">
        <f>1-B36</f>
        <v>0.71300000000000008</v>
      </c>
      <c r="H37" s="88"/>
    </row>
    <row r="38" spans="1:18" x14ac:dyDescent="0.25">
      <c r="A38" s="389" t="s">
        <v>691</v>
      </c>
      <c r="B38" s="453">
        <f>(Vout+(Rdcr+RdsonBot)*Iout)/(Vinmax+(RdsonBot-RdsonTop)*Iout)</f>
        <v>0.14349999999999999</v>
      </c>
      <c r="H38" s="88"/>
      <c r="L38" s="467" t="s">
        <v>740</v>
      </c>
      <c r="M38" s="468">
        <v>100</v>
      </c>
      <c r="N38" s="469">
        <v>1</v>
      </c>
    </row>
    <row r="39" spans="1:18" x14ac:dyDescent="0.25">
      <c r="A39" s="389" t="s">
        <v>692</v>
      </c>
      <c r="B39" s="453">
        <f>1-B38</f>
        <v>0.85650000000000004</v>
      </c>
      <c r="H39" s="88"/>
      <c r="L39" s="467" t="s">
        <v>628</v>
      </c>
      <c r="M39" s="468">
        <v>47</v>
      </c>
      <c r="N39" s="469">
        <v>2</v>
      </c>
    </row>
    <row r="40" spans="1:18" x14ac:dyDescent="0.25">
      <c r="A40" s="393"/>
      <c r="B40" s="1"/>
      <c r="H40" s="88"/>
      <c r="L40" s="467" t="s">
        <v>630</v>
      </c>
      <c r="M40" s="468">
        <v>22</v>
      </c>
      <c r="N40" s="469">
        <v>3</v>
      </c>
    </row>
    <row r="41" spans="1:18" x14ac:dyDescent="0.25">
      <c r="A41" s="87" t="s">
        <v>26</v>
      </c>
      <c r="B41" s="98">
        <f>'Design Regulator'!E31/1000</f>
        <v>0.02</v>
      </c>
      <c r="C41" t="s">
        <v>0</v>
      </c>
      <c r="D41" t="s">
        <v>27</v>
      </c>
      <c r="H41" s="88">
        <v>1</v>
      </c>
      <c r="L41" s="467" t="s">
        <v>632</v>
      </c>
      <c r="M41" s="468">
        <v>22</v>
      </c>
      <c r="N41" s="469">
        <v>4</v>
      </c>
    </row>
    <row r="42" spans="1:18" x14ac:dyDescent="0.25">
      <c r="A42" s="99" t="s">
        <v>33</v>
      </c>
      <c r="B42" s="391">
        <f>(Vin-Vout)*_Don2/(Fsw*Lout2)</f>
        <v>1.8325337837837832</v>
      </c>
      <c r="C42" t="s">
        <v>2</v>
      </c>
      <c r="D42" s="171" t="s">
        <v>544</v>
      </c>
      <c r="H42" s="88">
        <v>1</v>
      </c>
      <c r="L42" s="428" t="s">
        <v>657</v>
      </c>
      <c r="M42" s="468">
        <v>10</v>
      </c>
      <c r="N42" s="469">
        <v>5</v>
      </c>
    </row>
    <row r="43" spans="1:18" x14ac:dyDescent="0.25">
      <c r="A43" s="99" t="s">
        <v>411</v>
      </c>
      <c r="B43" s="391">
        <f>Rdcr*(1+0.0039*(F43-25))</f>
        <v>6.4625000000000004E-3</v>
      </c>
      <c r="C43" t="s">
        <v>25</v>
      </c>
      <c r="E43" t="s">
        <v>412</v>
      </c>
      <c r="F43">
        <v>100</v>
      </c>
      <c r="H43" s="88"/>
      <c r="L43" s="428" t="s">
        <v>658</v>
      </c>
      <c r="M43" s="468">
        <v>4.7</v>
      </c>
      <c r="N43" s="469">
        <v>6</v>
      </c>
    </row>
    <row r="44" spans="1:18" ht="13.8" thickBot="1" x14ac:dyDescent="0.3">
      <c r="A44" s="100" t="s">
        <v>356</v>
      </c>
      <c r="B44" s="101">
        <f>Lout2/Rdcr</f>
        <v>1.48E-3</v>
      </c>
      <c r="C44" s="92" t="s">
        <v>265</v>
      </c>
      <c r="D44" s="92" t="s">
        <v>357</v>
      </c>
      <c r="E44" s="92"/>
      <c r="F44" s="92"/>
      <c r="G44" s="92"/>
      <c r="H44" s="93"/>
      <c r="L44" s="470" t="s">
        <v>714</v>
      </c>
      <c r="M44" s="471" t="str">
        <f>CHOOSE(N44,"100", "47","22","22","10", "4.7")</f>
        <v>47</v>
      </c>
      <c r="N44" s="384">
        <f>IF(Vout&lt;5, 1, IF(Vout&lt;=8, 2, IF(Vout&lt;=12, 3, IF(Vout&lt;=20, 4, IF(Vout&lt;=42, 5, 6)))))</f>
        <v>2</v>
      </c>
      <c r="Q44" s="431" t="s">
        <v>715</v>
      </c>
      <c r="R44" s="173">
        <v>1</v>
      </c>
    </row>
    <row r="45" spans="1:18" x14ac:dyDescent="0.25">
      <c r="A45" s="2"/>
      <c r="B45" s="1"/>
      <c r="Q45" s="431" t="s">
        <v>716</v>
      </c>
      <c r="R45" s="173">
        <v>2</v>
      </c>
    </row>
    <row r="46" spans="1:18" ht="16.2" thickBot="1" x14ac:dyDescent="0.35">
      <c r="A46" s="133" t="s">
        <v>275</v>
      </c>
      <c r="B46" s="1"/>
    </row>
    <row r="47" spans="1:18" x14ac:dyDescent="0.25">
      <c r="A47" s="136"/>
      <c r="B47" s="137"/>
      <c r="C47" s="94"/>
      <c r="D47" s="94"/>
      <c r="E47" s="94"/>
      <c r="F47" s="94"/>
      <c r="G47" s="94"/>
      <c r="H47" s="95"/>
    </row>
    <row r="48" spans="1:18" x14ac:dyDescent="0.25">
      <c r="A48" s="99"/>
      <c r="B48" s="165"/>
      <c r="H48" s="88"/>
      <c r="L48" s="431" t="s">
        <v>682</v>
      </c>
      <c r="M48" s="173">
        <v>1</v>
      </c>
      <c r="N48" s="431" t="s">
        <v>679</v>
      </c>
      <c r="O48" s="63">
        <v>30</v>
      </c>
    </row>
    <row r="49" spans="1:19" x14ac:dyDescent="0.25">
      <c r="A49" s="99" t="s">
        <v>611</v>
      </c>
      <c r="B49" s="165">
        <f>'Design Regulator'!E25</f>
        <v>10</v>
      </c>
      <c r="H49" s="88"/>
      <c r="L49" s="431" t="s">
        <v>683</v>
      </c>
      <c r="M49" s="173">
        <v>2</v>
      </c>
      <c r="N49" s="431" t="s">
        <v>680</v>
      </c>
      <c r="O49" s="63">
        <v>10.9</v>
      </c>
    </row>
    <row r="50" spans="1:19" x14ac:dyDescent="0.25">
      <c r="A50" s="87" t="s">
        <v>273</v>
      </c>
      <c r="B50" s="386">
        <f>'Design Regulator'!E25-Iripple1/2</f>
        <v>9.0837331081081079</v>
      </c>
      <c r="C50" t="s">
        <v>2</v>
      </c>
      <c r="D50" s="171" t="s">
        <v>582</v>
      </c>
      <c r="H50" s="88"/>
      <c r="L50" s="431" t="s">
        <v>684</v>
      </c>
      <c r="M50" s="173">
        <v>3</v>
      </c>
      <c r="N50" s="431" t="s">
        <v>686</v>
      </c>
      <c r="O50" s="63">
        <v>66</v>
      </c>
    </row>
    <row r="51" spans="1:19" x14ac:dyDescent="0.25">
      <c r="A51" s="389" t="s">
        <v>606</v>
      </c>
      <c r="B51" s="395">
        <f>ROUND('Design Regulator'!E25+Iripple1/2,0)*1.2</f>
        <v>13.2</v>
      </c>
      <c r="C51" s="171" t="s">
        <v>2</v>
      </c>
      <c r="D51" s="171"/>
      <c r="H51" s="88"/>
      <c r="L51" s="431" t="s">
        <v>685</v>
      </c>
      <c r="M51" s="173">
        <v>4</v>
      </c>
      <c r="N51" s="431" t="s">
        <v>681</v>
      </c>
      <c r="O51" s="63">
        <v>150</v>
      </c>
    </row>
    <row r="52" spans="1:19" x14ac:dyDescent="0.25">
      <c r="A52" s="389"/>
      <c r="B52" s="401"/>
      <c r="C52" s="171"/>
      <c r="D52" s="171"/>
      <c r="H52" s="88"/>
      <c r="K52" s="429" t="s">
        <v>661</v>
      </c>
      <c r="L52" s="383" t="str">
        <f>CHOOSE(M52, L48, L49, L50, L51)</f>
        <v>SON 5 x 6</v>
      </c>
      <c r="M52" s="384">
        <v>1</v>
      </c>
    </row>
    <row r="53" spans="1:19" x14ac:dyDescent="0.25">
      <c r="A53" s="306" t="s">
        <v>591</v>
      </c>
      <c r="B53" s="102">
        <v>2.0000000000000001E-4</v>
      </c>
      <c r="C53" t="s">
        <v>2</v>
      </c>
      <c r="D53" s="171" t="s">
        <v>583</v>
      </c>
      <c r="H53" s="88"/>
    </row>
    <row r="54" spans="1:19" ht="15.6" x14ac:dyDescent="0.35">
      <c r="A54" s="389" t="s">
        <v>592</v>
      </c>
      <c r="B54" s="102">
        <v>1E-4</v>
      </c>
      <c r="C54" t="s">
        <v>2</v>
      </c>
      <c r="D54" s="171" t="s">
        <v>584</v>
      </c>
      <c r="H54" s="88"/>
      <c r="L54" s="171" t="s">
        <v>602</v>
      </c>
      <c r="M54" s="173">
        <v>1</v>
      </c>
    </row>
    <row r="55" spans="1:19" x14ac:dyDescent="0.25">
      <c r="A55" s="306" t="s">
        <v>593</v>
      </c>
      <c r="B55" s="387">
        <f>ILimit*RdsonBot/Ilim1</f>
        <v>272.51199324324324</v>
      </c>
      <c r="C55" s="309" t="s">
        <v>208</v>
      </c>
      <c r="D55" s="171" t="s">
        <v>587</v>
      </c>
      <c r="H55" s="88"/>
      <c r="L55" s="171" t="s">
        <v>603</v>
      </c>
      <c r="M55" s="173">
        <v>2</v>
      </c>
    </row>
    <row r="56" spans="1:19" x14ac:dyDescent="0.25">
      <c r="A56" s="306" t="s">
        <v>594</v>
      </c>
      <c r="B56" s="104">
        <f>'Standard Value Calculator'!S6</f>
        <v>274</v>
      </c>
      <c r="C56" s="309" t="s">
        <v>208</v>
      </c>
      <c r="D56" s="171" t="s">
        <v>586</v>
      </c>
      <c r="H56" s="88"/>
      <c r="K56" s="429" t="s">
        <v>660</v>
      </c>
      <c r="L56" s="383" t="str">
        <f>CHOOSE(RDSON_sense, L54,L55)</f>
        <v>RDS(on) sensing</v>
      </c>
      <c r="M56" s="384">
        <v>1</v>
      </c>
      <c r="N56" s="171" t="s">
        <v>574</v>
      </c>
    </row>
    <row r="57" spans="1:19" x14ac:dyDescent="0.25">
      <c r="H57" s="88"/>
      <c r="L57" s="384"/>
      <c r="M57" s="171"/>
    </row>
    <row r="58" spans="1:19" x14ac:dyDescent="0.25">
      <c r="A58" s="389" t="s">
        <v>585</v>
      </c>
      <c r="B58" s="394">
        <f>'Design Regulator'!E24/1000</f>
        <v>6.0000000000000001E-3</v>
      </c>
      <c r="C58" s="309" t="s">
        <v>208</v>
      </c>
      <c r="H58" s="88"/>
      <c r="J58" s="383"/>
      <c r="L58" s="384"/>
      <c r="M58" s="171"/>
    </row>
    <row r="59" spans="1:19" x14ac:dyDescent="0.25">
      <c r="A59" s="389" t="s">
        <v>590</v>
      </c>
      <c r="B59" s="104">
        <f>ILimit*Rshunt/Ilim2</f>
        <v>545.02398648648648</v>
      </c>
      <c r="C59" s="309" t="s">
        <v>208</v>
      </c>
      <c r="H59" s="88"/>
      <c r="K59" s="428" t="s">
        <v>740</v>
      </c>
      <c r="L59" s="2" t="s">
        <v>627</v>
      </c>
      <c r="M59" s="173">
        <v>1</v>
      </c>
      <c r="Q59" s="428"/>
      <c r="R59" s="2"/>
      <c r="S59" s="173"/>
    </row>
    <row r="60" spans="1:19" x14ac:dyDescent="0.25">
      <c r="A60" s="306" t="s">
        <v>595</v>
      </c>
      <c r="B60" s="105">
        <f>'Standard Value Calculator'!S22</f>
        <v>549</v>
      </c>
      <c r="C60" s="309" t="s">
        <v>208</v>
      </c>
      <c r="D60" s="171" t="s">
        <v>586</v>
      </c>
      <c r="H60" s="88"/>
      <c r="K60" s="428" t="s">
        <v>628</v>
      </c>
      <c r="L60" s="2" t="s">
        <v>629</v>
      </c>
      <c r="M60" s="173">
        <v>2</v>
      </c>
      <c r="Q60" s="428" t="s">
        <v>669</v>
      </c>
      <c r="R60" s="2" t="s">
        <v>629</v>
      </c>
      <c r="S60" s="173">
        <v>1</v>
      </c>
    </row>
    <row r="61" spans="1:19" x14ac:dyDescent="0.25">
      <c r="A61" s="389"/>
      <c r="B61" s="105"/>
      <c r="C61" s="309"/>
      <c r="D61" s="171"/>
      <c r="H61" s="88"/>
      <c r="K61" s="428" t="s">
        <v>630</v>
      </c>
      <c r="L61" s="2" t="s">
        <v>631</v>
      </c>
      <c r="M61" s="173">
        <v>3</v>
      </c>
      <c r="Q61" s="428" t="s">
        <v>670</v>
      </c>
      <c r="R61" s="2" t="s">
        <v>631</v>
      </c>
      <c r="S61" s="173">
        <v>2</v>
      </c>
    </row>
    <row r="62" spans="1:19" x14ac:dyDescent="0.25">
      <c r="A62" s="306" t="s">
        <v>589</v>
      </c>
      <c r="B62" s="394">
        <f>ROUND(((1-Don_Vinmax)*Iout)^2*Rshunt,2)</f>
        <v>0.16</v>
      </c>
      <c r="C62" s="171" t="s">
        <v>208</v>
      </c>
      <c r="H62" s="88"/>
      <c r="K62" s="428" t="s">
        <v>632</v>
      </c>
      <c r="L62" s="2" t="s">
        <v>633</v>
      </c>
      <c r="M62" s="173">
        <v>4</v>
      </c>
      <c r="Q62" s="428" t="s">
        <v>671</v>
      </c>
      <c r="R62" s="2" t="s">
        <v>633</v>
      </c>
      <c r="S62" s="173">
        <v>3</v>
      </c>
    </row>
    <row r="63" spans="1:19" x14ac:dyDescent="0.25">
      <c r="A63" s="389"/>
      <c r="B63" s="394"/>
      <c r="C63" s="171"/>
      <c r="H63" s="88"/>
      <c r="K63" s="428"/>
      <c r="L63" s="2"/>
      <c r="M63" s="173"/>
      <c r="Q63" s="428"/>
      <c r="R63" s="2"/>
      <c r="S63" s="173"/>
    </row>
    <row r="64" spans="1:19" x14ac:dyDescent="0.25">
      <c r="A64" s="87" t="s">
        <v>700</v>
      </c>
      <c r="B64" s="464">
        <f>0.000000006/Rilim_Rdson_ideal - 0.000000000002</f>
        <v>2.0017379597104269E-11</v>
      </c>
      <c r="C64" s="171" t="s">
        <v>34</v>
      </c>
      <c r="D64" t="s">
        <v>704</v>
      </c>
      <c r="H64" s="88"/>
      <c r="K64" s="428" t="s">
        <v>657</v>
      </c>
      <c r="L64" s="2" t="s">
        <v>634</v>
      </c>
      <c r="M64" s="173">
        <v>5</v>
      </c>
      <c r="Q64" s="428" t="s">
        <v>672</v>
      </c>
      <c r="R64" s="2" t="s">
        <v>634</v>
      </c>
      <c r="S64" s="173">
        <v>4</v>
      </c>
    </row>
    <row r="65" spans="1:19" x14ac:dyDescent="0.25">
      <c r="A65" s="87" t="s">
        <v>701</v>
      </c>
      <c r="B65" s="104">
        <f>'Standard Value Calculator'!S23</f>
        <v>22</v>
      </c>
      <c r="C65" s="171" t="s">
        <v>53</v>
      </c>
      <c r="H65" s="88"/>
      <c r="K65" s="428" t="s">
        <v>658</v>
      </c>
      <c r="L65" s="2" t="s">
        <v>659</v>
      </c>
      <c r="M65" s="173">
        <v>6</v>
      </c>
      <c r="Q65" s="428" t="s">
        <v>673</v>
      </c>
      <c r="R65" s="2" t="s">
        <v>659</v>
      </c>
      <c r="S65" s="173">
        <v>5</v>
      </c>
    </row>
    <row r="66" spans="1:19" ht="13.8" thickBot="1" x14ac:dyDescent="0.3">
      <c r="A66" s="91" t="s">
        <v>289</v>
      </c>
      <c r="B66" s="107" t="e">
        <f>Ics*Rset/Rdcr-Iripple1/2</f>
        <v>#NAME?</v>
      </c>
      <c r="C66" s="92" t="s">
        <v>2</v>
      </c>
      <c r="D66" s="175" t="s">
        <v>480</v>
      </c>
      <c r="E66" s="92"/>
      <c r="F66" s="92"/>
      <c r="G66" s="92"/>
      <c r="H66" s="93"/>
      <c r="K66" s="429" t="s">
        <v>635</v>
      </c>
      <c r="L66" s="383" t="str">
        <f>CHOOSE(M66,"6.3V","10V","16V","25V","50V","100V")</f>
        <v>10V</v>
      </c>
      <c r="M66" s="384">
        <f>IF(Vout&lt;5, 1, IF(Vout&lt;=8, 2, IF(Vout&lt;=12, 3, IF(Vout&lt;=20, 4,  IF(Vout&lt;=42, 5, 6)))))</f>
        <v>2</v>
      </c>
      <c r="Q66" s="429" t="s">
        <v>668</v>
      </c>
      <c r="R66" s="383" t="str">
        <f>CHOOSE(S66,"10V","16V","25V","50V","100V")</f>
        <v>50V</v>
      </c>
      <c r="S66" s="384">
        <f>IF(Vinmax&lt;=8,1,IF(Vinmax&lt;=12,2,IF(Vinmax&lt;=20,3,IF(Vinmax&lt;=42,4,5))))</f>
        <v>4</v>
      </c>
    </row>
    <row r="68" spans="1:19" ht="16.2" thickBot="1" x14ac:dyDescent="0.35">
      <c r="A68" s="133" t="s">
        <v>276</v>
      </c>
    </row>
    <row r="69" spans="1:19" x14ac:dyDescent="0.25">
      <c r="A69" s="134" t="s">
        <v>284</v>
      </c>
      <c r="B69" s="449">
        <f>Iripple1/SQRT(3)/2</f>
        <v>0.52900693668332532</v>
      </c>
      <c r="C69" s="174" t="s">
        <v>2</v>
      </c>
      <c r="D69" s="174" t="s">
        <v>481</v>
      </c>
      <c r="E69" s="94"/>
      <c r="F69" s="94"/>
      <c r="G69" s="94"/>
      <c r="H69" s="95"/>
      <c r="L69" s="430" t="s">
        <v>636</v>
      </c>
      <c r="M69" s="173">
        <v>1</v>
      </c>
      <c r="N69" s="171" t="s">
        <v>637</v>
      </c>
      <c r="O69" s="63">
        <v>0.5</v>
      </c>
    </row>
    <row r="70" spans="1:19" x14ac:dyDescent="0.25">
      <c r="A70" s="96" t="s">
        <v>29</v>
      </c>
      <c r="B70" s="97">
        <f>(Iripple1/(Vripple1*Fsw*8))</f>
        <v>3.817778716216215E-5</v>
      </c>
      <c r="C70" t="s">
        <v>34</v>
      </c>
      <c r="D70" t="s">
        <v>28</v>
      </c>
      <c r="H70" s="88">
        <v>1</v>
      </c>
      <c r="L70" s="430" t="s">
        <v>501</v>
      </c>
      <c r="M70" s="173">
        <v>2</v>
      </c>
      <c r="N70" s="171" t="s">
        <v>638</v>
      </c>
      <c r="O70" s="63">
        <v>1.3</v>
      </c>
    </row>
    <row r="71" spans="1:19" x14ac:dyDescent="0.25">
      <c r="A71" s="87" t="s">
        <v>36</v>
      </c>
      <c r="B71" s="39">
        <f>'Design Regulator'!E33/1000000</f>
        <v>1.3200000000000001E-4</v>
      </c>
      <c r="C71" t="s">
        <v>34</v>
      </c>
      <c r="D71" t="s">
        <v>35</v>
      </c>
      <c r="H71" s="88">
        <v>1</v>
      </c>
      <c r="L71" s="430" t="s">
        <v>639</v>
      </c>
      <c r="M71" s="173">
        <v>3</v>
      </c>
      <c r="N71" s="171" t="s">
        <v>640</v>
      </c>
      <c r="O71" s="63">
        <v>2.5</v>
      </c>
    </row>
    <row r="72" spans="1:19" x14ac:dyDescent="0.25">
      <c r="A72" s="96" t="s">
        <v>114</v>
      </c>
      <c r="B72" s="392">
        <f>SQRT((Vripple1/Iripple1)^2-(1/(Fsw*Cout*8))^2)</f>
        <v>1.0447402975915685E-2</v>
      </c>
      <c r="C72" s="309" t="s">
        <v>208</v>
      </c>
      <c r="D72" s="171" t="s">
        <v>482</v>
      </c>
      <c r="H72" s="88">
        <v>1</v>
      </c>
      <c r="L72" s="430" t="s">
        <v>641</v>
      </c>
      <c r="M72" s="173">
        <v>4</v>
      </c>
      <c r="N72" s="171" t="s">
        <v>642</v>
      </c>
      <c r="O72" s="63">
        <v>5.0999999999999996</v>
      </c>
    </row>
    <row r="73" spans="1:19" x14ac:dyDescent="0.25">
      <c r="A73" s="87" t="s">
        <v>272</v>
      </c>
      <c r="B73" s="90">
        <f>'Design Regulator'!E35/1000</f>
        <v>0.01</v>
      </c>
      <c r="C73" s="309" t="s">
        <v>208</v>
      </c>
      <c r="D73" s="171" t="s">
        <v>483</v>
      </c>
      <c r="H73" s="88">
        <v>1</v>
      </c>
      <c r="L73" s="430" t="s">
        <v>643</v>
      </c>
      <c r="M73" s="173">
        <v>5</v>
      </c>
      <c r="N73" s="171" t="s">
        <v>644</v>
      </c>
      <c r="O73" s="63">
        <v>8</v>
      </c>
    </row>
    <row r="74" spans="1:19" ht="13.8" thickBot="1" x14ac:dyDescent="0.3">
      <c r="A74" s="108" t="s">
        <v>363</v>
      </c>
      <c r="B74" s="448">
        <f>Iripple1*SQRT(CoutEsr^2+(1/(8*Fsw*Cout))^2)</f>
        <v>1.9216623009929983E-2</v>
      </c>
      <c r="C74" s="157" t="s">
        <v>75</v>
      </c>
      <c r="D74" s="92"/>
      <c r="E74" s="92"/>
      <c r="F74" s="92"/>
      <c r="G74" s="92"/>
      <c r="H74" s="93"/>
      <c r="K74" s="429" t="s">
        <v>645</v>
      </c>
      <c r="L74" s="383" t="str">
        <f>CHOOSE(M74,"0402","0603","0805","1206","1210")</f>
        <v>1210</v>
      </c>
      <c r="M74" s="384">
        <v>5</v>
      </c>
      <c r="N74" s="383" t="str">
        <f>CHOOSE(M74,N69,N70, N71,N72,N73)</f>
        <v>3.2 x 2.5</v>
      </c>
    </row>
    <row r="76" spans="1:19" ht="13.8" thickBot="1" x14ac:dyDescent="0.3"/>
    <row r="77" spans="1:19" ht="15.6" x14ac:dyDescent="0.3">
      <c r="A77" s="144" t="s">
        <v>277</v>
      </c>
      <c r="B77" s="145"/>
      <c r="C77" s="145"/>
      <c r="D77" s="145"/>
      <c r="E77" s="145"/>
      <c r="F77" s="145"/>
      <c r="G77" s="145"/>
      <c r="H77" s="146"/>
    </row>
    <row r="78" spans="1:19" x14ac:dyDescent="0.25">
      <c r="A78" s="147" t="s">
        <v>416</v>
      </c>
      <c r="B78" s="112">
        <f>'Design Regulator'!E40/1000</f>
        <v>0.05</v>
      </c>
      <c r="C78" t="s">
        <v>75</v>
      </c>
      <c r="H78" s="148"/>
      <c r="L78" s="171" t="s">
        <v>646</v>
      </c>
      <c r="M78" s="173">
        <v>1</v>
      </c>
      <c r="N78" s="431" t="s">
        <v>647</v>
      </c>
      <c r="O78" s="63">
        <v>9</v>
      </c>
    </row>
    <row r="79" spans="1:19" x14ac:dyDescent="0.25">
      <c r="A79" s="149" t="s">
        <v>283</v>
      </c>
      <c r="B79" s="168">
        <f>Iout*SQRT(_Don2*Doff2)</f>
        <v>2.4659739962132612</v>
      </c>
      <c r="C79" s="142" t="s">
        <v>2</v>
      </c>
      <c r="H79" s="148"/>
      <c r="L79" s="171" t="s">
        <v>648</v>
      </c>
      <c r="M79" s="173">
        <v>2</v>
      </c>
      <c r="N79" s="431" t="s">
        <v>649</v>
      </c>
      <c r="O79" s="63">
        <v>16</v>
      </c>
    </row>
    <row r="80" spans="1:19" x14ac:dyDescent="0.25">
      <c r="A80" s="149" t="s">
        <v>415</v>
      </c>
      <c r="B80" s="154">
        <f>Iout*_Don2*(1-_Don2)/(Vinripple1*Fsw)</f>
        <v>6.756697499999999E-5</v>
      </c>
      <c r="C80" s="142" t="s">
        <v>34</v>
      </c>
      <c r="H80" s="148"/>
      <c r="L80" s="171" t="s">
        <v>650</v>
      </c>
      <c r="M80" s="173">
        <v>3</v>
      </c>
      <c r="N80" s="431" t="s">
        <v>651</v>
      </c>
      <c r="O80" s="63">
        <v>25</v>
      </c>
    </row>
    <row r="81" spans="1:15" x14ac:dyDescent="0.25">
      <c r="A81" s="149" t="s">
        <v>127</v>
      </c>
      <c r="B81" s="143">
        <f>'Design Regulator'!E42/1000000</f>
        <v>1.1E-4</v>
      </c>
      <c r="C81" s="142" t="s">
        <v>34</v>
      </c>
      <c r="D81" t="s">
        <v>287</v>
      </c>
      <c r="H81" s="148"/>
      <c r="L81" s="171" t="s">
        <v>652</v>
      </c>
      <c r="M81" s="173">
        <v>4</v>
      </c>
      <c r="N81" s="431" t="s">
        <v>653</v>
      </c>
      <c r="O81" s="63">
        <v>36</v>
      </c>
    </row>
    <row r="82" spans="1:15" x14ac:dyDescent="0.25">
      <c r="A82" s="149" t="s">
        <v>417</v>
      </c>
      <c r="B82" s="155">
        <f>-(Iout*_Don2*(1-_Don2)/(Cin*Fsw)-Vinripple1)/(Iout+Iripple1/2)</f>
        <v>2.7887499048041549E-3</v>
      </c>
      <c r="C82" s="309" t="s">
        <v>208</v>
      </c>
      <c r="H82" s="148"/>
      <c r="L82" s="171" t="s">
        <v>654</v>
      </c>
      <c r="M82" s="173">
        <v>5</v>
      </c>
      <c r="N82" s="431" t="s">
        <v>655</v>
      </c>
      <c r="O82" s="63">
        <v>49</v>
      </c>
    </row>
    <row r="83" spans="1:15" x14ac:dyDescent="0.25">
      <c r="A83" s="149" t="s">
        <v>159</v>
      </c>
      <c r="B83" s="143">
        <f>'Design Regulator'!E44/1000</f>
        <v>2E-3</v>
      </c>
      <c r="C83" s="309" t="s">
        <v>208</v>
      </c>
      <c r="D83" s="171" t="s">
        <v>484</v>
      </c>
      <c r="H83" s="148"/>
      <c r="L83" s="171" t="s">
        <v>662</v>
      </c>
      <c r="M83" s="173">
        <v>6</v>
      </c>
      <c r="N83" s="431" t="s">
        <v>663</v>
      </c>
      <c r="O83" s="63">
        <v>64</v>
      </c>
    </row>
    <row r="84" spans="1:15" x14ac:dyDescent="0.25">
      <c r="A84" s="149" t="s">
        <v>418</v>
      </c>
      <c r="B84" s="169">
        <f>Iout*_Don2*(1-_Don2)/(Cin*Fsw)+(Iout +Iripple1/2)*RCinEsr</f>
        <v>4.4544795147420144E-2</v>
      </c>
      <c r="C84" s="142" t="s">
        <v>75</v>
      </c>
      <c r="H84" s="148"/>
      <c r="L84" s="171" t="s">
        <v>664</v>
      </c>
      <c r="M84" s="173">
        <v>7</v>
      </c>
      <c r="N84" s="431" t="s">
        <v>665</v>
      </c>
      <c r="O84" s="63">
        <v>100</v>
      </c>
    </row>
    <row r="85" spans="1:15" ht="13.8" thickBot="1" x14ac:dyDescent="0.3">
      <c r="A85" s="150"/>
      <c r="B85" s="156">
        <f>Iout*_Don1*(1-_Don1)/(Cin*Fsw)</f>
        <v>3.042613636363636E-2</v>
      </c>
      <c r="C85" s="151"/>
      <c r="D85" s="152"/>
      <c r="E85" s="152"/>
      <c r="F85" s="152"/>
      <c r="G85" s="152"/>
      <c r="H85" s="153"/>
      <c r="L85" s="171" t="s">
        <v>666</v>
      </c>
      <c r="M85" s="173">
        <v>8</v>
      </c>
      <c r="N85" s="431" t="s">
        <v>667</v>
      </c>
      <c r="O85" s="63">
        <v>144</v>
      </c>
    </row>
    <row r="86" spans="1:15" x14ac:dyDescent="0.25">
      <c r="K86" s="429" t="s">
        <v>656</v>
      </c>
      <c r="L86" s="383" t="str">
        <f>CHOOSE(M86,L78,L79, L80, L81, L82, L83, L84, L85)</f>
        <v>12mm x 12mm</v>
      </c>
      <c r="M86" s="384">
        <v>8</v>
      </c>
      <c r="N86" s="383" t="str">
        <f>CHOOSE(M86,N78,N79, N80,N81,N82, N83, N84, N85)</f>
        <v>12.0 x 12.0</v>
      </c>
      <c r="O86" s="383"/>
    </row>
    <row r="87" spans="1:15" ht="16.2" thickBot="1" x14ac:dyDescent="0.35">
      <c r="A87" s="133" t="s">
        <v>290</v>
      </c>
    </row>
    <row r="88" spans="1:15" x14ac:dyDescent="0.25">
      <c r="A88" s="134" t="s">
        <v>292</v>
      </c>
      <c r="B88" s="18">
        <f>'Design Regulator'!E49/1000</f>
        <v>8.0000000000000002E-3</v>
      </c>
      <c r="C88" s="94" t="s">
        <v>265</v>
      </c>
      <c r="D88" s="94" t="s">
        <v>293</v>
      </c>
      <c r="E88" s="94"/>
      <c r="F88" s="94"/>
      <c r="G88" s="94"/>
      <c r="H88" s="95"/>
    </row>
    <row r="89" spans="1:15" x14ac:dyDescent="0.25">
      <c r="A89" s="87" t="s">
        <v>294</v>
      </c>
      <c r="B89" s="103">
        <f>Cout*Vout/Tss</f>
        <v>8.4150000000000003E-2</v>
      </c>
      <c r="C89" t="s">
        <v>2</v>
      </c>
      <c r="D89" s="171" t="s">
        <v>440</v>
      </c>
      <c r="H89" s="88"/>
    </row>
    <row r="90" spans="1:15" x14ac:dyDescent="0.25">
      <c r="A90" s="87" t="s">
        <v>295</v>
      </c>
      <c r="B90" s="110">
        <f>0.00001*Tss/0.8</f>
        <v>9.9999999999999995E-8</v>
      </c>
      <c r="C90" t="s">
        <v>34</v>
      </c>
      <c r="H90" s="88"/>
    </row>
    <row r="91" spans="1:15" ht="13.8" thickBot="1" x14ac:dyDescent="0.3">
      <c r="A91" s="91" t="s">
        <v>311</v>
      </c>
      <c r="B91" s="109">
        <f>'Standard Value Calculator'!B4</f>
        <v>9.9999999999999995E-8</v>
      </c>
      <c r="C91" s="92" t="s">
        <v>34</v>
      </c>
      <c r="D91" s="92"/>
      <c r="E91" s="92"/>
      <c r="F91" s="92"/>
      <c r="G91" s="92"/>
      <c r="H91" s="93"/>
    </row>
    <row r="93" spans="1:15" ht="16.2" thickBot="1" x14ac:dyDescent="0.35">
      <c r="A93" s="133" t="s">
        <v>329</v>
      </c>
    </row>
    <row r="94" spans="1:15" x14ac:dyDescent="0.25">
      <c r="A94" s="305"/>
      <c r="B94" s="138"/>
      <c r="C94" s="174"/>
      <c r="D94" s="94"/>
      <c r="E94" s="94"/>
      <c r="F94" s="94"/>
      <c r="G94" s="94"/>
      <c r="H94" s="95"/>
    </row>
    <row r="95" spans="1:15" ht="15.6" x14ac:dyDescent="0.35">
      <c r="A95" s="306" t="s">
        <v>486</v>
      </c>
      <c r="B95" s="54">
        <f>'Design Regulator'!E51</f>
        <v>8.33</v>
      </c>
      <c r="C95" s="171" t="s">
        <v>0</v>
      </c>
      <c r="H95" s="88"/>
    </row>
    <row r="96" spans="1:15" ht="15.6" x14ac:dyDescent="0.35">
      <c r="A96" s="306" t="s">
        <v>487</v>
      </c>
      <c r="B96" s="54">
        <f>'Design Regulator'!E52</f>
        <v>7.58</v>
      </c>
      <c r="C96" s="171" t="s">
        <v>0</v>
      </c>
      <c r="H96" s="88"/>
    </row>
    <row r="97" spans="1:8" ht="15.6" x14ac:dyDescent="0.35">
      <c r="A97" s="306" t="s">
        <v>516</v>
      </c>
      <c r="B97" s="63">
        <f>(VINuvlo_off-VINuvlo_on*Vuvlo_off/Vuvlo_on)/(Iuvlo1*Vuvlo_off/Vuvlo_on-Iuvlo2)</f>
        <v>75</v>
      </c>
      <c r="C97" s="55" t="s">
        <v>493</v>
      </c>
      <c r="D97">
        <f>'Standard Value Calculator'!S16</f>
        <v>75</v>
      </c>
      <c r="E97" s="55" t="s">
        <v>493</v>
      </c>
      <c r="F97" s="54">
        <f>IF(Ruvlo1&lt;0,"N/A",D97)</f>
        <v>75</v>
      </c>
      <c r="G97" s="54" t="str">
        <f>IF(Ruvlo1&lt;0,"N/A",D97&amp;"kΩ")</f>
        <v>75kΩ</v>
      </c>
      <c r="H97" s="88"/>
    </row>
    <row r="98" spans="1:8" ht="15.75" customHeight="1" x14ac:dyDescent="0.35">
      <c r="A98" s="306" t="s">
        <v>517</v>
      </c>
      <c r="B98" s="307">
        <f>D97*Vuvlo_on/(VINuvlo_on-Vuvlo_on+Ruvlo1*Iuvlo1)</f>
        <v>12.622720897615709</v>
      </c>
      <c r="C98" s="55" t="s">
        <v>493</v>
      </c>
      <c r="D98">
        <f>'Standard Value Calculator'!S17</f>
        <v>12.700000000000001</v>
      </c>
      <c r="E98" s="55" t="s">
        <v>493</v>
      </c>
      <c r="F98" s="54">
        <f>IF(F97="N/A","N/A",D98)</f>
        <v>12.700000000000001</v>
      </c>
      <c r="G98" s="54" t="str">
        <f>IF(G97="N/A","N/A",D98&amp;"kΩ")</f>
        <v>12.7kΩ</v>
      </c>
      <c r="H98" s="88"/>
    </row>
    <row r="99" spans="1:8" ht="15.75" customHeight="1" x14ac:dyDescent="0.3">
      <c r="A99" s="306"/>
      <c r="B99" s="307"/>
      <c r="C99" s="55"/>
      <c r="E99" s="55"/>
      <c r="H99" s="88"/>
    </row>
    <row r="100" spans="1:8" ht="15.75" customHeight="1" x14ac:dyDescent="0.35">
      <c r="A100" s="306" t="s">
        <v>494</v>
      </c>
      <c r="B100" s="307">
        <f>(D97+D98)/D98*Vuvlo_on-Iuvlo1*D97</f>
        <v>8.2866141732283456</v>
      </c>
      <c r="C100" s="55"/>
      <c r="E100" s="55"/>
      <c r="H100" s="88"/>
    </row>
    <row r="101" spans="1:8" ht="15.75" customHeight="1" x14ac:dyDescent="0.35">
      <c r="A101" s="306" t="s">
        <v>495</v>
      </c>
      <c r="B101" s="307">
        <f>(D97+D98)/D98*Vuvlo_off-Iuvlo2*D97</f>
        <v>7.5366141732283456</v>
      </c>
      <c r="C101" s="55"/>
      <c r="E101" s="55"/>
      <c r="H101" s="88"/>
    </row>
    <row r="102" spans="1:8" ht="15.75" customHeight="1" x14ac:dyDescent="0.3">
      <c r="A102" s="306"/>
      <c r="B102" s="307"/>
      <c r="C102" s="55"/>
      <c r="E102" s="55"/>
      <c r="H102" s="88"/>
    </row>
    <row r="103" spans="1:8" ht="15.75" customHeight="1" x14ac:dyDescent="0.25">
      <c r="A103" s="306"/>
      <c r="B103" s="54"/>
      <c r="H103" s="88"/>
    </row>
    <row r="104" spans="1:8" ht="15.75" customHeight="1" x14ac:dyDescent="0.25">
      <c r="A104" s="306" t="s">
        <v>488</v>
      </c>
      <c r="B104" s="54">
        <v>1.2</v>
      </c>
      <c r="H104" s="88"/>
    </row>
    <row r="105" spans="1:8" ht="15.75" customHeight="1" x14ac:dyDescent="0.25">
      <c r="A105" s="306" t="s">
        <v>489</v>
      </c>
      <c r="B105" s="54">
        <v>1.2</v>
      </c>
      <c r="H105" s="88"/>
    </row>
    <row r="106" spans="1:8" ht="15.75" customHeight="1" x14ac:dyDescent="0.25">
      <c r="A106" s="306" t="s">
        <v>489</v>
      </c>
      <c r="B106" s="54">
        <f>B104-B105</f>
        <v>0</v>
      </c>
      <c r="H106" s="88"/>
    </row>
    <row r="107" spans="1:8" ht="15.75" customHeight="1" x14ac:dyDescent="0.25">
      <c r="A107" s="306" t="s">
        <v>492</v>
      </c>
      <c r="B107" s="54">
        <v>0</v>
      </c>
      <c r="H107" s="88"/>
    </row>
    <row r="108" spans="1:8" ht="15.75" customHeight="1" x14ac:dyDescent="0.25">
      <c r="A108" s="306" t="s">
        <v>490</v>
      </c>
      <c r="B108" s="54">
        <v>0.01</v>
      </c>
      <c r="H108" s="88"/>
    </row>
    <row r="109" spans="1:8" ht="15.75" customHeight="1" x14ac:dyDescent="0.25">
      <c r="A109" s="306" t="s">
        <v>491</v>
      </c>
      <c r="B109" s="54">
        <f>B108-B107</f>
        <v>0.01</v>
      </c>
      <c r="H109" s="88"/>
    </row>
    <row r="110" spans="1:8" ht="15.75" customHeight="1" x14ac:dyDescent="0.25">
      <c r="A110" s="306"/>
      <c r="B110" s="54"/>
      <c r="H110" s="88"/>
    </row>
    <row r="111" spans="1:8" ht="15.75" customHeight="1" x14ac:dyDescent="0.35">
      <c r="A111" s="87" t="s">
        <v>331</v>
      </c>
      <c r="B111" s="54"/>
      <c r="C111" s="309" t="s">
        <v>208</v>
      </c>
      <c r="H111" s="88"/>
    </row>
    <row r="112" spans="1:8" ht="15.75" customHeight="1" x14ac:dyDescent="0.35">
      <c r="A112" s="87" t="s">
        <v>332</v>
      </c>
      <c r="B112" s="54"/>
      <c r="C112" s="309" t="s">
        <v>208</v>
      </c>
      <c r="H112" s="88"/>
    </row>
    <row r="113" spans="1:8" ht="15.75" customHeight="1" x14ac:dyDescent="0.25">
      <c r="A113" s="87" t="s">
        <v>306</v>
      </c>
      <c r="B113" s="54"/>
      <c r="C113" s="309" t="s">
        <v>208</v>
      </c>
      <c r="H113" s="88"/>
    </row>
    <row r="114" spans="1:8" ht="15.75" customHeight="1" x14ac:dyDescent="0.25">
      <c r="A114" s="87" t="s">
        <v>429</v>
      </c>
      <c r="B114" s="54" t="e">
        <f>80700/(Totp+273)*398</f>
        <v>#NAME?</v>
      </c>
      <c r="C114" s="309" t="s">
        <v>208</v>
      </c>
      <c r="H114" s="88"/>
    </row>
    <row r="115" spans="1:8" ht="15.75" customHeight="1" x14ac:dyDescent="0.25">
      <c r="A115" s="87"/>
      <c r="B115" s="54"/>
      <c r="H115" s="88"/>
    </row>
    <row r="116" spans="1:8" x14ac:dyDescent="0.25">
      <c r="A116" s="87"/>
      <c r="B116" s="54"/>
      <c r="H116" s="88"/>
    </row>
    <row r="117" spans="1:8" x14ac:dyDescent="0.25">
      <c r="A117" s="87" t="s">
        <v>333</v>
      </c>
      <c r="B117" s="54">
        <v>100</v>
      </c>
      <c r="C117" s="171" t="s">
        <v>53</v>
      </c>
      <c r="H117" s="88"/>
    </row>
    <row r="118" spans="1:8" x14ac:dyDescent="0.25">
      <c r="A118" s="87"/>
      <c r="B118" s="54"/>
      <c r="H118" s="88"/>
    </row>
    <row r="119" spans="1:8" ht="13.8" thickBot="1" x14ac:dyDescent="0.3">
      <c r="A119" s="91"/>
      <c r="B119" s="111"/>
      <c r="C119" s="92"/>
      <c r="D119" s="92"/>
      <c r="E119" s="92"/>
      <c r="F119" s="92"/>
      <c r="G119" s="92"/>
      <c r="H119" s="93"/>
    </row>
    <row r="120" spans="1:8" x14ac:dyDescent="0.25">
      <c r="B120" s="54"/>
    </row>
    <row r="121" spans="1:8" ht="16.2" thickBot="1" x14ac:dyDescent="0.35">
      <c r="A121" s="133" t="s">
        <v>330</v>
      </c>
    </row>
    <row r="122" spans="1:8" x14ac:dyDescent="0.25">
      <c r="A122" s="134" t="s">
        <v>81</v>
      </c>
      <c r="B122" s="356">
        <v>10000</v>
      </c>
      <c r="C122" s="94" t="s">
        <v>49</v>
      </c>
      <c r="D122" s="174" t="s">
        <v>432</v>
      </c>
      <c r="E122" s="94"/>
      <c r="F122" s="94"/>
      <c r="G122" s="94"/>
      <c r="H122" s="95"/>
    </row>
    <row r="123" spans="1:8" x14ac:dyDescent="0.25">
      <c r="A123" s="87" t="s">
        <v>82</v>
      </c>
      <c r="B123" s="90">
        <v>5000000</v>
      </c>
      <c r="C123" t="s">
        <v>10</v>
      </c>
      <c r="D123" s="171" t="s">
        <v>433</v>
      </c>
      <c r="H123" s="88"/>
    </row>
    <row r="124" spans="1:8" x14ac:dyDescent="0.25">
      <c r="A124" s="306" t="s">
        <v>545</v>
      </c>
      <c r="B124" s="140">
        <f>'Design Regulator'!E61*1000</f>
        <v>30000</v>
      </c>
      <c r="C124" s="171" t="s">
        <v>10</v>
      </c>
      <c r="H124" s="88"/>
    </row>
    <row r="125" spans="1:8" x14ac:dyDescent="0.25">
      <c r="A125" s="87" t="s">
        <v>51</v>
      </c>
      <c r="B125" s="141">
        <f>Fcross/Fo/15</f>
        <v>0.39389357598478109</v>
      </c>
      <c r="C125" t="s">
        <v>49</v>
      </c>
      <c r="D125" s="171" t="s">
        <v>439</v>
      </c>
      <c r="H125" s="88">
        <v>1</v>
      </c>
    </row>
    <row r="126" spans="1:8" x14ac:dyDescent="0.25">
      <c r="A126" s="87" t="s">
        <v>52</v>
      </c>
      <c r="B126" s="112">
        <f>'Design Regulator'!E63*1000</f>
        <v>22100</v>
      </c>
      <c r="C126" s="309" t="s">
        <v>208</v>
      </c>
      <c r="D126" t="s">
        <v>260</v>
      </c>
      <c r="H126" s="88">
        <v>1</v>
      </c>
    </row>
    <row r="127" spans="1:8" x14ac:dyDescent="0.25">
      <c r="A127" s="99" t="s">
        <v>77</v>
      </c>
      <c r="B127" s="358">
        <f>IF(Vout=Vref,100000000,Vref/((Vout-Vref)/_Rfb1))</f>
        <v>4111.6279069767452</v>
      </c>
      <c r="C127" s="309" t="s">
        <v>208</v>
      </c>
      <c r="D127" s="171" t="s">
        <v>706</v>
      </c>
      <c r="H127" s="88"/>
    </row>
    <row r="128" spans="1:8" x14ac:dyDescent="0.25">
      <c r="A128" s="87" t="s">
        <v>271</v>
      </c>
      <c r="B128" s="103">
        <f>IF(Vout=Vref,"N/A",'Standard Value Calculator'!S11)</f>
        <v>4120</v>
      </c>
      <c r="C128" s="309" t="s">
        <v>208</v>
      </c>
      <c r="D128" s="171" t="s">
        <v>705</v>
      </c>
      <c r="H128" s="88"/>
    </row>
    <row r="129" spans="1:8" x14ac:dyDescent="0.25">
      <c r="A129" s="388" t="s">
        <v>697</v>
      </c>
      <c r="B129" s="462">
        <f>0.8/Rfb2_u*(Rfb2_u+_Rfb1)</f>
        <v>5.0912621359223307</v>
      </c>
      <c r="C129" t="s">
        <v>0</v>
      </c>
      <c r="D129" s="171" t="s">
        <v>698</v>
      </c>
      <c r="H129" s="88"/>
    </row>
    <row r="130" spans="1:8" x14ac:dyDescent="0.25">
      <c r="A130" s="388"/>
      <c r="C130" s="309"/>
      <c r="D130" s="171"/>
      <c r="H130" s="88"/>
    </row>
    <row r="131" spans="1:8" x14ac:dyDescent="0.25">
      <c r="A131" s="96" t="s">
        <v>74</v>
      </c>
      <c r="B131" s="392">
        <f>Vin/15</f>
        <v>1.6</v>
      </c>
      <c r="C131" t="s">
        <v>75</v>
      </c>
      <c r="D131" s="171" t="s">
        <v>561</v>
      </c>
      <c r="H131" s="88"/>
    </row>
    <row r="132" spans="1:8" x14ac:dyDescent="0.25">
      <c r="A132" s="96" t="s">
        <v>58</v>
      </c>
      <c r="B132" s="359">
        <f>Kmidband*_Rfb1</f>
        <v>8705.0480292636621</v>
      </c>
      <c r="C132" s="309" t="s">
        <v>208</v>
      </c>
      <c r="D132" s="171" t="s">
        <v>431</v>
      </c>
      <c r="H132" s="88">
        <v>1</v>
      </c>
    </row>
    <row r="133" spans="1:8" x14ac:dyDescent="0.25">
      <c r="A133" s="96" t="s">
        <v>54</v>
      </c>
      <c r="B133" s="360">
        <f>1/(Rcea1*('Design Regulator'!E67*1000)*2*Pi)</f>
        <v>5.1439865311492051E-9</v>
      </c>
      <c r="C133" t="s">
        <v>34</v>
      </c>
      <c r="D133" t="s">
        <v>261</v>
      </c>
      <c r="H133" s="88">
        <v>1</v>
      </c>
    </row>
    <row r="134" spans="1:8" x14ac:dyDescent="0.25">
      <c r="A134" s="96" t="s">
        <v>55</v>
      </c>
      <c r="B134" s="360">
        <f>1/((Rcea1*2*Pi*'Design Regulator'!E70*1000)-1/Cc1ea)</f>
        <v>1.2484530544908066E-10</v>
      </c>
      <c r="C134" t="s">
        <v>34</v>
      </c>
      <c r="H134" s="88">
        <v>1</v>
      </c>
    </row>
    <row r="135" spans="1:8" x14ac:dyDescent="0.25">
      <c r="A135" s="96" t="s">
        <v>56</v>
      </c>
      <c r="B135" s="358">
        <f>(1/(1000*2*Pi*'Design Regulator'!E69))*_Rfb1/(1/('Design Regulator'!E68*1000*2*Pi)-(1/(1000*2*Pi*'Design Regulator'!E69)))</f>
        <v>870.60225583746148</v>
      </c>
      <c r="C135" s="309" t="s">
        <v>208</v>
      </c>
      <c r="H135" s="88">
        <v>1</v>
      </c>
    </row>
    <row r="136" spans="1:8" x14ac:dyDescent="0.25">
      <c r="A136" s="96" t="s">
        <v>57</v>
      </c>
      <c r="B136" s="360">
        <f>(1/(1000*2*Pi*'Design Regulator'!E69))/Rcea2</f>
        <v>1.5161917984352659E-9</v>
      </c>
      <c r="C136" t="s">
        <v>34</v>
      </c>
      <c r="H136" s="88">
        <v>1</v>
      </c>
    </row>
    <row r="137" spans="1:8" x14ac:dyDescent="0.25">
      <c r="A137" s="96"/>
      <c r="B137" s="1"/>
      <c r="H137" s="88"/>
    </row>
    <row r="138" spans="1:8" x14ac:dyDescent="0.25">
      <c r="A138" s="99" t="s">
        <v>383</v>
      </c>
      <c r="H138" s="88"/>
    </row>
    <row r="139" spans="1:8" x14ac:dyDescent="0.25">
      <c r="A139" s="87" t="s">
        <v>59</v>
      </c>
      <c r="B139" s="166">
        <f>'Design Regulator'!D74*1000</f>
        <v>8660</v>
      </c>
      <c r="C139" s="309" t="s">
        <v>208</v>
      </c>
      <c r="H139" s="88">
        <v>2</v>
      </c>
    </row>
    <row r="140" spans="1:8" x14ac:dyDescent="0.25">
      <c r="A140" s="87" t="s">
        <v>60</v>
      </c>
      <c r="B140" s="106">
        <f>'Design Regulator'!D75*0.000000000001</f>
        <v>4.6999999999999999E-9</v>
      </c>
      <c r="C140" t="s">
        <v>34</v>
      </c>
      <c r="H140" s="88">
        <v>2</v>
      </c>
    </row>
    <row r="141" spans="1:8" x14ac:dyDescent="0.25">
      <c r="A141" s="87" t="s">
        <v>61</v>
      </c>
      <c r="B141" s="106">
        <f>'Design Regulator'!D76*0.000000000001</f>
        <v>1.2E-10</v>
      </c>
      <c r="C141" t="s">
        <v>34</v>
      </c>
      <c r="H141" s="88">
        <v>2</v>
      </c>
    </row>
    <row r="142" spans="1:8" x14ac:dyDescent="0.25">
      <c r="A142" s="87" t="s">
        <v>62</v>
      </c>
      <c r="B142" s="166">
        <f>'Design Regulator'!D77</f>
        <v>866</v>
      </c>
      <c r="C142" s="309" t="s">
        <v>208</v>
      </c>
      <c r="H142" s="88">
        <v>2</v>
      </c>
    </row>
    <row r="143" spans="1:8" x14ac:dyDescent="0.25">
      <c r="A143" s="87" t="s">
        <v>63</v>
      </c>
      <c r="B143" s="106">
        <f>'Design Regulator'!D78*0.000000000001</f>
        <v>1.5E-9</v>
      </c>
      <c r="C143" t="s">
        <v>34</v>
      </c>
      <c r="H143" s="88">
        <v>2</v>
      </c>
    </row>
    <row r="144" spans="1:8" x14ac:dyDescent="0.25">
      <c r="A144" s="87"/>
      <c r="H144" s="88"/>
    </row>
    <row r="145" spans="1:8" x14ac:dyDescent="0.25">
      <c r="A145" s="99" t="s">
        <v>344</v>
      </c>
      <c r="D145">
        <f>Cout</f>
        <v>1.3200000000000001E-4</v>
      </c>
      <c r="E145">
        <f>CoutEsr</f>
        <v>0.01</v>
      </c>
      <c r="H145" s="88"/>
    </row>
    <row r="146" spans="1:8" x14ac:dyDescent="0.25">
      <c r="A146" s="96" t="s">
        <v>39</v>
      </c>
      <c r="B146" s="421">
        <f>SQRT((Rfets+Rdcr+Ro)/(Cout*Lout2*(CoutEsr+Ro)))/(2*Pi)</f>
        <v>5077.5136278873315</v>
      </c>
      <c r="C146" t="s">
        <v>10</v>
      </c>
      <c r="D146" t="s">
        <v>40</v>
      </c>
      <c r="H146" s="88"/>
    </row>
    <row r="147" spans="1:8" x14ac:dyDescent="0.25">
      <c r="A147" s="96" t="s">
        <v>42</v>
      </c>
      <c r="B147" s="422">
        <f>(Rfets+Rdcr+Ro)/(Lout2+Cout*(Rdcr+Rfets)*(CoutEsr+Ro)+Cout*CoutEsr*Ro)/(Fo*2*Pi)</f>
        <v>2.9483496359513461</v>
      </c>
      <c r="C147" t="s">
        <v>49</v>
      </c>
      <c r="D147" t="s">
        <v>43</v>
      </c>
      <c r="H147" s="88"/>
    </row>
    <row r="148" spans="1:8" x14ac:dyDescent="0.25">
      <c r="A148" s="96" t="s">
        <v>41</v>
      </c>
      <c r="B148" s="421">
        <f>1/(2*Pi*Cout*CoutEsr)</f>
        <v>120571.9267225427</v>
      </c>
      <c r="C148" t="s">
        <v>10</v>
      </c>
      <c r="D148" s="171" t="s">
        <v>434</v>
      </c>
      <c r="H148" s="88"/>
    </row>
    <row r="149" spans="1:8" x14ac:dyDescent="0.25">
      <c r="A149" s="96" t="s">
        <v>64</v>
      </c>
      <c r="B149" s="421">
        <f>1/(2*Pi*Rcea1_u*Cc1ea_u)</f>
        <v>3910.248716862965</v>
      </c>
      <c r="C149" t="s">
        <v>10</v>
      </c>
      <c r="D149" s="171" t="s">
        <v>547</v>
      </c>
      <c r="H149" s="88"/>
    </row>
    <row r="150" spans="1:8" x14ac:dyDescent="0.25">
      <c r="A150" s="96" t="s">
        <v>65</v>
      </c>
      <c r="B150" s="421">
        <f>1/(2*Pi*Cc3ea_u*(_Rfb1+Rcea2_u))</f>
        <v>4620.016350946511</v>
      </c>
      <c r="C150" t="s">
        <v>10</v>
      </c>
      <c r="D150" s="171" t="s">
        <v>547</v>
      </c>
      <c r="H150" s="88"/>
    </row>
    <row r="151" spans="1:8" x14ac:dyDescent="0.25">
      <c r="A151" s="96" t="s">
        <v>66</v>
      </c>
      <c r="B151" s="421">
        <f>1/(2*Pi*Rcea2_u*Cc3ea_u)</f>
        <v>122521.12646170623</v>
      </c>
      <c r="C151" t="s">
        <v>10</v>
      </c>
      <c r="D151" t="s">
        <v>263</v>
      </c>
      <c r="H151" s="88"/>
    </row>
    <row r="152" spans="1:8" x14ac:dyDescent="0.25">
      <c r="A152" s="96" t="s">
        <v>67</v>
      </c>
      <c r="B152" s="421">
        <f>1/(2*Pi*Rcea1_u*(Cc1ea_u*Cc2ea_u/(Cc1ea_u+Cc2ea_u)))</f>
        <v>157061.65679399576</v>
      </c>
      <c r="C152" t="s">
        <v>10</v>
      </c>
      <c r="D152" t="s">
        <v>262</v>
      </c>
      <c r="H152" s="88"/>
    </row>
    <row r="153" spans="1:8" x14ac:dyDescent="0.25">
      <c r="A153" s="96" t="s">
        <v>80</v>
      </c>
      <c r="B153" s="422">
        <f>Vout/(Iout+Vref/_Rfb2)</f>
        <v>0.84997243679126544</v>
      </c>
      <c r="D153" s="171" t="s">
        <v>546</v>
      </c>
      <c r="H153" s="88"/>
    </row>
    <row r="154" spans="1:8" x14ac:dyDescent="0.25">
      <c r="A154" s="96" t="s">
        <v>70</v>
      </c>
      <c r="B154" s="422">
        <v>3.1415926500000002</v>
      </c>
      <c r="D154" t="s">
        <v>264</v>
      </c>
      <c r="H154" s="88"/>
    </row>
    <row r="155" spans="1:8" x14ac:dyDescent="0.25">
      <c r="A155" s="96" t="s">
        <v>328</v>
      </c>
      <c r="B155" s="1"/>
      <c r="H155" s="88"/>
    </row>
    <row r="156" spans="1:8" x14ac:dyDescent="0.25">
      <c r="A156" s="96" t="s">
        <v>337</v>
      </c>
      <c r="B156" s="1">
        <v>0</v>
      </c>
      <c r="C156" s="309" t="s">
        <v>208</v>
      </c>
      <c r="D156" s="171" t="s">
        <v>542</v>
      </c>
      <c r="G156">
        <f>_Don2*RdsonTop+Doff2*RdsonBot+B161*Vin^2*Fsw/2/(((Iripple1/SQRT(3))^2))</f>
        <v>0.3919233196206367</v>
      </c>
      <c r="H156" s="88"/>
    </row>
    <row r="157" spans="1:8" x14ac:dyDescent="0.25">
      <c r="A157" s="87"/>
      <c r="H157" s="88"/>
    </row>
    <row r="158" spans="1:8" x14ac:dyDescent="0.25">
      <c r="A158" s="96" t="s">
        <v>340</v>
      </c>
      <c r="B158" s="2">
        <f>0.00000002*Fsw*0.6*4/Iripple1</f>
        <v>7.8579724572755954E-3</v>
      </c>
      <c r="D158" s="2"/>
      <c r="H158" s="88"/>
    </row>
    <row r="159" spans="1:8" x14ac:dyDescent="0.25">
      <c r="A159" s="96" t="s">
        <v>339</v>
      </c>
      <c r="B159" s="2">
        <f>_Don2*RdsonTop+Doff2*RdsonBot</f>
        <v>6.000000000000001E-3</v>
      </c>
      <c r="D159" s="2"/>
      <c r="H159" s="88"/>
    </row>
    <row r="160" spans="1:8" x14ac:dyDescent="0.25">
      <c r="A160" s="96" t="s">
        <v>338</v>
      </c>
      <c r="B160" s="2">
        <f>B161*Vin^2*Fsw/2/(((Iripple1/SQRT(3))^2))</f>
        <v>0.3859233196206367</v>
      </c>
      <c r="D160" s="2"/>
      <c r="H160" s="88"/>
    </row>
    <row r="161" spans="1:8" ht="13.8" thickBot="1" x14ac:dyDescent="0.3">
      <c r="A161" s="108" t="s">
        <v>341</v>
      </c>
      <c r="B161" s="113">
        <v>5.0000000000000001E-9</v>
      </c>
      <c r="C161" s="92"/>
      <c r="D161" s="113"/>
      <c r="E161" s="92"/>
      <c r="F161" s="92"/>
      <c r="G161" s="92"/>
      <c r="H161" s="93"/>
    </row>
    <row r="162" spans="1:8" x14ac:dyDescent="0.25">
      <c r="A162" s="1"/>
      <c r="B162" s="60"/>
      <c r="D162" s="60"/>
    </row>
    <row r="163" spans="1:8" x14ac:dyDescent="0.25">
      <c r="A163" s="1"/>
      <c r="B163" s="60"/>
      <c r="D163" s="60"/>
    </row>
    <row r="164" spans="1:8" ht="16.2" thickBot="1" x14ac:dyDescent="0.35">
      <c r="A164" s="139" t="s">
        <v>362</v>
      </c>
    </row>
    <row r="165" spans="1:8" x14ac:dyDescent="0.25">
      <c r="A165" s="134"/>
      <c r="B165" s="94"/>
      <c r="C165" s="94"/>
      <c r="D165" s="94"/>
      <c r="E165" s="94"/>
      <c r="F165" s="94"/>
      <c r="G165" s="94"/>
      <c r="H165" s="95"/>
    </row>
    <row r="166" spans="1:8" x14ac:dyDescent="0.25">
      <c r="A166" s="99" t="s">
        <v>125</v>
      </c>
      <c r="H166" s="88"/>
    </row>
    <row r="167" spans="1:8" x14ac:dyDescent="0.25">
      <c r="A167" s="87" t="s">
        <v>156</v>
      </c>
      <c r="B167" s="39">
        <v>25</v>
      </c>
      <c r="D167" t="s">
        <v>175</v>
      </c>
      <c r="H167" s="88"/>
    </row>
    <row r="168" spans="1:8" ht="15.6" x14ac:dyDescent="0.3">
      <c r="A168" s="478" t="s">
        <v>128</v>
      </c>
      <c r="H168" s="88"/>
    </row>
    <row r="169" spans="1:8" x14ac:dyDescent="0.25">
      <c r="A169" s="87" t="s">
        <v>155</v>
      </c>
      <c r="B169" s="90">
        <f>4000/1000000</f>
        <v>4.0000000000000001E-3</v>
      </c>
      <c r="C169" s="171" t="s">
        <v>562</v>
      </c>
      <c r="D169" t="s">
        <v>176</v>
      </c>
      <c r="H169" s="88"/>
    </row>
    <row r="170" spans="1:8" x14ac:dyDescent="0.25">
      <c r="A170" s="87" t="s">
        <v>250</v>
      </c>
      <c r="B170" s="90">
        <v>20</v>
      </c>
      <c r="C170" s="171" t="s">
        <v>381</v>
      </c>
      <c r="D170" t="s">
        <v>251</v>
      </c>
      <c r="H170" s="88"/>
    </row>
    <row r="171" spans="1:8" x14ac:dyDescent="0.25">
      <c r="A171" s="87" t="s">
        <v>159</v>
      </c>
      <c r="B171" s="39">
        <f>RCinEsr</f>
        <v>2E-3</v>
      </c>
      <c r="C171" s="309" t="s">
        <v>208</v>
      </c>
      <c r="D171" t="s">
        <v>178</v>
      </c>
      <c r="H171" s="88"/>
    </row>
    <row r="172" spans="1:8" x14ac:dyDescent="0.25">
      <c r="A172" s="96" t="s">
        <v>268</v>
      </c>
      <c r="H172" s="88"/>
    </row>
    <row r="173" spans="1:8" x14ac:dyDescent="0.25">
      <c r="A173" s="306" t="s">
        <v>618</v>
      </c>
      <c r="B173" s="90">
        <v>7.5</v>
      </c>
      <c r="H173" s="88"/>
    </row>
    <row r="174" spans="1:8" x14ac:dyDescent="0.25">
      <c r="A174" s="99" t="s">
        <v>202</v>
      </c>
      <c r="H174" s="88"/>
    </row>
    <row r="175" spans="1:8" x14ac:dyDescent="0.25">
      <c r="A175" s="87" t="s">
        <v>132</v>
      </c>
      <c r="B175" s="90">
        <v>1</v>
      </c>
      <c r="C175" s="309" t="s">
        <v>208</v>
      </c>
      <c r="D175" t="s">
        <v>204</v>
      </c>
      <c r="H175" s="88"/>
    </row>
    <row r="176" spans="1:8" x14ac:dyDescent="0.25">
      <c r="A176" s="87" t="s">
        <v>239</v>
      </c>
      <c r="B176" s="90">
        <v>0.9</v>
      </c>
      <c r="C176" s="309" t="s">
        <v>208</v>
      </c>
      <c r="D176" t="s">
        <v>205</v>
      </c>
      <c r="H176" s="88"/>
    </row>
    <row r="177" spans="1:8" x14ac:dyDescent="0.25">
      <c r="A177" s="99" t="s">
        <v>203</v>
      </c>
      <c r="H177" s="88"/>
    </row>
    <row r="178" spans="1:8" x14ac:dyDescent="0.25">
      <c r="A178" s="87" t="s">
        <v>131</v>
      </c>
      <c r="B178" s="158">
        <v>1</v>
      </c>
      <c r="C178" s="309" t="s">
        <v>208</v>
      </c>
      <c r="D178" t="s">
        <v>204</v>
      </c>
      <c r="H178" s="88"/>
    </row>
    <row r="179" spans="1:8" x14ac:dyDescent="0.25">
      <c r="A179" s="87" t="s">
        <v>238</v>
      </c>
      <c r="B179" s="90">
        <v>0.9</v>
      </c>
      <c r="C179" s="309" t="s">
        <v>208</v>
      </c>
      <c r="D179" t="s">
        <v>205</v>
      </c>
      <c r="H179" s="88"/>
    </row>
    <row r="180" spans="1:8" x14ac:dyDescent="0.25">
      <c r="A180" s="99" t="s">
        <v>133</v>
      </c>
      <c r="D180" t="s">
        <v>199</v>
      </c>
      <c r="H180" s="88"/>
    </row>
    <row r="181" spans="1:8" x14ac:dyDescent="0.25">
      <c r="A181" s="87" t="s">
        <v>133</v>
      </c>
      <c r="B181" s="102">
        <v>2.9999999999999997E-8</v>
      </c>
      <c r="C181" t="s">
        <v>265</v>
      </c>
      <c r="D181" t="s">
        <v>179</v>
      </c>
      <c r="H181" s="88"/>
    </row>
    <row r="182" spans="1:8" x14ac:dyDescent="0.25">
      <c r="A182" s="99" t="s">
        <v>119</v>
      </c>
      <c r="H182" s="88"/>
    </row>
    <row r="183" spans="1:8" x14ac:dyDescent="0.25">
      <c r="A183" s="87" t="s">
        <v>249</v>
      </c>
      <c r="B183" s="90">
        <v>2E-3</v>
      </c>
      <c r="C183" t="s">
        <v>2</v>
      </c>
      <c r="D183" t="s">
        <v>259</v>
      </c>
      <c r="H183" s="88"/>
    </row>
    <row r="184" spans="1:8" ht="15.6" x14ac:dyDescent="0.3">
      <c r="A184" s="478" t="s">
        <v>129</v>
      </c>
      <c r="H184" s="88"/>
    </row>
    <row r="185" spans="1:8" x14ac:dyDescent="0.25">
      <c r="A185" s="87" t="s">
        <v>142</v>
      </c>
      <c r="B185" s="39">
        <f>'Design Regulator'!E85/1000</f>
        <v>6.0000000000000001E-3</v>
      </c>
      <c r="C185" s="309" t="s">
        <v>208</v>
      </c>
      <c r="D185" t="s">
        <v>194</v>
      </c>
      <c r="H185" s="88"/>
    </row>
    <row r="186" spans="1:8" x14ac:dyDescent="0.25">
      <c r="A186" s="87" t="s">
        <v>152</v>
      </c>
      <c r="B186" s="90">
        <f>4000/1000000</f>
        <v>4.0000000000000001E-3</v>
      </c>
      <c r="C186" s="171" t="s">
        <v>562</v>
      </c>
      <c r="D186" t="s">
        <v>193</v>
      </c>
      <c r="H186" s="88"/>
    </row>
    <row r="187" spans="1:8" x14ac:dyDescent="0.25">
      <c r="A187" s="87" t="s">
        <v>141</v>
      </c>
      <c r="B187" s="114">
        <f>'Design Regulator'!E86/1000000000</f>
        <v>1.15E-8</v>
      </c>
      <c r="C187" t="s">
        <v>269</v>
      </c>
      <c r="D187" t="s">
        <v>180</v>
      </c>
      <c r="H187" s="88"/>
    </row>
    <row r="188" spans="1:8" x14ac:dyDescent="0.25">
      <c r="A188" s="87" t="s">
        <v>218</v>
      </c>
      <c r="B188" s="114">
        <f>'Design Regulator'!E87/1000000000</f>
        <v>2.8999999999999999E-9</v>
      </c>
      <c r="C188" t="s">
        <v>269</v>
      </c>
      <c r="D188" t="s">
        <v>219</v>
      </c>
      <c r="H188" s="88"/>
    </row>
    <row r="189" spans="1:8" x14ac:dyDescent="0.25">
      <c r="A189" s="87" t="s">
        <v>236</v>
      </c>
      <c r="B189" s="114">
        <f>'Design Regulator'!E88/1000000000</f>
        <v>3.2999999999999998E-9</v>
      </c>
      <c r="C189" t="s">
        <v>269</v>
      </c>
      <c r="D189" t="s">
        <v>721</v>
      </c>
      <c r="H189" s="88"/>
    </row>
    <row r="190" spans="1:8" x14ac:dyDescent="0.25">
      <c r="A190" s="389" t="s">
        <v>728</v>
      </c>
      <c r="B190" s="114">
        <f>'Design Regulator'!E89/1000000000000</f>
        <v>2.8000000000000002E-10</v>
      </c>
      <c r="C190" t="s">
        <v>34</v>
      </c>
      <c r="D190" t="s">
        <v>729</v>
      </c>
      <c r="H190" s="88"/>
    </row>
    <row r="191" spans="1:8" x14ac:dyDescent="0.25">
      <c r="A191" s="87" t="s">
        <v>168</v>
      </c>
      <c r="B191" s="39">
        <f>'Design Regulator'!E90</f>
        <v>1.5</v>
      </c>
      <c r="C191" s="309" t="s">
        <v>208</v>
      </c>
      <c r="D191" t="s">
        <v>730</v>
      </c>
      <c r="H191" s="88"/>
    </row>
    <row r="192" spans="1:8" x14ac:dyDescent="0.25">
      <c r="A192" s="87" t="s">
        <v>140</v>
      </c>
      <c r="B192" s="39">
        <f>'Design Regulator'!E91</f>
        <v>100</v>
      </c>
      <c r="C192" t="s">
        <v>137</v>
      </c>
      <c r="D192" t="s">
        <v>182</v>
      </c>
      <c r="H192" s="88"/>
    </row>
    <row r="193" spans="1:10" x14ac:dyDescent="0.25">
      <c r="A193" s="87" t="s">
        <v>170</v>
      </c>
      <c r="B193" s="39">
        <f>'Design Regulator'!E92</f>
        <v>3.2</v>
      </c>
      <c r="C193" t="s">
        <v>0</v>
      </c>
      <c r="D193" t="s">
        <v>183</v>
      </c>
      <c r="H193" s="88"/>
    </row>
    <row r="194" spans="1:10" x14ac:dyDescent="0.25">
      <c r="A194" s="87" t="s">
        <v>235</v>
      </c>
      <c r="B194" s="103">
        <f>VthTop+Iout/GmTop</f>
        <v>3.2600000000000002</v>
      </c>
      <c r="C194" t="s">
        <v>0</v>
      </c>
      <c r="D194" t="s">
        <v>266</v>
      </c>
      <c r="H194" s="88"/>
    </row>
    <row r="195" spans="1:10" x14ac:dyDescent="0.25">
      <c r="A195" s="87" t="s">
        <v>378</v>
      </c>
      <c r="B195" s="39">
        <f>'Design Regulator'!E93</f>
        <v>0.8</v>
      </c>
      <c r="C195" t="s">
        <v>0</v>
      </c>
      <c r="D195" t="s">
        <v>380</v>
      </c>
      <c r="H195" s="88"/>
    </row>
    <row r="196" spans="1:10" x14ac:dyDescent="0.25">
      <c r="A196" s="87" t="s">
        <v>161</v>
      </c>
      <c r="B196" s="39">
        <f>'Design Regulator'!E94</f>
        <v>50</v>
      </c>
      <c r="C196" s="171" t="s">
        <v>381</v>
      </c>
      <c r="D196" t="s">
        <v>184</v>
      </c>
      <c r="H196" s="88"/>
    </row>
    <row r="197" spans="1:10" ht="15.6" x14ac:dyDescent="0.3">
      <c r="A197" s="478" t="s">
        <v>130</v>
      </c>
      <c r="H197" s="88"/>
    </row>
    <row r="198" spans="1:10" x14ac:dyDescent="0.25">
      <c r="A198" s="87" t="s">
        <v>139</v>
      </c>
      <c r="B198" s="39">
        <f>'Design Regulator'!E97/1000</f>
        <v>6.0000000000000001E-3</v>
      </c>
      <c r="C198" s="309" t="s">
        <v>208</v>
      </c>
      <c r="D198" t="s">
        <v>192</v>
      </c>
      <c r="H198" s="88"/>
    </row>
    <row r="199" spans="1:10" x14ac:dyDescent="0.25">
      <c r="A199" s="87" t="s">
        <v>153</v>
      </c>
      <c r="B199" s="39">
        <f>4000/1000000</f>
        <v>4.0000000000000001E-3</v>
      </c>
      <c r="C199" s="171" t="s">
        <v>562</v>
      </c>
      <c r="D199" t="s">
        <v>185</v>
      </c>
      <c r="H199" s="88"/>
    </row>
    <row r="200" spans="1:10" x14ac:dyDescent="0.25">
      <c r="A200" s="87" t="s">
        <v>138</v>
      </c>
      <c r="B200" s="114">
        <f>'Design Regulator'!E98/1000000000</f>
        <v>1.15E-8</v>
      </c>
      <c r="C200" t="s">
        <v>269</v>
      </c>
      <c r="D200" s="171" t="s">
        <v>724</v>
      </c>
      <c r="H200" s="88"/>
      <c r="J200">
        <f>RGateTop</f>
        <v>1.5</v>
      </c>
    </row>
    <row r="201" spans="1:10" x14ac:dyDescent="0.25">
      <c r="A201" s="389" t="s">
        <v>722</v>
      </c>
      <c r="B201" s="114">
        <f>'Design Regulator'!E99/1000000000</f>
        <v>2E-8</v>
      </c>
      <c r="C201" t="s">
        <v>269</v>
      </c>
      <c r="D201" s="171" t="s">
        <v>723</v>
      </c>
      <c r="H201" s="88"/>
    </row>
    <row r="202" spans="1:10" x14ac:dyDescent="0.25">
      <c r="A202" s="389" t="s">
        <v>727</v>
      </c>
      <c r="B202" s="114">
        <f>'Design Regulator'!E100/1000000000000</f>
        <v>2.8000000000000002E-10</v>
      </c>
      <c r="C202" t="s">
        <v>34</v>
      </c>
      <c r="D202" s="171" t="s">
        <v>726</v>
      </c>
      <c r="H202" s="88"/>
    </row>
    <row r="203" spans="1:10" x14ac:dyDescent="0.25">
      <c r="A203" s="87" t="s">
        <v>169</v>
      </c>
      <c r="B203" s="39">
        <v>1</v>
      </c>
      <c r="C203" s="309" t="s">
        <v>208</v>
      </c>
      <c r="D203" t="s">
        <v>181</v>
      </c>
      <c r="H203" s="88"/>
    </row>
    <row r="204" spans="1:10" x14ac:dyDescent="0.25">
      <c r="A204" s="87" t="s">
        <v>144</v>
      </c>
      <c r="B204" s="39">
        <f>'Design Regulator'!E101</f>
        <v>0.9</v>
      </c>
      <c r="C204" t="s">
        <v>0</v>
      </c>
      <c r="D204" t="s">
        <v>186</v>
      </c>
      <c r="H204" s="88"/>
    </row>
    <row r="205" spans="1:10" x14ac:dyDescent="0.25">
      <c r="A205" s="87" t="s">
        <v>145</v>
      </c>
      <c r="B205" s="114">
        <f>'Design Regulator'!E102/1000000000</f>
        <v>6.2999999999999995E-8</v>
      </c>
      <c r="C205" t="s">
        <v>269</v>
      </c>
      <c r="D205" t="s">
        <v>196</v>
      </c>
      <c r="H205" s="88"/>
    </row>
    <row r="206" spans="1:10" x14ac:dyDescent="0.25">
      <c r="A206" s="87" t="s">
        <v>146</v>
      </c>
      <c r="B206" s="114">
        <v>4.0000000000000001E-8</v>
      </c>
      <c r="C206" t="s">
        <v>265</v>
      </c>
      <c r="D206" t="s">
        <v>187</v>
      </c>
      <c r="H206" s="88"/>
    </row>
    <row r="207" spans="1:10" x14ac:dyDescent="0.25">
      <c r="A207" s="87" t="s">
        <v>160</v>
      </c>
      <c r="B207" s="39">
        <f>'Design Regulator'!E103</f>
        <v>50</v>
      </c>
      <c r="C207" s="171" t="s">
        <v>381</v>
      </c>
      <c r="D207" t="s">
        <v>184</v>
      </c>
      <c r="H207" s="88"/>
    </row>
    <row r="208" spans="1:10" ht="15.6" x14ac:dyDescent="0.3">
      <c r="A208" s="478" t="s">
        <v>428</v>
      </c>
      <c r="B208" s="39"/>
      <c r="H208" s="88"/>
    </row>
    <row r="209" spans="1:8" x14ac:dyDescent="0.25">
      <c r="A209" s="87" t="s">
        <v>365</v>
      </c>
      <c r="B209" s="39">
        <f>'Design Regulator'!E105</f>
        <v>0</v>
      </c>
      <c r="C209" t="s">
        <v>0</v>
      </c>
      <c r="D209" t="s">
        <v>368</v>
      </c>
      <c r="H209" s="88"/>
    </row>
    <row r="210" spans="1:8" x14ac:dyDescent="0.25">
      <c r="A210" s="87" t="s">
        <v>366</v>
      </c>
      <c r="B210" s="39">
        <f>'Design Regulator'!E106/1000000000</f>
        <v>0</v>
      </c>
      <c r="C210" t="s">
        <v>269</v>
      </c>
      <c r="D210" t="s">
        <v>369</v>
      </c>
      <c r="H210" s="88"/>
    </row>
    <row r="211" spans="1:8" x14ac:dyDescent="0.25">
      <c r="A211" s="87" t="s">
        <v>367</v>
      </c>
      <c r="B211" s="39">
        <v>0</v>
      </c>
      <c r="C211" t="s">
        <v>2</v>
      </c>
      <c r="D211" t="s">
        <v>370</v>
      </c>
      <c r="H211" s="88"/>
    </row>
    <row r="212" spans="1:8" x14ac:dyDescent="0.25">
      <c r="A212" s="99" t="s">
        <v>209</v>
      </c>
      <c r="H212" s="88"/>
    </row>
    <row r="213" spans="1:8" x14ac:dyDescent="0.25">
      <c r="A213" s="87" t="s">
        <v>267</v>
      </c>
      <c r="B213" s="39">
        <v>30</v>
      </c>
      <c r="H213" s="88"/>
    </row>
    <row r="214" spans="1:8" x14ac:dyDescent="0.25">
      <c r="A214" s="99" t="s">
        <v>149</v>
      </c>
      <c r="H214" s="88"/>
    </row>
    <row r="215" spans="1:8" x14ac:dyDescent="0.25">
      <c r="A215" s="87" t="s">
        <v>129</v>
      </c>
      <c r="H215" s="88"/>
    </row>
    <row r="216" spans="1:8" x14ac:dyDescent="0.25">
      <c r="A216" s="87" t="s">
        <v>166</v>
      </c>
      <c r="B216" s="106">
        <f>(QgdTop+QgsTop/2)*(RdsonDRT+RGateTop)/(Vdd-VspTop)</f>
        <v>2.6827830188679238E-9</v>
      </c>
      <c r="C216" t="s">
        <v>265</v>
      </c>
      <c r="H216" s="88"/>
    </row>
    <row r="217" spans="1:8" x14ac:dyDescent="0.25">
      <c r="A217" s="87" t="s">
        <v>167</v>
      </c>
      <c r="B217" s="106">
        <f>(QgdTop+QgsTop/2)*(RdsonDRT+RGateTop)/(VspTop)</f>
        <v>3.4892638036809806E-9</v>
      </c>
      <c r="C217" t="s">
        <v>265</v>
      </c>
      <c r="H217" s="88"/>
    </row>
    <row r="218" spans="1:8" x14ac:dyDescent="0.25">
      <c r="A218" s="87"/>
      <c r="H218" s="88"/>
    </row>
    <row r="219" spans="1:8" x14ac:dyDescent="0.25">
      <c r="A219" s="87"/>
      <c r="H219" s="88"/>
    </row>
    <row r="220" spans="1:8" x14ac:dyDescent="0.25">
      <c r="A220" s="99" t="s">
        <v>392</v>
      </c>
      <c r="B220" s="2" t="s">
        <v>8</v>
      </c>
      <c r="C220" s="2" t="s">
        <v>148</v>
      </c>
      <c r="H220" s="88"/>
    </row>
    <row r="221" spans="1:8" x14ac:dyDescent="0.25">
      <c r="A221" s="89" t="s">
        <v>207</v>
      </c>
      <c r="B221" s="411">
        <f>'Power Calculations'!AN9</f>
        <v>9.9750000000000005E-2</v>
      </c>
      <c r="C221" s="3" t="s">
        <v>208</v>
      </c>
      <c r="H221" s="88"/>
    </row>
    <row r="222" spans="1:8" x14ac:dyDescent="0.25">
      <c r="A222" s="89" t="s">
        <v>211</v>
      </c>
      <c r="B222" s="412">
        <f>B221*ThetaJaCtrl</f>
        <v>2.9925000000000002</v>
      </c>
      <c r="C222" s="171" t="s">
        <v>442</v>
      </c>
      <c r="H222" s="88"/>
    </row>
    <row r="223" spans="1:8" x14ac:dyDescent="0.25">
      <c r="A223" s="89" t="s">
        <v>388</v>
      </c>
      <c r="B223" s="414">
        <f>(QgBot+QgTop)*Fsw+Iq</f>
        <v>8.8999999999999999E-3</v>
      </c>
      <c r="C223" t="s">
        <v>2</v>
      </c>
      <c r="H223" s="88"/>
    </row>
    <row r="224" spans="1:8" x14ac:dyDescent="0.25">
      <c r="A224" s="89" t="s">
        <v>389</v>
      </c>
      <c r="B224" s="413">
        <f>QrrBot*Fsw</f>
        <v>1.89E-2</v>
      </c>
      <c r="C224" t="s">
        <v>2</v>
      </c>
      <c r="H224" s="88"/>
    </row>
    <row r="225" spans="1:8" x14ac:dyDescent="0.25">
      <c r="A225" s="89" t="s">
        <v>390</v>
      </c>
      <c r="B225" s="413">
        <f>C225/Vin</f>
        <v>2.5057734375000002E-4</v>
      </c>
      <c r="C225">
        <f>Deadtime*Fsw*(Ipp/2)*(VsdTop+VsdBot)</f>
        <v>6.0138562500000005E-3</v>
      </c>
      <c r="H225" s="88"/>
    </row>
    <row r="226" spans="1:8" x14ac:dyDescent="0.25">
      <c r="A226" s="89" t="s">
        <v>393</v>
      </c>
      <c r="B226" s="413">
        <f>SUM(B223:B225)</f>
        <v>2.8050577343749997E-2</v>
      </c>
      <c r="C226" t="s">
        <v>2</v>
      </c>
      <c r="H226" s="88"/>
    </row>
    <row r="227" spans="1:8" x14ac:dyDescent="0.25">
      <c r="A227" s="87"/>
      <c r="H227" s="88"/>
    </row>
    <row r="228" spans="1:8" x14ac:dyDescent="0.25">
      <c r="A228" s="87"/>
      <c r="H228" s="88"/>
    </row>
    <row r="229" spans="1:8" x14ac:dyDescent="0.25">
      <c r="A229" s="87"/>
      <c r="H229" s="88"/>
    </row>
    <row r="230" spans="1:8" x14ac:dyDescent="0.25">
      <c r="A230" s="87"/>
      <c r="H230" s="88"/>
    </row>
    <row r="231" spans="1:8" x14ac:dyDescent="0.25">
      <c r="A231" s="87"/>
      <c r="H231" s="88"/>
    </row>
    <row r="232" spans="1:8" x14ac:dyDescent="0.25">
      <c r="A232" s="99" t="s">
        <v>150</v>
      </c>
      <c r="H232" s="88"/>
    </row>
    <row r="233" spans="1:8" x14ac:dyDescent="0.25">
      <c r="A233" s="87" t="s">
        <v>206</v>
      </c>
      <c r="H233" s="88"/>
    </row>
    <row r="234" spans="1:8" ht="13.8" thickBot="1" x14ac:dyDescent="0.3">
      <c r="A234" s="91" t="s">
        <v>207</v>
      </c>
      <c r="B234" s="92"/>
      <c r="C234" s="92"/>
      <c r="D234" s="92"/>
      <c r="E234" s="92"/>
      <c r="F234" s="92"/>
      <c r="G234" s="92"/>
      <c r="H234" s="93"/>
    </row>
    <row r="235" spans="1:8" x14ac:dyDescent="0.25">
      <c r="A235" s="1"/>
      <c r="B235" s="1"/>
    </row>
    <row r="236" spans="1:8" ht="21.75" customHeight="1" thickBot="1" x14ac:dyDescent="0.35">
      <c r="A236" s="133" t="s">
        <v>382</v>
      </c>
    </row>
    <row r="237" spans="1:8" x14ac:dyDescent="0.25">
      <c r="A237" s="134" t="str">
        <f>"RC1 = "&amp;'Design Regulator'!D74&amp;"kΩ"</f>
        <v>RC1 = 8.66kΩ</v>
      </c>
      <c r="B237" s="94" t="str">
        <f>'Design Regulator'!D74&amp;"kΩ"</f>
        <v>8.66kΩ</v>
      </c>
      <c r="C237" s="94"/>
      <c r="D237" s="94"/>
      <c r="E237" s="94"/>
      <c r="F237" s="94"/>
      <c r="G237" s="94"/>
      <c r="H237" s="95"/>
    </row>
    <row r="238" spans="1:8" x14ac:dyDescent="0.25">
      <c r="A238" s="87" t="str">
        <f>"LOUT = "&amp;'Design Regulator'!E17&amp;"uH"</f>
        <v>LOUT = 7.4uH</v>
      </c>
      <c r="B238" t="str">
        <f>'Design Regulator'!E17&amp;"µH"</f>
        <v>7.4µH</v>
      </c>
      <c r="H238" s="88"/>
    </row>
    <row r="239" spans="1:8" x14ac:dyDescent="0.25">
      <c r="A239" s="87" t="str">
        <f>"Rdcr = "&amp;'Design Regulator'!E18&amp;"mΩ"</f>
        <v>Rdcr = 5mΩ</v>
      </c>
      <c r="B239" t="str">
        <f>'Design Regulator'!E18&amp;"mΩ"</f>
        <v>5mΩ</v>
      </c>
      <c r="H239" s="88"/>
    </row>
    <row r="240" spans="1:8" x14ac:dyDescent="0.25">
      <c r="A240" s="388"/>
      <c r="H240" s="88"/>
    </row>
    <row r="241" spans="1:8" x14ac:dyDescent="0.25">
      <c r="A241" s="87" t="str">
        <f>"VOUT = "&amp;'Design Regulator'!E9&amp;"V"</f>
        <v>VOUT = 5.1V</v>
      </c>
      <c r="B241" t="str">
        <f>'Design Regulator'!E9&amp;"V"</f>
        <v>5.1V</v>
      </c>
      <c r="H241" s="88"/>
    </row>
    <row r="242" spans="1:8" x14ac:dyDescent="0.25">
      <c r="A242" s="87"/>
      <c r="C242" s="173" t="str">
        <f>M44</f>
        <v>47</v>
      </c>
      <c r="D242" s="173">
        <f>ROUNDUP('Design Regulator'!$E$33/C242,0)</f>
        <v>3</v>
      </c>
      <c r="H242" s="88"/>
    </row>
    <row r="243" spans="1:8" x14ac:dyDescent="0.25">
      <c r="A243" s="87" t="str">
        <f>"COUT = "&amp;'Design Regulator'!$E$33&amp;"uF"</f>
        <v>COUT = 132uF</v>
      </c>
      <c r="B243" t="str">
        <f>'Design Regulator'!$E$33&amp;"µF"</f>
        <v>132µF</v>
      </c>
      <c r="C243" s="173" t="str">
        <f>C242</f>
        <v>47</v>
      </c>
      <c r="D243" s="173" t="str">
        <f>IF(D242=1, "",B245)</f>
        <v xml:space="preserve">3 x </v>
      </c>
      <c r="E243" t="str">
        <f>D243&amp;C243&amp;"µF"</f>
        <v>3 x 47µF</v>
      </c>
      <c r="F243" t="str">
        <f>C243&amp;"µF"</f>
        <v>47µF</v>
      </c>
      <c r="G243" t="str">
        <f>L66</f>
        <v>10V</v>
      </c>
      <c r="H243" s="88"/>
    </row>
    <row r="244" spans="1:8" x14ac:dyDescent="0.25">
      <c r="A244" s="306" t="s">
        <v>531</v>
      </c>
      <c r="B244" t="str">
        <f>C242&amp;"µF"</f>
        <v>47µF</v>
      </c>
      <c r="H244" s="88"/>
    </row>
    <row r="245" spans="1:8" x14ac:dyDescent="0.25">
      <c r="A245" s="306" t="s">
        <v>532</v>
      </c>
      <c r="B245" s="173" t="str">
        <f>D242&amp;" x "</f>
        <v xml:space="preserve">3 x </v>
      </c>
      <c r="H245" s="88"/>
    </row>
    <row r="246" spans="1:8" x14ac:dyDescent="0.25">
      <c r="A246" s="389"/>
      <c r="H246" s="88"/>
    </row>
    <row r="247" spans="1:8" x14ac:dyDescent="0.25">
      <c r="A247" s="388"/>
      <c r="H247" s="88"/>
    </row>
    <row r="248" spans="1:8" x14ac:dyDescent="0.25">
      <c r="A248" s="87" t="s">
        <v>410</v>
      </c>
      <c r="B248" t="str">
        <f>Cin*1000000&amp;"µF"</f>
        <v>110µF</v>
      </c>
      <c r="H248" s="88"/>
    </row>
    <row r="249" spans="1:8" x14ac:dyDescent="0.25">
      <c r="A249" s="306" t="s">
        <v>530</v>
      </c>
      <c r="B249" t="str">
        <f>"4.7µF"</f>
        <v>4.7µF</v>
      </c>
      <c r="H249" s="88"/>
    </row>
    <row r="250" spans="1:8" x14ac:dyDescent="0.25">
      <c r="A250" s="306" t="s">
        <v>529</v>
      </c>
      <c r="B250" s="173" t="str">
        <f>ROUNDUP(Cin*1000000/4.7,0)&amp;" x "</f>
        <v xml:space="preserve">24 x </v>
      </c>
      <c r="E250" t="str">
        <f>B250&amp;B249</f>
        <v>24 x 4.7µF</v>
      </c>
      <c r="H250" s="88"/>
    </row>
    <row r="251" spans="1:8" x14ac:dyDescent="0.25">
      <c r="A251" s="389"/>
      <c r="B251" s="173"/>
      <c r="H251" s="88"/>
    </row>
    <row r="252" spans="1:8" x14ac:dyDescent="0.25">
      <c r="A252" s="306"/>
      <c r="B252" s="173"/>
      <c r="H252" s="88"/>
    </row>
    <row r="253" spans="1:8" x14ac:dyDescent="0.25">
      <c r="A253" s="87" t="str">
        <f>"RC1 = "&amp;Rcea1_u/1000&amp;"kΩ"</f>
        <v>RC1 = 8.66kΩ</v>
      </c>
      <c r="B253" t="str">
        <f>ROUND(Rcea1_u/1000,2)&amp;"kΩ"</f>
        <v>8.66kΩ</v>
      </c>
      <c r="H253" s="88"/>
    </row>
    <row r="254" spans="1:8" x14ac:dyDescent="0.25">
      <c r="A254" s="87" t="str">
        <f>"CC1 = "&amp;Cc1ea_u*10^9&amp;"nF"</f>
        <v>CC1 = 4.7nF</v>
      </c>
      <c r="B254" t="str">
        <f>ROUND(Cc1ea_u*10^9,1)&amp;"nF"</f>
        <v>4.7nF</v>
      </c>
      <c r="H254" s="88"/>
    </row>
    <row r="255" spans="1:8" x14ac:dyDescent="0.25">
      <c r="A255" s="87" t="str">
        <f>"CC2 = "&amp;Cc2ea_u*10^12&amp;"pF"</f>
        <v>CC2 = 120pF</v>
      </c>
      <c r="B255" t="str">
        <f>ROUND(Cc2ea_u*10^12,0)&amp;"pF"</f>
        <v>120pF</v>
      </c>
      <c r="H255" s="88"/>
    </row>
    <row r="256" spans="1:8" x14ac:dyDescent="0.25">
      <c r="A256" s="87" t="str">
        <f>"RC2 = "&amp;Rcea2_u&amp;"Ω"</f>
        <v>RC2 = 866Ω</v>
      </c>
      <c r="B256" t="str">
        <f>ROUND(Rcea2_u,2)&amp;"Ω"</f>
        <v>866Ω</v>
      </c>
      <c r="H256" s="88"/>
    </row>
    <row r="257" spans="1:8" x14ac:dyDescent="0.25">
      <c r="A257" s="87" t="str">
        <f>"CC3 = "&amp;Cc3ea_u*10^12&amp;"pF"</f>
        <v>CC3 = 1500pF</v>
      </c>
      <c r="B257" t="str">
        <f>ROUND(Cc3ea_u*10^12,0)&amp;"pF"</f>
        <v>1500pF</v>
      </c>
      <c r="H257" s="88"/>
    </row>
    <row r="258" spans="1:8" x14ac:dyDescent="0.25">
      <c r="A258" s="87" t="str">
        <f>"RFB1 = "&amp;'Design Regulator'!E63&amp;"kΩ"</f>
        <v>RFB1 = 22.1kΩ</v>
      </c>
      <c r="B258" t="str">
        <f>'Design Regulator'!E63&amp;"kΩ"</f>
        <v>22.1kΩ</v>
      </c>
      <c r="H258" s="88"/>
    </row>
    <row r="259" spans="1:8" x14ac:dyDescent="0.25">
      <c r="A259" s="87" t="str">
        <f>"RFB2 = "&amp;IF(Vout=Vref,"OPEN",'Design Regulator'!E64&amp;"kΩ")</f>
        <v>RFB2 = 4.12kΩ</v>
      </c>
      <c r="B259" t="str">
        <f>IF(Vout=Vref,"OPEN",Rfb2_u/1000&amp;"kΩ")</f>
        <v>4.12kΩ</v>
      </c>
      <c r="H259" s="88"/>
    </row>
    <row r="260" spans="1:8" x14ac:dyDescent="0.25">
      <c r="A260" s="87" t="str">
        <f>"Crossover Frequency = "&amp;ROUND('Bode Plots Calculations'!BK5,0)&amp;" kHz"</f>
        <v>Crossover Frequency = 33 kHz</v>
      </c>
      <c r="B260" t="str">
        <f>ROUND('Bode Plots Calculations'!BK5,0)&amp;" kHz"</f>
        <v>33 kHz</v>
      </c>
      <c r="C260" s="172">
        <f>'Bode Plots Calculations'!BK5</f>
        <v>32.5</v>
      </c>
      <c r="H260" s="88"/>
    </row>
    <row r="261" spans="1:8" x14ac:dyDescent="0.25">
      <c r="A261" s="87" t="str">
        <f>"Phase Margin = "&amp;ROUND('Bode Plots Calculations'!BK6,0)&amp;"°"</f>
        <v>Phase Margin = 65°</v>
      </c>
      <c r="B261" s="173" t="str">
        <f>ROUND('Bode Plots Calculations'!BK6,0)&amp;"°"</f>
        <v>65°</v>
      </c>
      <c r="D261" s="309"/>
      <c r="H261" s="88"/>
    </row>
    <row r="262" spans="1:8" x14ac:dyDescent="0.25">
      <c r="A262" s="388"/>
      <c r="B262" s="173"/>
      <c r="D262" s="309"/>
      <c r="H262" s="88"/>
    </row>
    <row r="263" spans="1:8" x14ac:dyDescent="0.25">
      <c r="A263" s="87"/>
      <c r="H263" s="88"/>
    </row>
    <row r="264" spans="1:8" x14ac:dyDescent="0.25">
      <c r="A264" s="87" t="str">
        <f>"Rilim(Rdson) = "&amp;Rilim_Rdson&amp;"Ω"</f>
        <v>Rilim(Rdson) = 274Ω</v>
      </c>
      <c r="B264" t="str">
        <f>IF(Rilim_Rdson&gt;999,Rilim_Rdson/1000&amp;"kΩ", Rilim_Rdson&amp;"Ω")</f>
        <v>274Ω</v>
      </c>
      <c r="C264">
        <f>IF(Rilim_Rdson&gt;999,Rilim_Rdson/1000, Rilim_Rdson)</f>
        <v>274</v>
      </c>
      <c r="H264" s="88"/>
    </row>
    <row r="265" spans="1:8" x14ac:dyDescent="0.25">
      <c r="A265" s="87" t="str">
        <f>"Rilim(shunt) = "&amp;Rilim_shunt&amp;"Ω"</f>
        <v>Rilim(shunt) = 549Ω</v>
      </c>
      <c r="B265" t="str">
        <f>IF('Standard Value Calculator'!S22&gt;999, 'Standard Value Calculator'!S22/1000&amp;"kΩ", 'Standard Value Calculator'!S22&amp;"Ω")</f>
        <v>549Ω</v>
      </c>
      <c r="C265">
        <f>IF('Standard Value Calculator'!S22&gt;999, 'Standard Value Calculator'!S22/1000, 'Standard Value Calculator'!S22)</f>
        <v>549</v>
      </c>
      <c r="H265" s="88"/>
    </row>
    <row r="266" spans="1:8" x14ac:dyDescent="0.25">
      <c r="A266" s="87" t="s">
        <v>700</v>
      </c>
      <c r="B266" t="str">
        <f>Cilim_ideal&amp;"pF"</f>
        <v>22pF</v>
      </c>
      <c r="C266" s="463">
        <f>Cilim_ideal</f>
        <v>22</v>
      </c>
      <c r="H266" s="88"/>
    </row>
    <row r="267" spans="1:8" x14ac:dyDescent="0.25">
      <c r="A267" s="388"/>
      <c r="H267" s="88"/>
    </row>
    <row r="268" spans="1:8" x14ac:dyDescent="0.25">
      <c r="A268" s="389" t="s">
        <v>601</v>
      </c>
      <c r="B268" t="str">
        <f>IF(RDSON_sense=1, 'Variable Management'!B264,'Variable Management'!B265)</f>
        <v>274Ω</v>
      </c>
      <c r="C268">
        <f>IF(RDSON_sense=1, 'Variable Management'!C264,'Variable Management'!C265)</f>
        <v>274</v>
      </c>
      <c r="H268" s="88"/>
    </row>
    <row r="269" spans="1:8" x14ac:dyDescent="0.25">
      <c r="A269" s="389" t="str">
        <f>IF(RDSON_sense=1, "", "Rs")</f>
        <v/>
      </c>
      <c r="B269" t="str">
        <f>IF(RDSON_sense=1, "", Rshunt*1000&amp;"mΩ")</f>
        <v/>
      </c>
      <c r="D269" t="s">
        <v>702</v>
      </c>
      <c r="H269" s="88"/>
    </row>
    <row r="270" spans="1:8" x14ac:dyDescent="0.25">
      <c r="A270" s="389" t="str">
        <f>IF(RDSON_sense=1, "Cilim", "")</f>
        <v>Cilim</v>
      </c>
      <c r="B270" t="str">
        <f>IF(RDSON_sense=1, IF(Cilim_ideal&lt;3.3, "N/A", Cilim_ideal&amp;"pF"), "")</f>
        <v>22pF</v>
      </c>
      <c r="C270" s="428" t="str">
        <f>IF(RDSON_sense=1, IF(Cilim_ideal&lt;3.3, "N/A", Cilim_ideal&amp;""), "")</f>
        <v>22</v>
      </c>
      <c r="D270" t="s">
        <v>703</v>
      </c>
      <c r="H270" s="88"/>
    </row>
    <row r="271" spans="1:8" x14ac:dyDescent="0.25">
      <c r="A271" s="388"/>
      <c r="H271" s="88"/>
    </row>
    <row r="272" spans="1:8" x14ac:dyDescent="0.25">
      <c r="A272" s="388"/>
      <c r="H272" s="88"/>
    </row>
    <row r="273" spans="1:8" x14ac:dyDescent="0.25">
      <c r="A273" s="87" t="s">
        <v>429</v>
      </c>
      <c r="B273" t="str">
        <f>'Standard Value Calculator'!S24/1000&amp;"kΩ"</f>
        <v>0kΩ</v>
      </c>
      <c r="C273">
        <f>'Standard Value Calculator'!S24/1000</f>
        <v>0</v>
      </c>
      <c r="H273" s="88"/>
    </row>
    <row r="274" spans="1:8" x14ac:dyDescent="0.25">
      <c r="A274" s="306" t="s">
        <v>524</v>
      </c>
      <c r="B274" s="171" t="s">
        <v>525</v>
      </c>
      <c r="H274" s="88"/>
    </row>
    <row r="275" spans="1:8" x14ac:dyDescent="0.25">
      <c r="A275" s="87" t="s">
        <v>296</v>
      </c>
      <c r="B275" t="str">
        <f>'Standard Value Calculator'!S4/1000&amp;"kΩ"</f>
        <v>33.2kΩ</v>
      </c>
      <c r="H275" s="88"/>
    </row>
    <row r="276" spans="1:8" x14ac:dyDescent="0.25">
      <c r="A276" s="87" t="s">
        <v>295</v>
      </c>
      <c r="B276" t="str">
        <f>'Standard Value Calculator'!B4*1000000000 &amp;"nF"</f>
        <v>100nF</v>
      </c>
      <c r="H276" s="88"/>
    </row>
    <row r="277" spans="1:8" x14ac:dyDescent="0.25">
      <c r="A277" s="306" t="s">
        <v>526</v>
      </c>
      <c r="B277" s="171" t="s">
        <v>563</v>
      </c>
      <c r="H277" s="88"/>
    </row>
    <row r="278" spans="1:8" x14ac:dyDescent="0.25">
      <c r="A278" s="87" t="s">
        <v>358</v>
      </c>
      <c r="B278" t="str">
        <f>IF(B47="y","","|")</f>
        <v>|</v>
      </c>
      <c r="H278" s="88"/>
    </row>
    <row r="279" spans="1:8" x14ac:dyDescent="0.25">
      <c r="A279" s="87" t="s">
        <v>385</v>
      </c>
      <c r="B279" t="str">
        <f>'Design Regulator'!$E$10&amp;"A"</f>
        <v>6A</v>
      </c>
      <c r="H279" s="88"/>
    </row>
    <row r="280" spans="1:8" x14ac:dyDescent="0.25">
      <c r="A280" s="87" t="s">
        <v>281</v>
      </c>
      <c r="B280" t="str">
        <f>Vin&amp;"V"</f>
        <v>24V</v>
      </c>
      <c r="H280" s="88"/>
    </row>
    <row r="281" spans="1:8" x14ac:dyDescent="0.25">
      <c r="A281" s="389" t="s">
        <v>708</v>
      </c>
      <c r="B281" t="str">
        <f>Vinmin&amp;"V to "&amp;Vinmax&amp;"V"</f>
        <v>18V to 36V</v>
      </c>
      <c r="H281" s="88"/>
    </row>
    <row r="282" spans="1:8" x14ac:dyDescent="0.25">
      <c r="A282" s="389"/>
      <c r="H282" s="88"/>
    </row>
    <row r="283" spans="1:8" x14ac:dyDescent="0.25">
      <c r="A283" s="87"/>
      <c r="H283" s="88"/>
    </row>
    <row r="284" spans="1:8" x14ac:dyDescent="0.25">
      <c r="A284" s="87" t="s">
        <v>394</v>
      </c>
      <c r="B284">
        <v>12</v>
      </c>
      <c r="H284" s="88"/>
    </row>
    <row r="285" spans="1:8" x14ac:dyDescent="0.25">
      <c r="A285" s="87" t="s">
        <v>395</v>
      </c>
      <c r="B285">
        <v>18</v>
      </c>
      <c r="H285" s="88"/>
    </row>
    <row r="286" spans="1:8" x14ac:dyDescent="0.25">
      <c r="A286" s="87" t="s">
        <v>396</v>
      </c>
      <c r="B286">
        <v>14</v>
      </c>
      <c r="H286" s="88"/>
    </row>
    <row r="287" spans="1:8" x14ac:dyDescent="0.25">
      <c r="A287" s="87" t="s">
        <v>397</v>
      </c>
      <c r="B287">
        <v>6</v>
      </c>
      <c r="H287" s="88"/>
    </row>
    <row r="288" spans="1:8" x14ac:dyDescent="0.25">
      <c r="A288" s="87" t="s">
        <v>398</v>
      </c>
      <c r="B288">
        <v>7</v>
      </c>
      <c r="H288" s="88"/>
    </row>
    <row r="289" spans="1:8" x14ac:dyDescent="0.25">
      <c r="A289" s="87" t="s">
        <v>399</v>
      </c>
      <c r="B289">
        <v>11</v>
      </c>
      <c r="H289" s="88"/>
    </row>
    <row r="290" spans="1:8" x14ac:dyDescent="0.25">
      <c r="A290" s="87" t="s">
        <v>400</v>
      </c>
      <c r="B290">
        <v>1</v>
      </c>
      <c r="H290" s="88"/>
    </row>
    <row r="291" spans="1:8" x14ac:dyDescent="0.25">
      <c r="A291" s="87" t="s">
        <v>401</v>
      </c>
      <c r="B291">
        <v>5</v>
      </c>
      <c r="H291" s="88"/>
    </row>
    <row r="292" spans="1:8" x14ac:dyDescent="0.25">
      <c r="A292" s="87" t="s">
        <v>402</v>
      </c>
      <c r="B292">
        <v>13</v>
      </c>
      <c r="H292" s="88"/>
    </row>
    <row r="293" spans="1:8" x14ac:dyDescent="0.25">
      <c r="A293" s="87" t="s">
        <v>403</v>
      </c>
      <c r="B293">
        <v>4</v>
      </c>
      <c r="H293" s="88"/>
    </row>
    <row r="294" spans="1:8" x14ac:dyDescent="0.25">
      <c r="A294" s="87" t="s">
        <v>404</v>
      </c>
      <c r="B294">
        <v>3</v>
      </c>
      <c r="H294" s="88"/>
    </row>
    <row r="295" spans="1:8" x14ac:dyDescent="0.25">
      <c r="A295" s="87" t="s">
        <v>405</v>
      </c>
      <c r="B295">
        <v>24</v>
      </c>
      <c r="H295" s="88"/>
    </row>
    <row r="296" spans="1:8" x14ac:dyDescent="0.25">
      <c r="A296" s="87" t="s">
        <v>406</v>
      </c>
      <c r="B296">
        <v>23</v>
      </c>
      <c r="H296" s="88"/>
    </row>
    <row r="297" spans="1:8" x14ac:dyDescent="0.25">
      <c r="A297" s="87" t="s">
        <v>407</v>
      </c>
      <c r="B297">
        <v>15</v>
      </c>
      <c r="H297" s="88"/>
    </row>
    <row r="298" spans="1:8" x14ac:dyDescent="0.25">
      <c r="A298" s="87" t="s">
        <v>408</v>
      </c>
      <c r="B298">
        <v>16</v>
      </c>
      <c r="H298" s="88"/>
    </row>
    <row r="299" spans="1:8" x14ac:dyDescent="0.25">
      <c r="A299" s="87" t="s">
        <v>409</v>
      </c>
      <c r="B299">
        <v>17</v>
      </c>
      <c r="H299" s="88"/>
    </row>
    <row r="300" spans="1:8" x14ac:dyDescent="0.25">
      <c r="A300" t="s">
        <v>427</v>
      </c>
      <c r="B300">
        <v>2</v>
      </c>
      <c r="H300" s="88"/>
    </row>
    <row r="301" spans="1:8" x14ac:dyDescent="0.25">
      <c r="A301" s="87" t="s">
        <v>424</v>
      </c>
      <c r="B301">
        <v>8</v>
      </c>
      <c r="H301" s="88"/>
    </row>
    <row r="302" spans="1:8" x14ac:dyDescent="0.25">
      <c r="A302" s="87" t="s">
        <v>425</v>
      </c>
      <c r="B302">
        <v>9</v>
      </c>
      <c r="H302" s="88"/>
    </row>
    <row r="303" spans="1:8" ht="13.8" thickBot="1" x14ac:dyDescent="0.3">
      <c r="A303" s="91" t="s">
        <v>426</v>
      </c>
      <c r="B303" s="92">
        <v>10</v>
      </c>
      <c r="C303" s="92"/>
      <c r="D303" s="92"/>
      <c r="E303" s="92"/>
      <c r="F303" s="92"/>
      <c r="G303" s="92"/>
      <c r="H303" s="93"/>
    </row>
    <row r="307" spans="1:2" x14ac:dyDescent="0.25">
      <c r="A307" s="167"/>
    </row>
    <row r="308" spans="1:2" x14ac:dyDescent="0.25">
      <c r="A308" s="461" t="s">
        <v>695</v>
      </c>
      <c r="B308" s="54" t="str">
        <f>ROUND('Power Calculations'!AU209*1,1)&amp;"%"</f>
        <v>95.1%</v>
      </c>
    </row>
    <row r="309" spans="1:2" x14ac:dyDescent="0.25">
      <c r="A309" s="461" t="s">
        <v>696</v>
      </c>
      <c r="B309" s="54" t="str">
        <f>ROUND('Power Calculations'!AU109*1,1)&amp;"%"</f>
        <v>93.1%</v>
      </c>
    </row>
    <row r="346" spans="1:1" x14ac:dyDescent="0.25">
      <c r="A346" t="s">
        <v>316</v>
      </c>
    </row>
    <row r="347" spans="1:1" x14ac:dyDescent="0.25">
      <c r="A347" t="s">
        <v>317</v>
      </c>
    </row>
    <row r="348" spans="1:1" x14ac:dyDescent="0.25">
      <c r="A348" t="s">
        <v>318</v>
      </c>
    </row>
    <row r="349" spans="1:1" x14ac:dyDescent="0.25">
      <c r="A349" t="s">
        <v>319</v>
      </c>
    </row>
  </sheetData>
  <sheetProtection selectLockedCells="1"/>
  <mergeCells count="2">
    <mergeCell ref="D5:G5"/>
    <mergeCell ref="A1:H1"/>
  </mergeCells>
  <phoneticPr fontId="5" type="noConversion"/>
  <pageMargins left="0.75" right="0.75" top="1" bottom="1" header="0.5" footer="0.5"/>
  <pageSetup orientation="portrait" r:id="rId1"/>
  <headerFooter alignWithMargins="0"/>
  <ignoredErrors>
    <ignoredError sqref="L69:L73" numberStoredAsText="1"/>
  </ignoredErrors>
  <drawing r:id="rId2"/>
  <legacyDrawing r:id="rId3"/>
  <oleObjects>
    <mc:AlternateContent xmlns:mc="http://schemas.openxmlformats.org/markup-compatibility/2006">
      <mc:Choice Requires="x14">
        <oleObject progId="Visio.Drawing.11" shapeId="3073" r:id="rId4">
          <objectPr defaultSize="0" autoPict="0" r:id="rId5">
            <anchor moveWithCells="1">
              <from>
                <xdr:col>9</xdr:col>
                <xdr:colOff>220980</xdr:colOff>
                <xdr:row>10</xdr:row>
                <xdr:rowOff>114300</xdr:rowOff>
              </from>
              <to>
                <xdr:col>16</xdr:col>
                <xdr:colOff>30480</xdr:colOff>
                <xdr:row>31</xdr:row>
                <xdr:rowOff>121920</xdr:rowOff>
              </to>
            </anchor>
          </objectPr>
        </oleObject>
      </mc:Choice>
      <mc:Fallback>
        <oleObject progId="Visio.Drawing.11" shapeId="3073" r:id="rId4"/>
      </mc:Fallback>
    </mc:AlternateContent>
  </oleObjec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2:T159"/>
  <sheetViews>
    <sheetView workbookViewId="0">
      <selection activeCell="S4" sqref="S4"/>
    </sheetView>
  </sheetViews>
  <sheetFormatPr defaultRowHeight="13.2" x14ac:dyDescent="0.25"/>
  <cols>
    <col min="1" max="1" width="17.33203125" customWidth="1"/>
    <col min="2" max="2" width="12" bestFit="1" customWidth="1"/>
    <col min="3" max="5" width="12.44140625" bestFit="1" customWidth="1"/>
    <col min="8" max="8" width="12.44140625" bestFit="1" customWidth="1"/>
    <col min="14" max="14" width="11.88671875" customWidth="1"/>
    <col min="17" max="17" width="12.109375" customWidth="1"/>
    <col min="18" max="18" width="12.44140625" bestFit="1" customWidth="1"/>
    <col min="19" max="19" width="15.44140625" customWidth="1"/>
  </cols>
  <sheetData>
    <row r="2" spans="1:20" x14ac:dyDescent="0.25">
      <c r="A2" t="s">
        <v>307</v>
      </c>
      <c r="B2" t="s">
        <v>295</v>
      </c>
      <c r="C2" t="s">
        <v>54</v>
      </c>
      <c r="D2" t="s">
        <v>55</v>
      </c>
      <c r="E2" t="s">
        <v>57</v>
      </c>
      <c r="F2" t="s">
        <v>36</v>
      </c>
      <c r="G2" t="s">
        <v>127</v>
      </c>
      <c r="H2" t="s">
        <v>700</v>
      </c>
      <c r="I2" t="s">
        <v>321</v>
      </c>
      <c r="J2" t="s">
        <v>305</v>
      </c>
      <c r="K2" t="s">
        <v>325</v>
      </c>
      <c r="L2" t="s">
        <v>304</v>
      </c>
      <c r="M2" t="s">
        <v>315</v>
      </c>
      <c r="N2" t="s">
        <v>359</v>
      </c>
    </row>
    <row r="3" spans="1:20" x14ac:dyDescent="0.25">
      <c r="A3" t="s">
        <v>310</v>
      </c>
      <c r="B3">
        <f>Css</f>
        <v>9.9999999999999995E-8</v>
      </c>
      <c r="C3">
        <f>Cc1ea</f>
        <v>5.1439865311492051E-9</v>
      </c>
      <c r="D3">
        <f>Cc2ea</f>
        <v>1.2484530544908066E-10</v>
      </c>
      <c r="E3">
        <f>Cc3ea</f>
        <v>1.5161917984352659E-9</v>
      </c>
      <c r="F3">
        <f>Cout</f>
        <v>1.3200000000000001E-4</v>
      </c>
      <c r="G3">
        <f>Cin</f>
        <v>1.1E-4</v>
      </c>
      <c r="H3">
        <f>Cilim</f>
        <v>2.0017379597104269E-11</v>
      </c>
      <c r="I3">
        <f>Cdd</f>
        <v>0</v>
      </c>
      <c r="J3">
        <f>Csb</f>
        <v>0</v>
      </c>
      <c r="K3">
        <f>Csby</f>
        <v>100</v>
      </c>
      <c r="L3">
        <f>Cby</f>
        <v>0</v>
      </c>
      <c r="M3">
        <f>Cb</f>
        <v>0</v>
      </c>
      <c r="N3" t="e">
        <f>'Variable Management'!#REF!</f>
        <v>#REF!</v>
      </c>
      <c r="Q3" t="s">
        <v>312</v>
      </c>
      <c r="R3" t="s">
        <v>314</v>
      </c>
      <c r="S3" s="2" t="s">
        <v>309</v>
      </c>
    </row>
    <row r="4" spans="1:20" ht="13.8" x14ac:dyDescent="0.3">
      <c r="A4" s="7" t="s">
        <v>309</v>
      </c>
      <c r="B4" s="7">
        <f>SUM(B6:B158)/1000000000000</f>
        <v>9.9999999999999995E-8</v>
      </c>
      <c r="C4" s="7">
        <f t="shared" ref="C4:H4" si="0">SUM(C6:C158)/1000000000000</f>
        <v>4.6999999999999999E-9</v>
      </c>
      <c r="D4" s="7">
        <f t="shared" si="0"/>
        <v>1.2E-10</v>
      </c>
      <c r="E4" s="7">
        <f t="shared" si="0"/>
        <v>1.5E-9</v>
      </c>
      <c r="F4" s="7">
        <f t="shared" si="0"/>
        <v>1.2E-4</v>
      </c>
      <c r="G4" s="7">
        <f t="shared" si="0"/>
        <v>1.2E-4</v>
      </c>
      <c r="H4" s="7">
        <f t="shared" si="0"/>
        <v>2.2000000000000002E-11</v>
      </c>
      <c r="I4" s="7">
        <f t="shared" ref="I4:N4" si="1">IF(I3="OPEN","OPEN",SUM(I6:I158)/1000000000000)</f>
        <v>0</v>
      </c>
      <c r="J4" s="7">
        <f t="shared" si="1"/>
        <v>0</v>
      </c>
      <c r="K4" s="7">
        <f t="shared" si="1"/>
        <v>0</v>
      </c>
      <c r="L4" s="7">
        <f t="shared" si="1"/>
        <v>0</v>
      </c>
      <c r="M4" s="7">
        <f t="shared" si="1"/>
        <v>0</v>
      </c>
      <c r="N4" s="7" t="e">
        <f t="shared" si="1"/>
        <v>#REF!</v>
      </c>
      <c r="Q4" t="s">
        <v>313</v>
      </c>
      <c r="R4">
        <f>Rfadj</f>
        <v>33333.333333333336</v>
      </c>
      <c r="S4" s="2">
        <f t="shared" ref="S4:S6" si="2">IF(R4&gt;(INT(0.5+100*POWER(10,IF(96*(LOG(R4)-INT(LOG(R4)))-ROUND(96*(LOG(R4)-INT(LOG(R4))),0)&lt;0,ROUND(96*(LOG(R4)-INT(LOG(R4))),0)-1,ROUND(96*(LOG(R4)-INT(LOG(R4))),0))/96))*POWER(10,INT(LOG(R4))-2)+INT(0.5+100*POWER(10,(IF(96*(LOG(R4)-INT(LOG(R4)))-ROUND(96*(LOG(R4)-INT(LOG(R4))),0)&lt;0,ROUND(96*(LOG(R4)-INT(LOG(R4))),0)-1,ROUND(96*(LOG(R4)-INT(LOG(R4))),0))+1)/96))*POWER(10,INT(LOG(R4))-2))/2,INT(0.5+100*POWER(10,(IF(96*(LOG(R4)-INT(LOG(R4)))-ROUND(96*(LOG(R4)-INT(LOG(R4))),0)&lt;0,ROUND(96*(LOG(R4)-INT(LOG(R4))),0)-1,ROUND(96*(LOG(R4)-INT(LOG(R4))),0))+1)/96))*POWER(10,INT(LOG(R4))-2),INT(0.5+100*POWER(10,IF(96*(LOG(R4)-INT(LOG(R4)))-ROUND(96*(LOG(R4)-INT(LOG(R4))),0)&lt;0,ROUND(96*(LOG(R4)-INT(LOG(R4))),0)-1,ROUND(96*(LOG(R4)-INT(LOG(R4))),0))/96))*POWER(10,INT(LOG(R4))-2))</f>
        <v>33200</v>
      </c>
      <c r="T4" s="55" t="s">
        <v>539</v>
      </c>
    </row>
    <row r="5" spans="1:20" ht="13.8" x14ac:dyDescent="0.3">
      <c r="A5" t="s">
        <v>308</v>
      </c>
      <c r="Q5" s="171" t="s">
        <v>594</v>
      </c>
      <c r="R5">
        <f>Rilim_Rdson_ideal</f>
        <v>272.51199324324324</v>
      </c>
      <c r="S5" s="2">
        <f t="shared" si="2"/>
        <v>274</v>
      </c>
      <c r="T5" s="55" t="s">
        <v>539</v>
      </c>
    </row>
    <row r="6" spans="1:20" ht="13.8" x14ac:dyDescent="0.3">
      <c r="A6">
        <v>0.47</v>
      </c>
      <c r="B6">
        <f>IF(IF((B$3*10^12-$A7)*(B$3*10^12-$A6)*-1&lt;0,0,1)*IF(ABS(B$3*10^12-$A7)&gt;(B$3*10^12-$A6),$A6,$A7)=B7,0,IF((B$3*10^12-$A7)*(B$3*10^12-$A6)*-1&lt;0,0,1)*IF(ABS(B$3*10^12-$A7)&gt;(B$3*10^12-$A6),$A6,$A7))</f>
        <v>0</v>
      </c>
      <c r="C6">
        <f>IF(IF((C$3*10^12-$A7)*(C$3*10^12-$A6)*-1&lt;0,0,1)*IF(ABS(C$3*10^12-$A7)&gt;(C$3*10^12-$A6),$A6,$A7)=C7,0,IF((C$3*10^12-$A7)*(C$3*10^12-$A6)*-1&lt;0,0,1)*IF(ABS(C$3*10^12-$A7)&gt;(C$3*10^12-$A6),$A6,$A7))</f>
        <v>0</v>
      </c>
      <c r="D6">
        <f t="shared" ref="D6:D69" si="3">IF(IF((D$3*10^12-$A7)*(D$3*10^12-$A6)*-1&lt;0,0,1)*IF(ABS(D$3*10^12-$A7)&gt;(D$3*10^12-$A6),$A6,$A7)=D7,0,IF((D$3*10^12-$A7)*(D$3*10^12-$A6)*-1&lt;0,0,1)*IF(ABS(D$3*10^12-$A7)&gt;(D$3*10^12-$A6),$A6,$A7))</f>
        <v>0</v>
      </c>
      <c r="E6">
        <f t="shared" ref="E6:E69" si="4">IF(IF((E$3*10^12-$A7)*(E$3*10^12-$A6)*-1&lt;0,0,1)*IF(ABS(E$3*10^12-$A7)&gt;(E$3*10^12-$A6),$A6,$A7)=E7,0,IF((E$3*10^12-$A7)*(E$3*10^12-$A6)*-1&lt;0,0,1)*IF(ABS(E$3*10^12-$A7)&gt;(E$3*10^12-$A6),$A6,$A7))</f>
        <v>0</v>
      </c>
      <c r="F6">
        <f t="shared" ref="F6:F69" si="5">IF(IF((F$3*10^12-$A7)*(F$3*10^12-$A6)*-1&lt;0,0,1)*IF(ABS(F$3*10^12-$A7)&gt;(F$3*10^12-$A6),$A6,$A7)=F7,0,IF((F$3*10^12-$A7)*(F$3*10^12-$A6)*-1&lt;0,0,1)*IF(ABS(F$3*10^12-$A7)&gt;(F$3*10^12-$A6),$A6,$A7))</f>
        <v>0</v>
      </c>
      <c r="G6">
        <f t="shared" ref="G6:G69" si="6">IF(IF((G$3*10^12-$A7)*(G$3*10^12-$A6)*-1&lt;0,0,1)*IF(ABS(G$3*10^12-$A7)&gt;(G$3*10^12-$A6),$A6,$A7)=G7,0,IF((G$3*10^12-$A7)*(G$3*10^12-$A6)*-1&lt;0,0,1)*IF(ABS(G$3*10^12-$A7)&gt;(G$3*10^12-$A6),$A6,$A7))</f>
        <v>0</v>
      </c>
      <c r="H6">
        <f t="shared" ref="H6:K69" si="7">IF(IF((H$3*10^12-$A7)*(H$3*10^12-$A6)*-1&lt;0,0,1)*IF(ABS(H$3*10^12-$A7)&gt;(H$3*10^12-$A6),$A6,$A7)=H7,0,IF((H$3*10^12-$A7)*(H$3*10^12-$A6)*-1&lt;0,0,1)*IF(ABS(H$3*10^12-$A7)&gt;(H$3*10^12-$A6),$A6,$A7))</f>
        <v>0</v>
      </c>
      <c r="I6">
        <f t="shared" si="7"/>
        <v>0</v>
      </c>
      <c r="J6">
        <f t="shared" si="7"/>
        <v>0</v>
      </c>
      <c r="K6">
        <f t="shared" si="7"/>
        <v>0</v>
      </c>
      <c r="L6">
        <f t="shared" ref="L6:L69" si="8">IF(IF((L$3*10^12-$A7)*(L$3*10^12-$A6)*-1&lt;0,0,1)*IF(ABS(L$3*10^12-$A7)&gt;(L$3*10^12-$A6),$A6,$A7)=L7,0,IF((L$3*10^12-$A7)*(L$3*10^12-$A6)*-1&lt;0,0,1)*IF(ABS(L$3*10^12-$A7)&gt;(L$3*10^12-$A6),$A6,$A7))</f>
        <v>0</v>
      </c>
      <c r="M6">
        <f t="shared" ref="M6:M37" si="9">IF(IF((M$3*10^12-$A7)*(M$3*10^12-$A6)*-1&lt;0,0,1)*IF(ABS(M$3*10^12-$A7)&gt;(M$3*10^12-$A6),$A6,$A7)=M7,0,IF((M$3*10^12-$A7)*(M$3*10^12-$A6)*-1&lt;0,0,1)*IF(ABS(M$3*10^12-$A7)&gt;(M$3*10^12-$A6),$A6,$A7))</f>
        <v>0</v>
      </c>
      <c r="N6" t="e">
        <f t="shared" ref="N6:N37" si="10">IF(IF((N$3*10^12-$A7)*(N$3*10^12-$A6)*-1&lt;0,0,1)*IF(ABS(N$3*10^12-$A7)&gt;(N$3*10^12-$A6),$A6,$A7)=N7,0,IF((N$3*10^12-$A7)*(N$3*10^12-$A6)*-1&lt;0,0,1)*IF(ABS(N$3*10^12-$A7)&gt;(N$3*10^12-$A6),$A6,$A7))</f>
        <v>#REF!</v>
      </c>
      <c r="Q6" s="171" t="s">
        <v>594</v>
      </c>
      <c r="R6">
        <f>Rilim_Rdson_ideal</f>
        <v>272.51199324324324</v>
      </c>
      <c r="S6" s="2">
        <f t="shared" si="2"/>
        <v>274</v>
      </c>
      <c r="T6" s="55" t="s">
        <v>539</v>
      </c>
    </row>
    <row r="7" spans="1:20" x14ac:dyDescent="0.25">
      <c r="A7">
        <v>0.56000000000000005</v>
      </c>
      <c r="B7">
        <f t="shared" ref="B7:B70" si="11">IF(IF((B$3*10^12-$A8)*(B$3*10^12-$A7)*-1&lt;0,0,1)*IF(ABS(B$3*10^12-$A8)&gt;(B$3*10^12-$A7),$A7,$A8)=B8,0,IF((B$3*10^12-$A8)*(B$3*10^12-$A7)*-1&lt;0,0,1)*IF(ABS(B$3*10^12-$A8)&gt;(B$3*10^12-$A7),$A7,$A8))</f>
        <v>0</v>
      </c>
      <c r="C7">
        <f t="shared" ref="C7:C38" si="12">IF(IF((C$3*10^12-$A8)*(C$3*10^12-$A7)*-1&lt;0,0,1)*IF(ABS(C$3*10^12-$A8)&gt;(C$3*10^12-$A7),$A7,$A8)=C8,0,IF((C$3*10^12-$A8)*(C$3*10^12-$A7)*-1&lt;0,0,1)*IF(ABS(C$3*10^12-$A8)&gt;(C$3*10^12-$A7),$A7,$A8))</f>
        <v>0</v>
      </c>
      <c r="D7">
        <f t="shared" si="3"/>
        <v>0</v>
      </c>
      <c r="E7">
        <f t="shared" si="4"/>
        <v>0</v>
      </c>
      <c r="F7">
        <f t="shared" si="5"/>
        <v>0</v>
      </c>
      <c r="G7">
        <f t="shared" si="6"/>
        <v>0</v>
      </c>
      <c r="H7">
        <f t="shared" si="7"/>
        <v>0</v>
      </c>
      <c r="I7">
        <f t="shared" si="7"/>
        <v>0</v>
      </c>
      <c r="J7">
        <f t="shared" si="7"/>
        <v>0</v>
      </c>
      <c r="K7">
        <f t="shared" si="7"/>
        <v>0</v>
      </c>
      <c r="L7">
        <f t="shared" si="8"/>
        <v>0</v>
      </c>
      <c r="M7">
        <f t="shared" si="9"/>
        <v>0</v>
      </c>
      <c r="N7" t="e">
        <f t="shared" si="10"/>
        <v>#REF!</v>
      </c>
    </row>
    <row r="8" spans="1:20" ht="13.8" x14ac:dyDescent="0.3">
      <c r="A8">
        <v>0.68</v>
      </c>
      <c r="B8">
        <f t="shared" si="11"/>
        <v>0</v>
      </c>
      <c r="C8">
        <f t="shared" si="12"/>
        <v>0</v>
      </c>
      <c r="D8">
        <f t="shared" si="3"/>
        <v>0</v>
      </c>
      <c r="E8">
        <f t="shared" si="4"/>
        <v>0</v>
      </c>
      <c r="F8">
        <f t="shared" si="5"/>
        <v>0</v>
      </c>
      <c r="G8">
        <f t="shared" si="6"/>
        <v>0</v>
      </c>
      <c r="H8">
        <f t="shared" si="7"/>
        <v>0</v>
      </c>
      <c r="I8">
        <f t="shared" si="7"/>
        <v>0</v>
      </c>
      <c r="J8">
        <f t="shared" si="7"/>
        <v>0</v>
      </c>
      <c r="K8">
        <f t="shared" si="7"/>
        <v>0</v>
      </c>
      <c r="L8">
        <f t="shared" si="8"/>
        <v>0</v>
      </c>
      <c r="M8">
        <f t="shared" si="9"/>
        <v>0</v>
      </c>
      <c r="N8" t="e">
        <f t="shared" si="10"/>
        <v>#REF!</v>
      </c>
      <c r="Q8" t="s">
        <v>345</v>
      </c>
      <c r="R8">
        <f>Rcea1</f>
        <v>8705.0480292636621</v>
      </c>
      <c r="S8" s="2">
        <f>IF(R8&gt;(INT(0.5+100*POWER(10,IF(96*(LOG(R8)-INT(LOG(R8)))-ROUND(96*(LOG(R8)-INT(LOG(R8))),0)&lt;0,ROUND(96*(LOG(R8)-INT(LOG(R8))),0)-1,ROUND(96*(LOG(R8)-INT(LOG(R8))),0))/96))*POWER(10,INT(LOG(R8))-2)+INT(0.5+100*POWER(10,(IF(96*(LOG(R8)-INT(LOG(R8)))-ROUND(96*(LOG(R8)-INT(LOG(R8))),0)&lt;0,ROUND(96*(LOG(R8)-INT(LOG(R8))),0)-1,ROUND(96*(LOG(R8)-INT(LOG(R8))),0))+1)/96))*POWER(10,INT(LOG(R8))-2))/2,INT(0.5+100*POWER(10,(IF(96*(LOG(R8)-INT(LOG(R8)))-ROUND(96*(LOG(R8)-INT(LOG(R8))),0)&lt;0,ROUND(96*(LOG(R8)-INT(LOG(R8))),0)-1,ROUND(96*(LOG(R8)-INT(LOG(R8))),0))+1)/96))*POWER(10,INT(LOG(R8))-2),INT(0.5+100*POWER(10,IF(96*(LOG(R8)-INT(LOG(R8)))-ROUND(96*(LOG(R8)-INT(LOG(R8))),0)&lt;0,ROUND(96*(LOG(R8)-INT(LOG(R8))),0)-1,ROUND(96*(LOG(R8)-INT(LOG(R8))),0))/96))*POWER(10,INT(LOG(R8))-2))</f>
        <v>8660</v>
      </c>
      <c r="T8" s="55" t="s">
        <v>539</v>
      </c>
    </row>
    <row r="9" spans="1:20" ht="13.8" x14ac:dyDescent="0.3">
      <c r="A9">
        <v>0.82</v>
      </c>
      <c r="B9">
        <f t="shared" si="11"/>
        <v>0</v>
      </c>
      <c r="C9">
        <f t="shared" si="12"/>
        <v>0</v>
      </c>
      <c r="D9">
        <f t="shared" si="3"/>
        <v>0</v>
      </c>
      <c r="E9">
        <f t="shared" si="4"/>
        <v>0</v>
      </c>
      <c r="F9">
        <f t="shared" si="5"/>
        <v>0</v>
      </c>
      <c r="G9">
        <f t="shared" si="6"/>
        <v>0</v>
      </c>
      <c r="H9">
        <f t="shared" si="7"/>
        <v>0</v>
      </c>
      <c r="I9">
        <f t="shared" si="7"/>
        <v>0</v>
      </c>
      <c r="J9">
        <f t="shared" si="7"/>
        <v>0</v>
      </c>
      <c r="K9">
        <f t="shared" si="7"/>
        <v>0</v>
      </c>
      <c r="L9">
        <f t="shared" si="8"/>
        <v>0</v>
      </c>
      <c r="M9">
        <f t="shared" si="9"/>
        <v>0</v>
      </c>
      <c r="N9" t="e">
        <f t="shared" si="10"/>
        <v>#REF!</v>
      </c>
      <c r="Q9" t="s">
        <v>346</v>
      </c>
      <c r="R9">
        <f>Rcea2</f>
        <v>870.60225583746148</v>
      </c>
      <c r="S9" s="2">
        <f>IF(R9&gt;(INT(0.5+100*POWER(10,IF(96*(LOG(R9)-INT(LOG(R9)))-ROUND(96*(LOG(R9)-INT(LOG(R9))),0)&lt;0,ROUND(96*(LOG(R9)-INT(LOG(R9))),0)-1,ROUND(96*(LOG(R9)-INT(LOG(R9))),0))/96))*POWER(10,INT(LOG(R9))-2)+INT(0.5+100*POWER(10,(IF(96*(LOG(R9)-INT(LOG(R9)))-ROUND(96*(LOG(R9)-INT(LOG(R9))),0)&lt;0,ROUND(96*(LOG(R9)-INT(LOG(R9))),0)-1,ROUND(96*(LOG(R9)-INT(LOG(R9))),0))+1)/96))*POWER(10,INT(LOG(R9))-2))/2,INT(0.5+100*POWER(10,(IF(96*(LOG(R9)-INT(LOG(R9)))-ROUND(96*(LOG(R9)-INT(LOG(R9))),0)&lt;0,ROUND(96*(LOG(R9)-INT(LOG(R9))),0)-1,ROUND(96*(LOG(R9)-INT(LOG(R9))),0))+1)/96))*POWER(10,INT(LOG(R9))-2),INT(0.5+100*POWER(10,IF(96*(LOG(R9)-INT(LOG(R9)))-ROUND(96*(LOG(R9)-INT(LOG(R9))),0)&lt;0,ROUND(96*(LOG(R9)-INT(LOG(R9))),0)-1,ROUND(96*(LOG(R9)-INT(LOG(R9))),0))/96))*POWER(10,INT(LOG(R9))-2))</f>
        <v>866</v>
      </c>
      <c r="T9" s="55" t="s">
        <v>539</v>
      </c>
    </row>
    <row r="10" spans="1:20" ht="13.8" x14ac:dyDescent="0.3">
      <c r="A10">
        <v>1</v>
      </c>
      <c r="B10">
        <f t="shared" si="11"/>
        <v>0</v>
      </c>
      <c r="C10">
        <f t="shared" si="12"/>
        <v>0</v>
      </c>
      <c r="D10">
        <f t="shared" si="3"/>
        <v>0</v>
      </c>
      <c r="E10">
        <f t="shared" si="4"/>
        <v>0</v>
      </c>
      <c r="F10">
        <f t="shared" si="5"/>
        <v>0</v>
      </c>
      <c r="G10">
        <f t="shared" si="6"/>
        <v>0</v>
      </c>
      <c r="H10">
        <f t="shared" si="7"/>
        <v>0</v>
      </c>
      <c r="I10">
        <f t="shared" si="7"/>
        <v>0</v>
      </c>
      <c r="J10">
        <f t="shared" si="7"/>
        <v>0</v>
      </c>
      <c r="K10">
        <f t="shared" si="7"/>
        <v>0</v>
      </c>
      <c r="L10">
        <f t="shared" si="8"/>
        <v>0</v>
      </c>
      <c r="M10">
        <f t="shared" si="9"/>
        <v>0</v>
      </c>
      <c r="N10" t="e">
        <f t="shared" si="10"/>
        <v>#REF!</v>
      </c>
      <c r="Q10" t="s">
        <v>52</v>
      </c>
      <c r="R10">
        <f>_Rfb1</f>
        <v>22100</v>
      </c>
      <c r="S10" s="2">
        <f>IF(R10&gt;(INT(0.5+100*POWER(10,IF(96*(LOG(R10)-INT(LOG(R10)))-ROUND(96*(LOG(R10)-INT(LOG(R10))),0)&lt;0,ROUND(96*(LOG(R10)-INT(LOG(R10))),0)-1,ROUND(96*(LOG(R10)-INT(LOG(R10))),0))/96))*POWER(10,INT(LOG(R10))-2)+INT(0.5+100*POWER(10,(IF(96*(LOG(R10)-INT(LOG(R10)))-ROUND(96*(LOG(R10)-INT(LOG(R10))),0)&lt;0,ROUND(96*(LOG(R10)-INT(LOG(R10))),0)-1,ROUND(96*(LOG(R10)-INT(LOG(R10))),0))+1)/96))*POWER(10,INT(LOG(R10))-2))/2,INT(0.5+100*POWER(10,(IF(96*(LOG(R10)-INT(LOG(R10)))-ROUND(96*(LOG(R10)-INT(LOG(R10))),0)&lt;0,ROUND(96*(LOG(R10)-INT(LOG(R10))),0)-1,ROUND(96*(LOG(R10)-INT(LOG(R10))),0))+1)/96))*POWER(10,INT(LOG(R10))-2),INT(0.5+100*POWER(10,IF(96*(LOG(R10)-INT(LOG(R10)))-ROUND(96*(LOG(R10)-INT(LOG(R10))),0)&lt;0,ROUND(96*(LOG(R10)-INT(LOG(R10))),0)-1,ROUND(96*(LOG(R10)-INT(LOG(R10))),0))/96))*POWER(10,INT(LOG(R10))-2))</f>
        <v>22100</v>
      </c>
      <c r="T10" s="55" t="s">
        <v>539</v>
      </c>
    </row>
    <row r="11" spans="1:20" ht="13.8" x14ac:dyDescent="0.3">
      <c r="A11">
        <v>1.2</v>
      </c>
      <c r="B11">
        <f t="shared" si="11"/>
        <v>0</v>
      </c>
      <c r="C11">
        <f t="shared" si="12"/>
        <v>0</v>
      </c>
      <c r="D11">
        <f t="shared" si="3"/>
        <v>0</v>
      </c>
      <c r="E11">
        <f t="shared" si="4"/>
        <v>0</v>
      </c>
      <c r="F11">
        <f t="shared" si="5"/>
        <v>0</v>
      </c>
      <c r="G11">
        <f t="shared" si="6"/>
        <v>0</v>
      </c>
      <c r="H11">
        <f t="shared" si="7"/>
        <v>0</v>
      </c>
      <c r="I11">
        <f t="shared" si="7"/>
        <v>0</v>
      </c>
      <c r="J11">
        <f t="shared" si="7"/>
        <v>0</v>
      </c>
      <c r="K11">
        <f t="shared" si="7"/>
        <v>0</v>
      </c>
      <c r="L11">
        <f t="shared" si="8"/>
        <v>0</v>
      </c>
      <c r="M11">
        <f t="shared" si="9"/>
        <v>0</v>
      </c>
      <c r="N11" t="e">
        <f t="shared" si="10"/>
        <v>#REF!</v>
      </c>
      <c r="Q11" t="s">
        <v>77</v>
      </c>
      <c r="R11">
        <f>_Rfb2</f>
        <v>4111.6279069767452</v>
      </c>
      <c r="S11" s="2">
        <f>IF(R11="OPEN","OPEN",IF(R11&gt;(INT(0.5+100*POWER(10,IF(96*(LOG(R11)-INT(LOG(R11)))-ROUND(96*(LOG(R11)-INT(LOG(R11))),0)&lt;0,ROUND(96*(LOG(R11)-INT(LOG(R11))),0)-1,ROUND(96*(LOG(R11)-INT(LOG(R11))),0))/96))*POWER(10,INT(LOG(R11))-2)+INT(0.5+100*POWER(10,(IF(96*(LOG(R11)-INT(LOG(R11)))-ROUND(96*(LOG(R11)-INT(LOG(R11))),0)&lt;0,ROUND(96*(LOG(R11)-INT(LOG(R11))),0)-1,ROUND(96*(LOG(R11)-INT(LOG(R11))),0))+1)/96))*POWER(10,INT(LOG(R11))-2))/2,INT(0.5+100*POWER(10,(IF(96*(LOG(R11)-INT(LOG(R11)))-ROUND(96*(LOG(R11)-INT(LOG(R11))),0)&lt;0,ROUND(96*(LOG(R11)-INT(LOG(R11))),0)-1,ROUND(96*(LOG(R11)-INT(LOG(R11))),0))+1)/96))*POWER(10,INT(LOG(R11))-2),INT(0.5+100*POWER(10,IF(96*(LOG(R11)-INT(LOG(R11)))-ROUND(96*(LOG(R11)-INT(LOG(R11))),0)&lt;0,ROUND(96*(LOG(R11)-INT(LOG(R11))),0)-1,ROUND(96*(LOG(R11)-INT(LOG(R11))),0))/96))*POWER(10,INT(LOG(R11))-2)))</f>
        <v>4120</v>
      </c>
      <c r="T11" s="55" t="s">
        <v>539</v>
      </c>
    </row>
    <row r="12" spans="1:20" x14ac:dyDescent="0.25">
      <c r="A12">
        <v>1.5</v>
      </c>
      <c r="B12">
        <f t="shared" si="11"/>
        <v>0</v>
      </c>
      <c r="C12">
        <f t="shared" si="12"/>
        <v>0</v>
      </c>
      <c r="D12">
        <f t="shared" si="3"/>
        <v>0</v>
      </c>
      <c r="E12">
        <f t="shared" si="4"/>
        <v>0</v>
      </c>
      <c r="F12">
        <f t="shared" si="5"/>
        <v>0</v>
      </c>
      <c r="G12">
        <f t="shared" si="6"/>
        <v>0</v>
      </c>
      <c r="H12">
        <f t="shared" si="7"/>
        <v>0</v>
      </c>
      <c r="I12">
        <f t="shared" si="7"/>
        <v>0</v>
      </c>
      <c r="J12">
        <f t="shared" si="7"/>
        <v>0</v>
      </c>
      <c r="K12">
        <f t="shared" si="7"/>
        <v>0</v>
      </c>
      <c r="L12">
        <f t="shared" si="8"/>
        <v>0</v>
      </c>
      <c r="M12">
        <f t="shared" si="9"/>
        <v>0</v>
      </c>
      <c r="N12" t="e">
        <f t="shared" si="10"/>
        <v>#REF!</v>
      </c>
      <c r="Q12" t="s">
        <v>316</v>
      </c>
      <c r="R12">
        <f>_Rs1</f>
        <v>22</v>
      </c>
      <c r="S12" s="2"/>
    </row>
    <row r="13" spans="1:20" x14ac:dyDescent="0.25">
      <c r="A13">
        <v>1.8</v>
      </c>
      <c r="B13">
        <f t="shared" si="11"/>
        <v>0</v>
      </c>
      <c r="C13">
        <f t="shared" si="12"/>
        <v>0</v>
      </c>
      <c r="D13">
        <f t="shared" si="3"/>
        <v>0</v>
      </c>
      <c r="E13">
        <f t="shared" si="4"/>
        <v>0</v>
      </c>
      <c r="F13">
        <f t="shared" si="5"/>
        <v>0</v>
      </c>
      <c r="G13">
        <f t="shared" si="6"/>
        <v>0</v>
      </c>
      <c r="H13">
        <f t="shared" si="7"/>
        <v>0</v>
      </c>
      <c r="I13">
        <f t="shared" si="7"/>
        <v>0</v>
      </c>
      <c r="J13">
        <f t="shared" si="7"/>
        <v>0</v>
      </c>
      <c r="K13">
        <f t="shared" si="7"/>
        <v>0</v>
      </c>
      <c r="L13">
        <f t="shared" si="8"/>
        <v>0</v>
      </c>
      <c r="M13">
        <f t="shared" si="9"/>
        <v>0</v>
      </c>
      <c r="N13" t="e">
        <f t="shared" si="10"/>
        <v>#REF!</v>
      </c>
      <c r="Q13" t="s">
        <v>317</v>
      </c>
      <c r="R13">
        <f>_Rs2</f>
        <v>2.0017379597104269E-11</v>
      </c>
      <c r="S13" s="2"/>
    </row>
    <row r="14" spans="1:20" x14ac:dyDescent="0.25">
      <c r="A14">
        <v>2.2000000000000002</v>
      </c>
      <c r="B14">
        <f t="shared" si="11"/>
        <v>0</v>
      </c>
      <c r="C14">
        <f t="shared" si="12"/>
        <v>0</v>
      </c>
      <c r="D14">
        <f t="shared" si="3"/>
        <v>0</v>
      </c>
      <c r="E14">
        <f t="shared" si="4"/>
        <v>0</v>
      </c>
      <c r="F14">
        <f t="shared" si="5"/>
        <v>0</v>
      </c>
      <c r="G14">
        <f t="shared" si="6"/>
        <v>0</v>
      </c>
      <c r="H14">
        <f t="shared" si="7"/>
        <v>0</v>
      </c>
      <c r="I14">
        <f t="shared" si="7"/>
        <v>0</v>
      </c>
      <c r="J14">
        <f t="shared" si="7"/>
        <v>0</v>
      </c>
      <c r="K14">
        <f t="shared" si="7"/>
        <v>0</v>
      </c>
      <c r="L14">
        <f t="shared" si="8"/>
        <v>0</v>
      </c>
      <c r="M14">
        <f t="shared" si="9"/>
        <v>0</v>
      </c>
      <c r="N14" t="e">
        <f t="shared" si="10"/>
        <v>#REF!</v>
      </c>
      <c r="Q14" t="s">
        <v>318</v>
      </c>
      <c r="R14">
        <f>_Rs3</f>
        <v>0.16</v>
      </c>
      <c r="S14" s="2"/>
    </row>
    <row r="15" spans="1:20" x14ac:dyDescent="0.25">
      <c r="A15">
        <v>2.7</v>
      </c>
      <c r="B15">
        <f t="shared" si="11"/>
        <v>0</v>
      </c>
      <c r="C15">
        <f t="shared" si="12"/>
        <v>0</v>
      </c>
      <c r="D15">
        <f t="shared" si="3"/>
        <v>0</v>
      </c>
      <c r="E15">
        <f t="shared" si="4"/>
        <v>0</v>
      </c>
      <c r="F15">
        <f t="shared" si="5"/>
        <v>0</v>
      </c>
      <c r="G15">
        <f t="shared" si="6"/>
        <v>0</v>
      </c>
      <c r="H15">
        <f t="shared" si="7"/>
        <v>0</v>
      </c>
      <c r="I15">
        <f t="shared" si="7"/>
        <v>0</v>
      </c>
      <c r="J15">
        <f t="shared" si="7"/>
        <v>0</v>
      </c>
      <c r="K15">
        <f t="shared" si="7"/>
        <v>0</v>
      </c>
      <c r="L15">
        <f t="shared" si="8"/>
        <v>0</v>
      </c>
      <c r="M15">
        <f t="shared" si="9"/>
        <v>0</v>
      </c>
      <c r="N15" t="e">
        <f t="shared" si="10"/>
        <v>#REF!</v>
      </c>
      <c r="S15" s="2"/>
    </row>
    <row r="16" spans="1:20" ht="13.8" x14ac:dyDescent="0.3">
      <c r="A16">
        <v>3.3</v>
      </c>
      <c r="B16">
        <f t="shared" si="11"/>
        <v>0</v>
      </c>
      <c r="C16">
        <f t="shared" si="12"/>
        <v>0</v>
      </c>
      <c r="D16">
        <f t="shared" si="3"/>
        <v>0</v>
      </c>
      <c r="E16">
        <f t="shared" si="4"/>
        <v>0</v>
      </c>
      <c r="F16">
        <f t="shared" si="5"/>
        <v>0</v>
      </c>
      <c r="G16">
        <f t="shared" si="6"/>
        <v>0</v>
      </c>
      <c r="H16">
        <f t="shared" si="7"/>
        <v>0</v>
      </c>
      <c r="I16">
        <f t="shared" si="7"/>
        <v>0</v>
      </c>
      <c r="J16">
        <f t="shared" si="7"/>
        <v>0</v>
      </c>
      <c r="K16">
        <f t="shared" si="7"/>
        <v>0</v>
      </c>
      <c r="L16">
        <f t="shared" si="8"/>
        <v>0</v>
      </c>
      <c r="M16">
        <f t="shared" si="9"/>
        <v>0</v>
      </c>
      <c r="N16" t="e">
        <f t="shared" si="10"/>
        <v>#REF!</v>
      </c>
      <c r="Q16" s="171" t="s">
        <v>527</v>
      </c>
      <c r="R16">
        <f>Ruvlo1</f>
        <v>75</v>
      </c>
      <c r="S16" s="2">
        <f t="shared" ref="S16:S17" si="13">IF(R16="OPEN","OPEN",IF(R16&gt;(INT(0.5+100*POWER(10,IF(96*(LOG(R16)-INT(LOG(R16)))-ROUND(96*(LOG(R16)-INT(LOG(R16))),0)&lt;0,ROUND(96*(LOG(R16)-INT(LOG(R16))),0)-1,ROUND(96*(LOG(R16)-INT(LOG(R16))),0))/96))*POWER(10,INT(LOG(R16))-2)+INT(0.5+100*POWER(10,(IF(96*(LOG(R16)-INT(LOG(R16)))-ROUND(96*(LOG(R16)-INT(LOG(R16))),0)&lt;0,ROUND(96*(LOG(R16)-INT(LOG(R16))),0)-1,ROUND(96*(LOG(R16)-INT(LOG(R16))),0))+1)/96))*POWER(10,INT(LOG(R16))-2))/2,INT(0.5+100*POWER(10,(IF(96*(LOG(R16)-INT(LOG(R16)))-ROUND(96*(LOG(R16)-INT(LOG(R16))),0)&lt;0,ROUND(96*(LOG(R16)-INT(LOG(R16))),0)-1,ROUND(96*(LOG(R16)-INT(LOG(R16))),0))+1)/96))*POWER(10,INT(LOG(R16))-2),INT(0.5+100*POWER(10,IF(96*(LOG(R16)-INT(LOG(R16)))-ROUND(96*(LOG(R16)-INT(LOG(R16))),0)&lt;0,ROUND(96*(LOG(R16)-INT(LOG(R16))),0)-1,ROUND(96*(LOG(R16)-INT(LOG(R16))),0))/96))*POWER(10,INT(LOG(R16))-2)))</f>
        <v>75</v>
      </c>
      <c r="T16" s="55" t="s">
        <v>493</v>
      </c>
    </row>
    <row r="17" spans="1:20" ht="13.8" x14ac:dyDescent="0.3">
      <c r="A17">
        <v>3.9</v>
      </c>
      <c r="B17">
        <f t="shared" si="11"/>
        <v>0</v>
      </c>
      <c r="C17">
        <f t="shared" si="12"/>
        <v>0</v>
      </c>
      <c r="D17">
        <f t="shared" si="3"/>
        <v>0</v>
      </c>
      <c r="E17">
        <f t="shared" si="4"/>
        <v>0</v>
      </c>
      <c r="F17">
        <f t="shared" si="5"/>
        <v>0</v>
      </c>
      <c r="G17">
        <f t="shared" si="6"/>
        <v>0</v>
      </c>
      <c r="H17">
        <f t="shared" si="7"/>
        <v>0</v>
      </c>
      <c r="I17">
        <f t="shared" si="7"/>
        <v>0</v>
      </c>
      <c r="J17">
        <f t="shared" si="7"/>
        <v>0</v>
      </c>
      <c r="K17">
        <f t="shared" si="7"/>
        <v>0</v>
      </c>
      <c r="L17">
        <f t="shared" si="8"/>
        <v>0</v>
      </c>
      <c r="M17">
        <f t="shared" si="9"/>
        <v>0</v>
      </c>
      <c r="N17" t="e">
        <f t="shared" si="10"/>
        <v>#REF!</v>
      </c>
      <c r="Q17" s="171" t="s">
        <v>528</v>
      </c>
      <c r="R17">
        <f>Ruvlo2</f>
        <v>12.622720897615709</v>
      </c>
      <c r="S17" s="2">
        <f t="shared" si="13"/>
        <v>12.700000000000001</v>
      </c>
      <c r="T17" s="55" t="s">
        <v>493</v>
      </c>
    </row>
    <row r="18" spans="1:20" x14ac:dyDescent="0.25">
      <c r="A18">
        <v>4.7</v>
      </c>
      <c r="B18">
        <f t="shared" si="11"/>
        <v>0</v>
      </c>
      <c r="C18">
        <f t="shared" si="12"/>
        <v>0</v>
      </c>
      <c r="D18">
        <f t="shared" si="3"/>
        <v>0</v>
      </c>
      <c r="E18">
        <f t="shared" si="4"/>
        <v>0</v>
      </c>
      <c r="F18">
        <f t="shared" si="5"/>
        <v>0</v>
      </c>
      <c r="G18">
        <f t="shared" si="6"/>
        <v>0</v>
      </c>
      <c r="H18">
        <f t="shared" si="7"/>
        <v>0</v>
      </c>
      <c r="I18">
        <f t="shared" si="7"/>
        <v>0</v>
      </c>
      <c r="J18">
        <f t="shared" si="7"/>
        <v>0</v>
      </c>
      <c r="K18">
        <f t="shared" si="7"/>
        <v>0</v>
      </c>
      <c r="L18">
        <f t="shared" si="8"/>
        <v>0</v>
      </c>
      <c r="M18">
        <f t="shared" si="9"/>
        <v>0</v>
      </c>
      <c r="N18" t="e">
        <f t="shared" si="10"/>
        <v>#REF!</v>
      </c>
      <c r="S18" s="2"/>
    </row>
    <row r="19" spans="1:20" x14ac:dyDescent="0.25">
      <c r="A19">
        <v>5.6</v>
      </c>
      <c r="B19">
        <f t="shared" si="11"/>
        <v>0</v>
      </c>
      <c r="C19">
        <f t="shared" si="12"/>
        <v>0</v>
      </c>
      <c r="D19">
        <f t="shared" si="3"/>
        <v>0</v>
      </c>
      <c r="E19">
        <f t="shared" si="4"/>
        <v>0</v>
      </c>
      <c r="F19">
        <f t="shared" si="5"/>
        <v>0</v>
      </c>
      <c r="G19">
        <f t="shared" si="6"/>
        <v>0</v>
      </c>
      <c r="H19">
        <f t="shared" si="7"/>
        <v>0</v>
      </c>
      <c r="I19">
        <f t="shared" si="7"/>
        <v>0</v>
      </c>
      <c r="J19">
        <f t="shared" si="7"/>
        <v>0</v>
      </c>
      <c r="K19">
        <f t="shared" si="7"/>
        <v>0</v>
      </c>
      <c r="L19">
        <f t="shared" si="8"/>
        <v>0</v>
      </c>
      <c r="M19">
        <f t="shared" si="9"/>
        <v>0</v>
      </c>
      <c r="N19" t="e">
        <f t="shared" si="10"/>
        <v>#REF!</v>
      </c>
      <c r="S19" s="2"/>
    </row>
    <row r="20" spans="1:20" x14ac:dyDescent="0.25">
      <c r="A20">
        <v>6.8</v>
      </c>
      <c r="B20">
        <f t="shared" si="11"/>
        <v>0</v>
      </c>
      <c r="C20">
        <f t="shared" si="12"/>
        <v>0</v>
      </c>
      <c r="D20">
        <f t="shared" si="3"/>
        <v>0</v>
      </c>
      <c r="E20">
        <f t="shared" si="4"/>
        <v>0</v>
      </c>
      <c r="F20">
        <f t="shared" si="5"/>
        <v>0</v>
      </c>
      <c r="G20">
        <f t="shared" si="6"/>
        <v>0</v>
      </c>
      <c r="H20">
        <f t="shared" si="7"/>
        <v>0</v>
      </c>
      <c r="I20">
        <f t="shared" si="7"/>
        <v>0</v>
      </c>
      <c r="J20">
        <f t="shared" si="7"/>
        <v>0</v>
      </c>
      <c r="K20">
        <f t="shared" si="7"/>
        <v>0</v>
      </c>
      <c r="L20">
        <f t="shared" si="8"/>
        <v>0</v>
      </c>
      <c r="M20">
        <f t="shared" si="9"/>
        <v>0</v>
      </c>
      <c r="N20" t="e">
        <f t="shared" si="10"/>
        <v>#REF!</v>
      </c>
      <c r="S20" s="2"/>
    </row>
    <row r="21" spans="1:20" ht="13.8" x14ac:dyDescent="0.3">
      <c r="A21">
        <v>8.1999999999999993</v>
      </c>
      <c r="B21">
        <f t="shared" si="11"/>
        <v>0</v>
      </c>
      <c r="C21">
        <f t="shared" si="12"/>
        <v>0</v>
      </c>
      <c r="D21">
        <f t="shared" si="3"/>
        <v>0</v>
      </c>
      <c r="E21">
        <f t="shared" si="4"/>
        <v>0</v>
      </c>
      <c r="F21">
        <f t="shared" si="5"/>
        <v>0</v>
      </c>
      <c r="G21">
        <f t="shared" si="6"/>
        <v>0</v>
      </c>
      <c r="H21">
        <f t="shared" si="7"/>
        <v>0</v>
      </c>
      <c r="I21">
        <f t="shared" si="7"/>
        <v>0</v>
      </c>
      <c r="J21">
        <f t="shared" si="7"/>
        <v>0</v>
      </c>
      <c r="K21">
        <f t="shared" si="7"/>
        <v>0</v>
      </c>
      <c r="L21">
        <f t="shared" si="8"/>
        <v>0</v>
      </c>
      <c r="M21">
        <f t="shared" si="9"/>
        <v>0</v>
      </c>
      <c r="N21" t="e">
        <f t="shared" si="10"/>
        <v>#REF!</v>
      </c>
      <c r="Q21" s="171"/>
      <c r="S21" s="2"/>
      <c r="T21" s="55"/>
    </row>
    <row r="22" spans="1:20" ht="13.8" x14ac:dyDescent="0.3">
      <c r="A22">
        <v>10</v>
      </c>
      <c r="B22">
        <f t="shared" si="11"/>
        <v>0</v>
      </c>
      <c r="C22">
        <f t="shared" si="12"/>
        <v>0</v>
      </c>
      <c r="D22">
        <f t="shared" si="3"/>
        <v>0</v>
      </c>
      <c r="E22">
        <f t="shared" si="4"/>
        <v>0</v>
      </c>
      <c r="F22">
        <f t="shared" si="5"/>
        <v>0</v>
      </c>
      <c r="G22">
        <f t="shared" si="6"/>
        <v>0</v>
      </c>
      <c r="H22">
        <f t="shared" si="7"/>
        <v>0</v>
      </c>
      <c r="I22">
        <f t="shared" si="7"/>
        <v>0</v>
      </c>
      <c r="J22">
        <f t="shared" si="7"/>
        <v>0</v>
      </c>
      <c r="K22">
        <f t="shared" si="7"/>
        <v>0</v>
      </c>
      <c r="L22">
        <f t="shared" si="8"/>
        <v>0</v>
      </c>
      <c r="M22">
        <f t="shared" si="9"/>
        <v>0</v>
      </c>
      <c r="N22" t="e">
        <f t="shared" si="10"/>
        <v>#REF!</v>
      </c>
      <c r="Q22" s="171" t="s">
        <v>595</v>
      </c>
      <c r="R22" s="408">
        <f>Rilim_shunt_ideal</f>
        <v>545.02398648648648</v>
      </c>
      <c r="S22" s="2">
        <f>IF(R22=0,0,IF(R22&gt;(INT(0.5+100*POWER(10,IF(96*(LOG(R22)-INT(LOG(R22)))-ROUND(96*(LOG(R22)-INT(LOG(R22))),0)&lt;0,ROUND(96*(LOG(R22)-INT(LOG(R22))),0)-1,ROUND(96*(LOG(R22)-INT(LOG(R22))),0))/96))*POWER(10,INT(LOG(R22))-2)+INT(0.5+100*POWER(10,(IF(96*(LOG(R22)-INT(LOG(R22)))-ROUND(96*(LOG(R22)-INT(LOG(R22))),0)&lt;0,ROUND(96*(LOG(R22)-INT(LOG(R22))),0)-1,ROUND(96*(LOG(R22)-INT(LOG(R22))),0))+1)/96))*POWER(10,INT(LOG(R22))-2))/2,INT(0.5+100*POWER(10,(IF(96*(LOG(R22)-INT(LOG(R22)))-ROUND(96*(LOG(R22)-INT(LOG(R22))),0)&lt;0,ROUND(96*(LOG(R22)-INT(LOG(R22))),0)-1,ROUND(96*(LOG(R22)-INT(LOG(R22))),0))+1)/96))*POWER(10,INT(LOG(R22))-2),INT(0.5+100*POWER(10,IF(96*(LOG(R22)-INT(LOG(R22)))-ROUND(96*(LOG(R22)-INT(LOG(R22))),0)&lt;0,ROUND(96*(LOG(R22)-INT(LOG(R22))),0)-1,ROUND(96*(LOG(R22)-INT(LOG(R22))),0))/96))*POWER(10,INT(LOG(R22))-2)))</f>
        <v>549</v>
      </c>
      <c r="T22" s="55" t="s">
        <v>539</v>
      </c>
    </row>
    <row r="23" spans="1:20" x14ac:dyDescent="0.25">
      <c r="A23">
        <v>12</v>
      </c>
      <c r="B23">
        <f t="shared" si="11"/>
        <v>0</v>
      </c>
      <c r="C23">
        <f t="shared" si="12"/>
        <v>0</v>
      </c>
      <c r="D23">
        <f t="shared" si="3"/>
        <v>0</v>
      </c>
      <c r="E23">
        <f t="shared" si="4"/>
        <v>0</v>
      </c>
      <c r="F23">
        <f t="shared" si="5"/>
        <v>0</v>
      </c>
      <c r="G23">
        <f t="shared" si="6"/>
        <v>0</v>
      </c>
      <c r="H23">
        <f t="shared" si="7"/>
        <v>0</v>
      </c>
      <c r="I23">
        <f t="shared" si="7"/>
        <v>0</v>
      </c>
      <c r="J23">
        <f t="shared" si="7"/>
        <v>0</v>
      </c>
      <c r="K23">
        <f t="shared" si="7"/>
        <v>0</v>
      </c>
      <c r="L23">
        <f t="shared" si="8"/>
        <v>0</v>
      </c>
      <c r="M23">
        <f t="shared" si="9"/>
        <v>0</v>
      </c>
      <c r="N23" t="e">
        <f t="shared" si="10"/>
        <v>#REF!</v>
      </c>
      <c r="Q23" t="s">
        <v>700</v>
      </c>
      <c r="R23" s="40">
        <f>Cilim</f>
        <v>2.0017379597104269E-11</v>
      </c>
      <c r="S23" s="2">
        <f>H4*1000000000000</f>
        <v>22</v>
      </c>
      <c r="T23" t="s">
        <v>53</v>
      </c>
    </row>
    <row r="24" spans="1:20" ht="13.8" x14ac:dyDescent="0.3">
      <c r="A24">
        <v>15</v>
      </c>
      <c r="B24">
        <f t="shared" si="11"/>
        <v>0</v>
      </c>
      <c r="C24">
        <f t="shared" si="12"/>
        <v>0</v>
      </c>
      <c r="D24">
        <f t="shared" si="3"/>
        <v>0</v>
      </c>
      <c r="E24">
        <f t="shared" si="4"/>
        <v>0</v>
      </c>
      <c r="F24">
        <f t="shared" si="5"/>
        <v>0</v>
      </c>
      <c r="G24">
        <f t="shared" si="6"/>
        <v>0</v>
      </c>
      <c r="H24">
        <f t="shared" si="7"/>
        <v>0</v>
      </c>
      <c r="I24">
        <f t="shared" si="7"/>
        <v>0</v>
      </c>
      <c r="J24">
        <f t="shared" si="7"/>
        <v>0</v>
      </c>
      <c r="K24">
        <f t="shared" si="7"/>
        <v>0</v>
      </c>
      <c r="L24">
        <f t="shared" si="8"/>
        <v>0</v>
      </c>
      <c r="M24">
        <f t="shared" si="9"/>
        <v>0</v>
      </c>
      <c r="N24" t="e">
        <f t="shared" si="10"/>
        <v>#REF!</v>
      </c>
      <c r="Q24" s="171"/>
      <c r="S24" s="2"/>
      <c r="T24" s="55"/>
    </row>
    <row r="25" spans="1:20" x14ac:dyDescent="0.25">
      <c r="A25">
        <v>18</v>
      </c>
      <c r="B25">
        <f t="shared" si="11"/>
        <v>0</v>
      </c>
      <c r="C25">
        <f t="shared" si="12"/>
        <v>0</v>
      </c>
      <c r="D25">
        <f t="shared" si="3"/>
        <v>0</v>
      </c>
      <c r="E25">
        <f t="shared" si="4"/>
        <v>0</v>
      </c>
      <c r="F25">
        <f t="shared" si="5"/>
        <v>0</v>
      </c>
      <c r="G25">
        <f t="shared" si="6"/>
        <v>0</v>
      </c>
      <c r="H25">
        <f t="shared" si="7"/>
        <v>22</v>
      </c>
      <c r="I25">
        <f t="shared" si="7"/>
        <v>0</v>
      </c>
      <c r="J25">
        <f t="shared" si="7"/>
        <v>0</v>
      </c>
      <c r="K25">
        <f t="shared" si="7"/>
        <v>0</v>
      </c>
      <c r="L25">
        <f t="shared" si="8"/>
        <v>0</v>
      </c>
      <c r="M25">
        <f t="shared" si="9"/>
        <v>0</v>
      </c>
      <c r="N25" t="e">
        <f t="shared" si="10"/>
        <v>#REF!</v>
      </c>
    </row>
    <row r="26" spans="1:20" x14ac:dyDescent="0.25">
      <c r="A26">
        <v>22</v>
      </c>
      <c r="B26">
        <f t="shared" si="11"/>
        <v>0</v>
      </c>
      <c r="C26">
        <f t="shared" si="12"/>
        <v>0</v>
      </c>
      <c r="D26">
        <f t="shared" si="3"/>
        <v>0</v>
      </c>
      <c r="E26">
        <f t="shared" si="4"/>
        <v>0</v>
      </c>
      <c r="F26">
        <f t="shared" si="5"/>
        <v>0</v>
      </c>
      <c r="G26">
        <f t="shared" si="6"/>
        <v>0</v>
      </c>
      <c r="H26">
        <f t="shared" si="7"/>
        <v>0</v>
      </c>
      <c r="I26">
        <f t="shared" si="7"/>
        <v>0</v>
      </c>
      <c r="J26">
        <f t="shared" si="7"/>
        <v>0</v>
      </c>
      <c r="K26">
        <f t="shared" si="7"/>
        <v>0</v>
      </c>
      <c r="L26">
        <f t="shared" si="8"/>
        <v>0</v>
      </c>
      <c r="M26">
        <f t="shared" si="9"/>
        <v>0</v>
      </c>
      <c r="N26" t="e">
        <f t="shared" si="10"/>
        <v>#REF!</v>
      </c>
    </row>
    <row r="27" spans="1:20" ht="13.8" x14ac:dyDescent="0.3">
      <c r="A27">
        <v>27</v>
      </c>
      <c r="B27">
        <f t="shared" si="11"/>
        <v>0</v>
      </c>
      <c r="C27">
        <f t="shared" si="12"/>
        <v>0</v>
      </c>
      <c r="D27">
        <f t="shared" si="3"/>
        <v>0</v>
      </c>
      <c r="E27">
        <f t="shared" si="4"/>
        <v>0</v>
      </c>
      <c r="F27">
        <f t="shared" si="5"/>
        <v>0</v>
      </c>
      <c r="G27">
        <f t="shared" si="6"/>
        <v>0</v>
      </c>
      <c r="H27">
        <f t="shared" si="7"/>
        <v>0</v>
      </c>
      <c r="I27">
        <f t="shared" si="7"/>
        <v>0</v>
      </c>
      <c r="J27">
        <f t="shared" si="7"/>
        <v>0</v>
      </c>
      <c r="K27">
        <f t="shared" si="7"/>
        <v>0</v>
      </c>
      <c r="L27">
        <f t="shared" si="8"/>
        <v>0</v>
      </c>
      <c r="M27">
        <f t="shared" si="9"/>
        <v>0</v>
      </c>
      <c r="N27" t="e">
        <f t="shared" si="10"/>
        <v>#REF!</v>
      </c>
      <c r="Q27" s="3" t="s">
        <v>326</v>
      </c>
      <c r="R27" t="str">
        <f>S8/1000&amp;" kΩ"</f>
        <v>8.66 kΩ</v>
      </c>
      <c r="S27">
        <f>S8/1000</f>
        <v>8.66</v>
      </c>
      <c r="T27" s="55" t="s">
        <v>493</v>
      </c>
    </row>
    <row r="28" spans="1:20" x14ac:dyDescent="0.25">
      <c r="A28">
        <v>33</v>
      </c>
      <c r="B28">
        <f t="shared" si="11"/>
        <v>0</v>
      </c>
      <c r="C28">
        <f t="shared" si="12"/>
        <v>0</v>
      </c>
      <c r="D28">
        <f t="shared" si="3"/>
        <v>0</v>
      </c>
      <c r="E28">
        <f t="shared" si="4"/>
        <v>0</v>
      </c>
      <c r="F28">
        <f t="shared" si="5"/>
        <v>0</v>
      </c>
      <c r="G28">
        <f t="shared" si="6"/>
        <v>0</v>
      </c>
      <c r="H28">
        <f t="shared" si="7"/>
        <v>0</v>
      </c>
      <c r="I28">
        <f t="shared" si="7"/>
        <v>0</v>
      </c>
      <c r="J28">
        <f t="shared" si="7"/>
        <v>0</v>
      </c>
      <c r="K28">
        <f t="shared" si="7"/>
        <v>0</v>
      </c>
      <c r="L28">
        <f t="shared" si="8"/>
        <v>0</v>
      </c>
      <c r="M28">
        <f t="shared" si="9"/>
        <v>0</v>
      </c>
      <c r="N28" t="e">
        <f t="shared" si="10"/>
        <v>#REF!</v>
      </c>
      <c r="Q28" s="3" t="s">
        <v>322</v>
      </c>
      <c r="R28" t="str">
        <f>C4*1000000000000&amp;" pF"</f>
        <v>4700 pF</v>
      </c>
      <c r="S28">
        <f>C4*1000000000000</f>
        <v>4700</v>
      </c>
      <c r="T28" s="171" t="s">
        <v>53</v>
      </c>
    </row>
    <row r="29" spans="1:20" x14ac:dyDescent="0.25">
      <c r="A29">
        <v>39</v>
      </c>
      <c r="B29">
        <f t="shared" si="11"/>
        <v>0</v>
      </c>
      <c r="C29">
        <f t="shared" si="12"/>
        <v>0</v>
      </c>
      <c r="D29">
        <f t="shared" si="3"/>
        <v>0</v>
      </c>
      <c r="E29">
        <f t="shared" si="4"/>
        <v>0</v>
      </c>
      <c r="F29">
        <f t="shared" si="5"/>
        <v>0</v>
      </c>
      <c r="G29">
        <f t="shared" si="6"/>
        <v>0</v>
      </c>
      <c r="H29">
        <f t="shared" si="7"/>
        <v>0</v>
      </c>
      <c r="I29">
        <f t="shared" si="7"/>
        <v>0</v>
      </c>
      <c r="J29">
        <f t="shared" si="7"/>
        <v>0</v>
      </c>
      <c r="K29">
        <f t="shared" si="7"/>
        <v>0</v>
      </c>
      <c r="L29">
        <f t="shared" si="8"/>
        <v>0</v>
      </c>
      <c r="M29">
        <f t="shared" si="9"/>
        <v>0</v>
      </c>
      <c r="N29" t="e">
        <f t="shared" si="10"/>
        <v>#REF!</v>
      </c>
      <c r="Q29" s="3" t="s">
        <v>323</v>
      </c>
      <c r="R29" t="str">
        <f>D4*1000000000000&amp;" pF"</f>
        <v>120 pF</v>
      </c>
      <c r="S29">
        <f>D4*1000000000000</f>
        <v>120</v>
      </c>
      <c r="T29" s="171" t="s">
        <v>53</v>
      </c>
    </row>
    <row r="30" spans="1:20" ht="13.8" x14ac:dyDescent="0.3">
      <c r="A30">
        <v>47</v>
      </c>
      <c r="B30">
        <f t="shared" si="11"/>
        <v>0</v>
      </c>
      <c r="C30">
        <f t="shared" si="12"/>
        <v>0</v>
      </c>
      <c r="D30">
        <f t="shared" si="3"/>
        <v>0</v>
      </c>
      <c r="E30">
        <f t="shared" si="4"/>
        <v>0</v>
      </c>
      <c r="F30">
        <f t="shared" si="5"/>
        <v>0</v>
      </c>
      <c r="G30">
        <f t="shared" si="6"/>
        <v>0</v>
      </c>
      <c r="H30">
        <f t="shared" si="7"/>
        <v>0</v>
      </c>
      <c r="I30">
        <f t="shared" si="7"/>
        <v>0</v>
      </c>
      <c r="J30">
        <f t="shared" si="7"/>
        <v>0</v>
      </c>
      <c r="K30">
        <f t="shared" si="7"/>
        <v>0</v>
      </c>
      <c r="L30">
        <f t="shared" si="8"/>
        <v>0</v>
      </c>
      <c r="M30">
        <f t="shared" si="9"/>
        <v>0</v>
      </c>
      <c r="N30" t="e">
        <f t="shared" si="10"/>
        <v>#REF!</v>
      </c>
      <c r="Q30" s="3" t="s">
        <v>327</v>
      </c>
      <c r="R30" t="str">
        <f>S9&amp;" Ω"</f>
        <v>866 Ω</v>
      </c>
      <c r="S30">
        <f>S9</f>
        <v>866</v>
      </c>
      <c r="T30" s="55" t="s">
        <v>539</v>
      </c>
    </row>
    <row r="31" spans="1:20" x14ac:dyDescent="0.25">
      <c r="A31">
        <v>56</v>
      </c>
      <c r="B31">
        <f t="shared" si="11"/>
        <v>0</v>
      </c>
      <c r="C31">
        <f t="shared" si="12"/>
        <v>0</v>
      </c>
      <c r="D31">
        <f t="shared" si="3"/>
        <v>0</v>
      </c>
      <c r="E31">
        <f t="shared" si="4"/>
        <v>0</v>
      </c>
      <c r="F31">
        <f t="shared" si="5"/>
        <v>0</v>
      </c>
      <c r="G31">
        <f t="shared" si="6"/>
        <v>0</v>
      </c>
      <c r="H31">
        <f t="shared" si="7"/>
        <v>0</v>
      </c>
      <c r="I31">
        <f t="shared" si="7"/>
        <v>0</v>
      </c>
      <c r="J31">
        <f t="shared" si="7"/>
        <v>0</v>
      </c>
      <c r="K31">
        <f t="shared" si="7"/>
        <v>0</v>
      </c>
      <c r="L31">
        <f t="shared" si="8"/>
        <v>0</v>
      </c>
      <c r="M31">
        <f t="shared" si="9"/>
        <v>0</v>
      </c>
      <c r="N31" t="e">
        <f t="shared" si="10"/>
        <v>#REF!</v>
      </c>
      <c r="Q31" s="3" t="s">
        <v>324</v>
      </c>
      <c r="R31" t="str">
        <f>E4*1000000000000&amp;" pF"</f>
        <v>1500 pF</v>
      </c>
      <c r="S31">
        <f>E4*1000000000000</f>
        <v>1500</v>
      </c>
      <c r="T31" s="171" t="s">
        <v>53</v>
      </c>
    </row>
    <row r="32" spans="1:20" x14ac:dyDescent="0.25">
      <c r="A32">
        <v>68</v>
      </c>
      <c r="B32">
        <f t="shared" si="11"/>
        <v>0</v>
      </c>
      <c r="C32">
        <f t="shared" si="12"/>
        <v>0</v>
      </c>
      <c r="D32">
        <f t="shared" si="3"/>
        <v>0</v>
      </c>
      <c r="E32">
        <f t="shared" si="4"/>
        <v>0</v>
      </c>
      <c r="F32">
        <f t="shared" si="5"/>
        <v>0</v>
      </c>
      <c r="G32">
        <f t="shared" si="6"/>
        <v>0</v>
      </c>
      <c r="H32">
        <f t="shared" si="7"/>
        <v>0</v>
      </c>
      <c r="I32">
        <f t="shared" si="7"/>
        <v>0</v>
      </c>
      <c r="J32">
        <f t="shared" si="7"/>
        <v>0</v>
      </c>
      <c r="K32">
        <f t="shared" si="7"/>
        <v>0</v>
      </c>
      <c r="L32">
        <f t="shared" si="8"/>
        <v>0</v>
      </c>
      <c r="M32">
        <f t="shared" si="9"/>
        <v>0</v>
      </c>
      <c r="N32" t="e">
        <f t="shared" si="10"/>
        <v>#REF!</v>
      </c>
    </row>
    <row r="33" spans="1:17" x14ac:dyDescent="0.25">
      <c r="A33">
        <v>82</v>
      </c>
      <c r="B33">
        <f t="shared" si="11"/>
        <v>0</v>
      </c>
      <c r="C33">
        <f t="shared" si="12"/>
        <v>0</v>
      </c>
      <c r="D33">
        <f t="shared" si="3"/>
        <v>0</v>
      </c>
      <c r="E33">
        <f t="shared" si="4"/>
        <v>0</v>
      </c>
      <c r="F33">
        <f t="shared" si="5"/>
        <v>0</v>
      </c>
      <c r="G33">
        <f t="shared" si="6"/>
        <v>0</v>
      </c>
      <c r="H33">
        <f t="shared" si="7"/>
        <v>0</v>
      </c>
      <c r="I33">
        <f t="shared" si="7"/>
        <v>0</v>
      </c>
      <c r="J33">
        <f t="shared" si="7"/>
        <v>0</v>
      </c>
      <c r="K33">
        <f t="shared" si="7"/>
        <v>0</v>
      </c>
      <c r="L33">
        <f t="shared" si="8"/>
        <v>0</v>
      </c>
      <c r="M33">
        <f t="shared" si="9"/>
        <v>0</v>
      </c>
      <c r="N33" t="e">
        <f t="shared" si="10"/>
        <v>#REF!</v>
      </c>
    </row>
    <row r="34" spans="1:17" x14ac:dyDescent="0.25">
      <c r="A34">
        <f>A22*10</f>
        <v>100</v>
      </c>
      <c r="B34">
        <f t="shared" si="11"/>
        <v>0</v>
      </c>
      <c r="C34">
        <f t="shared" si="12"/>
        <v>0</v>
      </c>
      <c r="D34">
        <f t="shared" si="3"/>
        <v>0</v>
      </c>
      <c r="E34">
        <f t="shared" si="4"/>
        <v>0</v>
      </c>
      <c r="F34">
        <f t="shared" si="5"/>
        <v>0</v>
      </c>
      <c r="G34">
        <f t="shared" si="6"/>
        <v>0</v>
      </c>
      <c r="H34">
        <f t="shared" si="7"/>
        <v>0</v>
      </c>
      <c r="I34">
        <f t="shared" si="7"/>
        <v>0</v>
      </c>
      <c r="J34">
        <f t="shared" si="7"/>
        <v>0</v>
      </c>
      <c r="K34">
        <f t="shared" si="7"/>
        <v>0</v>
      </c>
      <c r="L34">
        <f t="shared" si="8"/>
        <v>0</v>
      </c>
      <c r="M34">
        <f t="shared" si="9"/>
        <v>0</v>
      </c>
      <c r="N34" t="e">
        <f t="shared" si="10"/>
        <v>#REF!</v>
      </c>
      <c r="Q34" s="171"/>
    </row>
    <row r="35" spans="1:17" x14ac:dyDescent="0.25">
      <c r="A35">
        <f t="shared" ref="A35:A98" si="14">A23*10</f>
        <v>120</v>
      </c>
      <c r="B35">
        <f t="shared" si="11"/>
        <v>0</v>
      </c>
      <c r="C35">
        <f t="shared" si="12"/>
        <v>0</v>
      </c>
      <c r="D35">
        <f t="shared" si="3"/>
        <v>120</v>
      </c>
      <c r="E35">
        <f t="shared" si="4"/>
        <v>0</v>
      </c>
      <c r="F35">
        <f t="shared" si="5"/>
        <v>0</v>
      </c>
      <c r="G35">
        <f t="shared" si="6"/>
        <v>0</v>
      </c>
      <c r="H35">
        <f t="shared" si="7"/>
        <v>0</v>
      </c>
      <c r="I35">
        <f t="shared" si="7"/>
        <v>0</v>
      </c>
      <c r="J35">
        <f t="shared" si="7"/>
        <v>0</v>
      </c>
      <c r="K35">
        <f t="shared" si="7"/>
        <v>0</v>
      </c>
      <c r="L35">
        <f t="shared" si="8"/>
        <v>0</v>
      </c>
      <c r="M35">
        <f t="shared" si="9"/>
        <v>0</v>
      </c>
      <c r="N35" t="e">
        <f t="shared" si="10"/>
        <v>#REF!</v>
      </c>
      <c r="Q35" s="171"/>
    </row>
    <row r="36" spans="1:17" x14ac:dyDescent="0.25">
      <c r="A36">
        <f t="shared" si="14"/>
        <v>150</v>
      </c>
      <c r="B36">
        <f t="shared" si="11"/>
        <v>0</v>
      </c>
      <c r="C36">
        <f t="shared" si="12"/>
        <v>0</v>
      </c>
      <c r="D36">
        <f t="shared" si="3"/>
        <v>0</v>
      </c>
      <c r="E36">
        <f t="shared" si="4"/>
        <v>0</v>
      </c>
      <c r="F36">
        <f t="shared" si="5"/>
        <v>0</v>
      </c>
      <c r="G36">
        <f t="shared" si="6"/>
        <v>0</v>
      </c>
      <c r="H36">
        <f t="shared" si="7"/>
        <v>0</v>
      </c>
      <c r="I36">
        <f t="shared" si="7"/>
        <v>0</v>
      </c>
      <c r="J36">
        <f t="shared" si="7"/>
        <v>0</v>
      </c>
      <c r="K36">
        <f t="shared" si="7"/>
        <v>0</v>
      </c>
      <c r="L36">
        <f t="shared" si="8"/>
        <v>0</v>
      </c>
      <c r="M36">
        <f t="shared" si="9"/>
        <v>0</v>
      </c>
      <c r="N36" t="e">
        <f t="shared" si="10"/>
        <v>#REF!</v>
      </c>
    </row>
    <row r="37" spans="1:17" x14ac:dyDescent="0.25">
      <c r="A37">
        <f t="shared" si="14"/>
        <v>180</v>
      </c>
      <c r="B37">
        <f t="shared" si="11"/>
        <v>0</v>
      </c>
      <c r="C37">
        <f t="shared" si="12"/>
        <v>0</v>
      </c>
      <c r="D37">
        <f t="shared" si="3"/>
        <v>0</v>
      </c>
      <c r="E37">
        <f t="shared" si="4"/>
        <v>0</v>
      </c>
      <c r="F37">
        <f t="shared" si="5"/>
        <v>0</v>
      </c>
      <c r="G37">
        <f t="shared" si="6"/>
        <v>0</v>
      </c>
      <c r="H37">
        <f t="shared" si="7"/>
        <v>0</v>
      </c>
      <c r="I37">
        <f t="shared" si="7"/>
        <v>0</v>
      </c>
      <c r="J37">
        <f t="shared" si="7"/>
        <v>0</v>
      </c>
      <c r="K37">
        <f t="shared" si="7"/>
        <v>0</v>
      </c>
      <c r="L37">
        <f t="shared" si="8"/>
        <v>0</v>
      </c>
      <c r="M37">
        <f t="shared" si="9"/>
        <v>0</v>
      </c>
      <c r="N37" t="e">
        <f t="shared" si="10"/>
        <v>#REF!</v>
      </c>
    </row>
    <row r="38" spans="1:17" x14ac:dyDescent="0.25">
      <c r="A38">
        <f t="shared" si="14"/>
        <v>220</v>
      </c>
      <c r="B38">
        <f t="shared" si="11"/>
        <v>0</v>
      </c>
      <c r="C38">
        <f t="shared" si="12"/>
        <v>0</v>
      </c>
      <c r="D38">
        <f t="shared" si="3"/>
        <v>0</v>
      </c>
      <c r="E38">
        <f t="shared" si="4"/>
        <v>0</v>
      </c>
      <c r="F38">
        <f t="shared" si="5"/>
        <v>0</v>
      </c>
      <c r="G38">
        <f t="shared" si="6"/>
        <v>0</v>
      </c>
      <c r="H38">
        <f t="shared" si="7"/>
        <v>0</v>
      </c>
      <c r="I38">
        <f t="shared" si="7"/>
        <v>0</v>
      </c>
      <c r="J38">
        <f t="shared" si="7"/>
        <v>0</v>
      </c>
      <c r="K38">
        <f t="shared" si="7"/>
        <v>0</v>
      </c>
      <c r="L38">
        <f t="shared" si="8"/>
        <v>0</v>
      </c>
      <c r="M38">
        <f t="shared" ref="M38:M69" si="15">IF(IF((M$3*10^12-$A39)*(M$3*10^12-$A38)*-1&lt;0,0,1)*IF(ABS(M$3*10^12-$A39)&gt;(M$3*10^12-$A38),$A38,$A39)=M39,0,IF((M$3*10^12-$A39)*(M$3*10^12-$A38)*-1&lt;0,0,1)*IF(ABS(M$3*10^12-$A39)&gt;(M$3*10^12-$A38),$A38,$A39))</f>
        <v>0</v>
      </c>
      <c r="N38" t="e">
        <f t="shared" ref="N38:N69" si="16">IF(IF((N$3*10^12-$A39)*(N$3*10^12-$A38)*-1&lt;0,0,1)*IF(ABS(N$3*10^12-$A39)&gt;(N$3*10^12-$A38),$A38,$A39)=N39,0,IF((N$3*10^12-$A39)*(N$3*10^12-$A38)*-1&lt;0,0,1)*IF(ABS(N$3*10^12-$A39)&gt;(N$3*10^12-$A38),$A38,$A39))</f>
        <v>#REF!</v>
      </c>
    </row>
    <row r="39" spans="1:17" x14ac:dyDescent="0.25">
      <c r="A39">
        <f t="shared" si="14"/>
        <v>270</v>
      </c>
      <c r="B39">
        <f t="shared" si="11"/>
        <v>0</v>
      </c>
      <c r="C39">
        <f t="shared" ref="C39:C70" si="17">IF(IF((C$3*10^12-$A40)*(C$3*10^12-$A39)*-1&lt;0,0,1)*IF(ABS(C$3*10^12-$A40)&gt;(C$3*10^12-$A39),$A39,$A40)=C40,0,IF((C$3*10^12-$A40)*(C$3*10^12-$A39)*-1&lt;0,0,1)*IF(ABS(C$3*10^12-$A40)&gt;(C$3*10^12-$A39),$A39,$A40))</f>
        <v>0</v>
      </c>
      <c r="D39">
        <f t="shared" si="3"/>
        <v>0</v>
      </c>
      <c r="E39">
        <f t="shared" si="4"/>
        <v>0</v>
      </c>
      <c r="F39">
        <f t="shared" si="5"/>
        <v>0</v>
      </c>
      <c r="G39">
        <f t="shared" si="6"/>
        <v>0</v>
      </c>
      <c r="H39">
        <f t="shared" si="7"/>
        <v>0</v>
      </c>
      <c r="I39">
        <f t="shared" si="7"/>
        <v>0</v>
      </c>
      <c r="J39">
        <f t="shared" si="7"/>
        <v>0</v>
      </c>
      <c r="K39">
        <f t="shared" si="7"/>
        <v>0</v>
      </c>
      <c r="L39">
        <f t="shared" si="8"/>
        <v>0</v>
      </c>
      <c r="M39">
        <f t="shared" si="15"/>
        <v>0</v>
      </c>
      <c r="N39" t="e">
        <f t="shared" si="16"/>
        <v>#REF!</v>
      </c>
    </row>
    <row r="40" spans="1:17" x14ac:dyDescent="0.25">
      <c r="A40">
        <f t="shared" si="14"/>
        <v>330</v>
      </c>
      <c r="B40">
        <f t="shared" si="11"/>
        <v>0</v>
      </c>
      <c r="C40">
        <f t="shared" si="17"/>
        <v>0</v>
      </c>
      <c r="D40">
        <f t="shared" si="3"/>
        <v>0</v>
      </c>
      <c r="E40">
        <f t="shared" si="4"/>
        <v>0</v>
      </c>
      <c r="F40">
        <f t="shared" si="5"/>
        <v>0</v>
      </c>
      <c r="G40">
        <f t="shared" si="6"/>
        <v>0</v>
      </c>
      <c r="H40">
        <f t="shared" si="7"/>
        <v>0</v>
      </c>
      <c r="I40">
        <f t="shared" si="7"/>
        <v>0</v>
      </c>
      <c r="J40">
        <f t="shared" si="7"/>
        <v>0</v>
      </c>
      <c r="K40">
        <f t="shared" si="7"/>
        <v>0</v>
      </c>
      <c r="L40">
        <f t="shared" si="8"/>
        <v>0</v>
      </c>
      <c r="M40">
        <f t="shared" si="15"/>
        <v>0</v>
      </c>
      <c r="N40" t="e">
        <f t="shared" si="16"/>
        <v>#REF!</v>
      </c>
    </row>
    <row r="41" spans="1:17" x14ac:dyDescent="0.25">
      <c r="A41">
        <f t="shared" si="14"/>
        <v>390</v>
      </c>
      <c r="B41">
        <f t="shared" si="11"/>
        <v>0</v>
      </c>
      <c r="C41">
        <f t="shared" si="17"/>
        <v>0</v>
      </c>
      <c r="D41">
        <f t="shared" si="3"/>
        <v>0</v>
      </c>
      <c r="E41">
        <f t="shared" si="4"/>
        <v>0</v>
      </c>
      <c r="F41">
        <f t="shared" si="5"/>
        <v>0</v>
      </c>
      <c r="G41">
        <f t="shared" si="6"/>
        <v>0</v>
      </c>
      <c r="H41">
        <f t="shared" si="7"/>
        <v>0</v>
      </c>
      <c r="I41">
        <f t="shared" si="7"/>
        <v>0</v>
      </c>
      <c r="J41">
        <f t="shared" si="7"/>
        <v>0</v>
      </c>
      <c r="K41">
        <f t="shared" si="7"/>
        <v>0</v>
      </c>
      <c r="L41">
        <f t="shared" si="8"/>
        <v>0</v>
      </c>
      <c r="M41">
        <f t="shared" si="15"/>
        <v>0</v>
      </c>
      <c r="N41" t="e">
        <f t="shared" si="16"/>
        <v>#REF!</v>
      </c>
    </row>
    <row r="42" spans="1:17" x14ac:dyDescent="0.25">
      <c r="A42">
        <f t="shared" si="14"/>
        <v>470</v>
      </c>
      <c r="B42">
        <f t="shared" si="11"/>
        <v>0</v>
      </c>
      <c r="C42">
        <f t="shared" si="17"/>
        <v>0</v>
      </c>
      <c r="D42">
        <f t="shared" si="3"/>
        <v>0</v>
      </c>
      <c r="E42">
        <f t="shared" si="4"/>
        <v>0</v>
      </c>
      <c r="F42">
        <f t="shared" si="5"/>
        <v>0</v>
      </c>
      <c r="G42">
        <f t="shared" si="6"/>
        <v>0</v>
      </c>
      <c r="H42">
        <f t="shared" si="7"/>
        <v>0</v>
      </c>
      <c r="I42">
        <f t="shared" si="7"/>
        <v>0</v>
      </c>
      <c r="J42">
        <f t="shared" si="7"/>
        <v>0</v>
      </c>
      <c r="K42">
        <f t="shared" si="7"/>
        <v>0</v>
      </c>
      <c r="L42">
        <f t="shared" si="8"/>
        <v>0</v>
      </c>
      <c r="M42">
        <f t="shared" si="15"/>
        <v>0</v>
      </c>
      <c r="N42" t="e">
        <f t="shared" si="16"/>
        <v>#REF!</v>
      </c>
    </row>
    <row r="43" spans="1:17" x14ac:dyDescent="0.25">
      <c r="A43">
        <f t="shared" si="14"/>
        <v>560</v>
      </c>
      <c r="B43">
        <f t="shared" si="11"/>
        <v>0</v>
      </c>
      <c r="C43">
        <f t="shared" si="17"/>
        <v>0</v>
      </c>
      <c r="D43">
        <f t="shared" si="3"/>
        <v>0</v>
      </c>
      <c r="E43">
        <f t="shared" si="4"/>
        <v>0</v>
      </c>
      <c r="F43">
        <f t="shared" si="5"/>
        <v>0</v>
      </c>
      <c r="G43">
        <f t="shared" si="6"/>
        <v>0</v>
      </c>
      <c r="H43">
        <f t="shared" si="7"/>
        <v>0</v>
      </c>
      <c r="I43">
        <f t="shared" si="7"/>
        <v>0</v>
      </c>
      <c r="J43">
        <f t="shared" si="7"/>
        <v>0</v>
      </c>
      <c r="K43">
        <f t="shared" si="7"/>
        <v>0</v>
      </c>
      <c r="L43">
        <f t="shared" si="8"/>
        <v>0</v>
      </c>
      <c r="M43">
        <f t="shared" si="15"/>
        <v>0</v>
      </c>
      <c r="N43" t="e">
        <f t="shared" si="16"/>
        <v>#REF!</v>
      </c>
    </row>
    <row r="44" spans="1:17" x14ac:dyDescent="0.25">
      <c r="A44">
        <f t="shared" si="14"/>
        <v>680</v>
      </c>
      <c r="B44">
        <f t="shared" si="11"/>
        <v>0</v>
      </c>
      <c r="C44">
        <f t="shared" si="17"/>
        <v>0</v>
      </c>
      <c r="D44">
        <f t="shared" si="3"/>
        <v>0</v>
      </c>
      <c r="E44">
        <f t="shared" si="4"/>
        <v>0</v>
      </c>
      <c r="F44">
        <f t="shared" si="5"/>
        <v>0</v>
      </c>
      <c r="G44">
        <f t="shared" si="6"/>
        <v>0</v>
      </c>
      <c r="H44">
        <f t="shared" si="7"/>
        <v>0</v>
      </c>
      <c r="I44">
        <f t="shared" si="7"/>
        <v>0</v>
      </c>
      <c r="J44">
        <f t="shared" si="7"/>
        <v>0</v>
      </c>
      <c r="K44">
        <f t="shared" si="7"/>
        <v>0</v>
      </c>
      <c r="L44">
        <f t="shared" si="8"/>
        <v>0</v>
      </c>
      <c r="M44">
        <f t="shared" si="15"/>
        <v>0</v>
      </c>
      <c r="N44" t="e">
        <f t="shared" si="16"/>
        <v>#REF!</v>
      </c>
    </row>
    <row r="45" spans="1:17" x14ac:dyDescent="0.25">
      <c r="A45">
        <f>A33*10</f>
        <v>820</v>
      </c>
      <c r="B45">
        <f t="shared" si="11"/>
        <v>0</v>
      </c>
      <c r="C45">
        <f t="shared" si="17"/>
        <v>0</v>
      </c>
      <c r="D45">
        <f t="shared" si="3"/>
        <v>0</v>
      </c>
      <c r="E45">
        <f t="shared" si="4"/>
        <v>0</v>
      </c>
      <c r="F45">
        <f t="shared" si="5"/>
        <v>0</v>
      </c>
      <c r="G45">
        <f t="shared" si="6"/>
        <v>0</v>
      </c>
      <c r="H45">
        <f t="shared" si="7"/>
        <v>0</v>
      </c>
      <c r="I45">
        <f t="shared" si="7"/>
        <v>0</v>
      </c>
      <c r="J45">
        <f t="shared" si="7"/>
        <v>0</v>
      </c>
      <c r="K45">
        <f t="shared" si="7"/>
        <v>0</v>
      </c>
      <c r="L45">
        <f t="shared" si="8"/>
        <v>0</v>
      </c>
      <c r="M45">
        <f t="shared" si="15"/>
        <v>0</v>
      </c>
      <c r="N45" t="e">
        <f t="shared" si="16"/>
        <v>#REF!</v>
      </c>
    </row>
    <row r="46" spans="1:17" x14ac:dyDescent="0.25">
      <c r="A46">
        <f t="shared" si="14"/>
        <v>1000</v>
      </c>
      <c r="B46">
        <f t="shared" si="11"/>
        <v>0</v>
      </c>
      <c r="C46">
        <f t="shared" si="17"/>
        <v>0</v>
      </c>
      <c r="D46">
        <f t="shared" si="3"/>
        <v>0</v>
      </c>
      <c r="E46">
        <f t="shared" si="4"/>
        <v>0</v>
      </c>
      <c r="F46">
        <f t="shared" si="5"/>
        <v>0</v>
      </c>
      <c r="G46">
        <f t="shared" si="6"/>
        <v>0</v>
      </c>
      <c r="H46">
        <f t="shared" si="7"/>
        <v>0</v>
      </c>
      <c r="I46">
        <f t="shared" si="7"/>
        <v>0</v>
      </c>
      <c r="J46">
        <f t="shared" si="7"/>
        <v>0</v>
      </c>
      <c r="K46">
        <f t="shared" si="7"/>
        <v>0</v>
      </c>
      <c r="L46">
        <f t="shared" si="8"/>
        <v>0</v>
      </c>
      <c r="M46">
        <f t="shared" si="15"/>
        <v>0</v>
      </c>
      <c r="N46" t="e">
        <f t="shared" si="16"/>
        <v>#REF!</v>
      </c>
    </row>
    <row r="47" spans="1:17" x14ac:dyDescent="0.25">
      <c r="A47">
        <f t="shared" si="14"/>
        <v>1200</v>
      </c>
      <c r="B47">
        <f t="shared" si="11"/>
        <v>0</v>
      </c>
      <c r="C47">
        <f t="shared" si="17"/>
        <v>0</v>
      </c>
      <c r="D47">
        <f t="shared" si="3"/>
        <v>0</v>
      </c>
      <c r="E47">
        <f t="shared" si="4"/>
        <v>0</v>
      </c>
      <c r="F47">
        <f t="shared" si="5"/>
        <v>0</v>
      </c>
      <c r="G47">
        <f t="shared" si="6"/>
        <v>0</v>
      </c>
      <c r="H47">
        <f t="shared" si="7"/>
        <v>0</v>
      </c>
      <c r="I47">
        <f t="shared" si="7"/>
        <v>0</v>
      </c>
      <c r="J47">
        <f t="shared" si="7"/>
        <v>0</v>
      </c>
      <c r="K47">
        <f t="shared" si="7"/>
        <v>0</v>
      </c>
      <c r="L47">
        <f t="shared" si="8"/>
        <v>0</v>
      </c>
      <c r="M47">
        <f t="shared" si="15"/>
        <v>0</v>
      </c>
      <c r="N47" t="e">
        <f t="shared" si="16"/>
        <v>#REF!</v>
      </c>
    </row>
    <row r="48" spans="1:17" x14ac:dyDescent="0.25">
      <c r="A48">
        <f t="shared" si="14"/>
        <v>1500</v>
      </c>
      <c r="B48">
        <f t="shared" si="11"/>
        <v>0</v>
      </c>
      <c r="C48">
        <f t="shared" si="17"/>
        <v>0</v>
      </c>
      <c r="D48">
        <f t="shared" si="3"/>
        <v>0</v>
      </c>
      <c r="E48">
        <f t="shared" si="4"/>
        <v>1500</v>
      </c>
      <c r="F48">
        <f t="shared" si="5"/>
        <v>0</v>
      </c>
      <c r="G48">
        <f t="shared" si="6"/>
        <v>0</v>
      </c>
      <c r="H48">
        <f t="shared" si="7"/>
        <v>0</v>
      </c>
      <c r="I48">
        <f t="shared" si="7"/>
        <v>0</v>
      </c>
      <c r="J48">
        <f t="shared" si="7"/>
        <v>0</v>
      </c>
      <c r="K48">
        <f t="shared" si="7"/>
        <v>0</v>
      </c>
      <c r="L48">
        <f t="shared" si="8"/>
        <v>0</v>
      </c>
      <c r="M48">
        <f t="shared" si="15"/>
        <v>0</v>
      </c>
      <c r="N48" t="e">
        <f t="shared" si="16"/>
        <v>#REF!</v>
      </c>
    </row>
    <row r="49" spans="1:14" x14ac:dyDescent="0.25">
      <c r="A49">
        <f t="shared" si="14"/>
        <v>1800</v>
      </c>
      <c r="B49">
        <f t="shared" si="11"/>
        <v>0</v>
      </c>
      <c r="C49">
        <f t="shared" si="17"/>
        <v>0</v>
      </c>
      <c r="D49">
        <f t="shared" si="3"/>
        <v>0</v>
      </c>
      <c r="E49">
        <f t="shared" si="4"/>
        <v>0</v>
      </c>
      <c r="F49">
        <f t="shared" si="5"/>
        <v>0</v>
      </c>
      <c r="G49">
        <f t="shared" si="6"/>
        <v>0</v>
      </c>
      <c r="H49">
        <f t="shared" si="7"/>
        <v>0</v>
      </c>
      <c r="I49">
        <f t="shared" si="7"/>
        <v>0</v>
      </c>
      <c r="J49">
        <f t="shared" si="7"/>
        <v>0</v>
      </c>
      <c r="K49">
        <f t="shared" si="7"/>
        <v>0</v>
      </c>
      <c r="L49">
        <f t="shared" si="8"/>
        <v>0</v>
      </c>
      <c r="M49">
        <f t="shared" si="15"/>
        <v>0</v>
      </c>
      <c r="N49" t="e">
        <f t="shared" si="16"/>
        <v>#REF!</v>
      </c>
    </row>
    <row r="50" spans="1:14" x14ac:dyDescent="0.25">
      <c r="A50">
        <f t="shared" si="14"/>
        <v>2200</v>
      </c>
      <c r="B50">
        <f t="shared" si="11"/>
        <v>0</v>
      </c>
      <c r="C50">
        <f t="shared" si="17"/>
        <v>0</v>
      </c>
      <c r="D50">
        <f t="shared" si="3"/>
        <v>0</v>
      </c>
      <c r="E50">
        <f t="shared" si="4"/>
        <v>0</v>
      </c>
      <c r="F50">
        <f t="shared" si="5"/>
        <v>0</v>
      </c>
      <c r="G50">
        <f t="shared" si="6"/>
        <v>0</v>
      </c>
      <c r="H50">
        <f t="shared" si="7"/>
        <v>0</v>
      </c>
      <c r="I50">
        <f t="shared" si="7"/>
        <v>0</v>
      </c>
      <c r="J50">
        <f t="shared" si="7"/>
        <v>0</v>
      </c>
      <c r="K50">
        <f t="shared" si="7"/>
        <v>0</v>
      </c>
      <c r="L50">
        <f t="shared" si="8"/>
        <v>0</v>
      </c>
      <c r="M50">
        <f t="shared" si="15"/>
        <v>0</v>
      </c>
      <c r="N50" t="e">
        <f t="shared" si="16"/>
        <v>#REF!</v>
      </c>
    </row>
    <row r="51" spans="1:14" x14ac:dyDescent="0.25">
      <c r="A51">
        <f t="shared" si="14"/>
        <v>2700</v>
      </c>
      <c r="B51">
        <f t="shared" si="11"/>
        <v>0</v>
      </c>
      <c r="C51">
        <f t="shared" si="17"/>
        <v>0</v>
      </c>
      <c r="D51">
        <f t="shared" si="3"/>
        <v>0</v>
      </c>
      <c r="E51">
        <f t="shared" si="4"/>
        <v>0</v>
      </c>
      <c r="F51">
        <f t="shared" si="5"/>
        <v>0</v>
      </c>
      <c r="G51">
        <f t="shared" si="6"/>
        <v>0</v>
      </c>
      <c r="H51">
        <f t="shared" si="7"/>
        <v>0</v>
      </c>
      <c r="I51">
        <f t="shared" si="7"/>
        <v>0</v>
      </c>
      <c r="J51">
        <f t="shared" si="7"/>
        <v>0</v>
      </c>
      <c r="K51">
        <f t="shared" si="7"/>
        <v>0</v>
      </c>
      <c r="L51">
        <f t="shared" si="8"/>
        <v>0</v>
      </c>
      <c r="M51">
        <f t="shared" si="15"/>
        <v>0</v>
      </c>
      <c r="N51" t="e">
        <f t="shared" si="16"/>
        <v>#REF!</v>
      </c>
    </row>
    <row r="52" spans="1:14" x14ac:dyDescent="0.25">
      <c r="A52">
        <f t="shared" si="14"/>
        <v>3300</v>
      </c>
      <c r="B52">
        <f t="shared" si="11"/>
        <v>0</v>
      </c>
      <c r="C52">
        <f t="shared" si="17"/>
        <v>0</v>
      </c>
      <c r="D52">
        <f t="shared" si="3"/>
        <v>0</v>
      </c>
      <c r="E52">
        <f t="shared" si="4"/>
        <v>0</v>
      </c>
      <c r="F52">
        <f t="shared" si="5"/>
        <v>0</v>
      </c>
      <c r="G52">
        <f t="shared" si="6"/>
        <v>0</v>
      </c>
      <c r="H52">
        <f t="shared" si="7"/>
        <v>0</v>
      </c>
      <c r="I52">
        <f t="shared" si="7"/>
        <v>0</v>
      </c>
      <c r="J52">
        <f t="shared" si="7"/>
        <v>0</v>
      </c>
      <c r="K52">
        <f t="shared" si="7"/>
        <v>0</v>
      </c>
      <c r="L52">
        <f t="shared" si="8"/>
        <v>0</v>
      </c>
      <c r="M52">
        <f t="shared" si="15"/>
        <v>0</v>
      </c>
      <c r="N52" t="e">
        <f t="shared" si="16"/>
        <v>#REF!</v>
      </c>
    </row>
    <row r="53" spans="1:14" x14ac:dyDescent="0.25">
      <c r="A53">
        <f t="shared" si="14"/>
        <v>3900</v>
      </c>
      <c r="B53">
        <f t="shared" si="11"/>
        <v>0</v>
      </c>
      <c r="C53">
        <f t="shared" si="17"/>
        <v>0</v>
      </c>
      <c r="D53">
        <f t="shared" si="3"/>
        <v>0</v>
      </c>
      <c r="E53">
        <f t="shared" si="4"/>
        <v>0</v>
      </c>
      <c r="F53">
        <f t="shared" si="5"/>
        <v>0</v>
      </c>
      <c r="G53">
        <f t="shared" si="6"/>
        <v>0</v>
      </c>
      <c r="H53">
        <f t="shared" si="7"/>
        <v>0</v>
      </c>
      <c r="I53">
        <f t="shared" si="7"/>
        <v>0</v>
      </c>
      <c r="J53">
        <f t="shared" si="7"/>
        <v>0</v>
      </c>
      <c r="K53">
        <f t="shared" si="7"/>
        <v>0</v>
      </c>
      <c r="L53">
        <f t="shared" si="8"/>
        <v>0</v>
      </c>
      <c r="M53">
        <f t="shared" si="15"/>
        <v>0</v>
      </c>
      <c r="N53" t="e">
        <f t="shared" si="16"/>
        <v>#REF!</v>
      </c>
    </row>
    <row r="54" spans="1:14" x14ac:dyDescent="0.25">
      <c r="A54">
        <f t="shared" si="14"/>
        <v>4700</v>
      </c>
      <c r="B54">
        <f t="shared" si="11"/>
        <v>0</v>
      </c>
      <c r="C54">
        <f t="shared" si="17"/>
        <v>4700</v>
      </c>
      <c r="D54">
        <f t="shared" si="3"/>
        <v>0</v>
      </c>
      <c r="E54">
        <f t="shared" si="4"/>
        <v>0</v>
      </c>
      <c r="F54">
        <f t="shared" si="5"/>
        <v>0</v>
      </c>
      <c r="G54">
        <f t="shared" si="6"/>
        <v>0</v>
      </c>
      <c r="H54">
        <f t="shared" si="7"/>
        <v>0</v>
      </c>
      <c r="I54">
        <f t="shared" si="7"/>
        <v>0</v>
      </c>
      <c r="J54">
        <f t="shared" si="7"/>
        <v>0</v>
      </c>
      <c r="K54">
        <f t="shared" si="7"/>
        <v>0</v>
      </c>
      <c r="L54">
        <f t="shared" si="8"/>
        <v>0</v>
      </c>
      <c r="M54">
        <f t="shared" si="15"/>
        <v>0</v>
      </c>
      <c r="N54" t="e">
        <f t="shared" si="16"/>
        <v>#REF!</v>
      </c>
    </row>
    <row r="55" spans="1:14" x14ac:dyDescent="0.25">
      <c r="A55">
        <f t="shared" si="14"/>
        <v>5600</v>
      </c>
      <c r="B55">
        <f t="shared" si="11"/>
        <v>0</v>
      </c>
      <c r="C55">
        <f t="shared" si="17"/>
        <v>0</v>
      </c>
      <c r="D55">
        <f t="shared" si="3"/>
        <v>0</v>
      </c>
      <c r="E55">
        <f t="shared" si="4"/>
        <v>0</v>
      </c>
      <c r="F55">
        <f t="shared" si="5"/>
        <v>0</v>
      </c>
      <c r="G55">
        <f t="shared" si="6"/>
        <v>0</v>
      </c>
      <c r="H55">
        <f t="shared" si="7"/>
        <v>0</v>
      </c>
      <c r="I55">
        <f t="shared" si="7"/>
        <v>0</v>
      </c>
      <c r="J55">
        <f t="shared" si="7"/>
        <v>0</v>
      </c>
      <c r="K55">
        <f t="shared" si="7"/>
        <v>0</v>
      </c>
      <c r="L55">
        <f t="shared" si="8"/>
        <v>0</v>
      </c>
      <c r="M55">
        <f t="shared" si="15"/>
        <v>0</v>
      </c>
      <c r="N55" t="e">
        <f t="shared" si="16"/>
        <v>#REF!</v>
      </c>
    </row>
    <row r="56" spans="1:14" x14ac:dyDescent="0.25">
      <c r="A56">
        <f t="shared" si="14"/>
        <v>6800</v>
      </c>
      <c r="B56">
        <f t="shared" si="11"/>
        <v>0</v>
      </c>
      <c r="C56">
        <f t="shared" si="17"/>
        <v>0</v>
      </c>
      <c r="D56">
        <f t="shared" si="3"/>
        <v>0</v>
      </c>
      <c r="E56">
        <f t="shared" si="4"/>
        <v>0</v>
      </c>
      <c r="F56">
        <f t="shared" si="5"/>
        <v>0</v>
      </c>
      <c r="G56">
        <f t="shared" si="6"/>
        <v>0</v>
      </c>
      <c r="H56">
        <f t="shared" si="7"/>
        <v>0</v>
      </c>
      <c r="I56">
        <f t="shared" si="7"/>
        <v>0</v>
      </c>
      <c r="J56">
        <f t="shared" si="7"/>
        <v>0</v>
      </c>
      <c r="K56">
        <f t="shared" si="7"/>
        <v>0</v>
      </c>
      <c r="L56">
        <f t="shared" si="8"/>
        <v>0</v>
      </c>
      <c r="M56">
        <f t="shared" si="15"/>
        <v>0</v>
      </c>
      <c r="N56" t="e">
        <f t="shared" si="16"/>
        <v>#REF!</v>
      </c>
    </row>
    <row r="57" spans="1:14" x14ac:dyDescent="0.25">
      <c r="A57">
        <f t="shared" si="14"/>
        <v>8200</v>
      </c>
      <c r="B57">
        <f t="shared" si="11"/>
        <v>0</v>
      </c>
      <c r="C57">
        <f t="shared" si="17"/>
        <v>0</v>
      </c>
      <c r="D57">
        <f t="shared" si="3"/>
        <v>0</v>
      </c>
      <c r="E57">
        <f t="shared" si="4"/>
        <v>0</v>
      </c>
      <c r="F57">
        <f t="shared" si="5"/>
        <v>0</v>
      </c>
      <c r="G57">
        <f t="shared" si="6"/>
        <v>0</v>
      </c>
      <c r="H57">
        <f t="shared" si="7"/>
        <v>0</v>
      </c>
      <c r="I57">
        <f t="shared" si="7"/>
        <v>0</v>
      </c>
      <c r="J57">
        <f t="shared" si="7"/>
        <v>0</v>
      </c>
      <c r="K57">
        <f t="shared" si="7"/>
        <v>0</v>
      </c>
      <c r="L57">
        <f t="shared" si="8"/>
        <v>0</v>
      </c>
      <c r="M57">
        <f t="shared" si="15"/>
        <v>0</v>
      </c>
      <c r="N57" t="e">
        <f t="shared" si="16"/>
        <v>#REF!</v>
      </c>
    </row>
    <row r="58" spans="1:14" x14ac:dyDescent="0.25">
      <c r="A58">
        <f t="shared" si="14"/>
        <v>10000</v>
      </c>
      <c r="B58">
        <f t="shared" si="11"/>
        <v>0</v>
      </c>
      <c r="C58">
        <f t="shared" si="17"/>
        <v>0</v>
      </c>
      <c r="D58">
        <f t="shared" si="3"/>
        <v>0</v>
      </c>
      <c r="E58">
        <f t="shared" si="4"/>
        <v>0</v>
      </c>
      <c r="F58">
        <f t="shared" si="5"/>
        <v>0</v>
      </c>
      <c r="G58">
        <f t="shared" si="6"/>
        <v>0</v>
      </c>
      <c r="H58">
        <f t="shared" si="7"/>
        <v>0</v>
      </c>
      <c r="I58">
        <f t="shared" si="7"/>
        <v>0</v>
      </c>
      <c r="J58">
        <f t="shared" si="7"/>
        <v>0</v>
      </c>
      <c r="K58">
        <f t="shared" si="7"/>
        <v>0</v>
      </c>
      <c r="L58">
        <f t="shared" si="8"/>
        <v>0</v>
      </c>
      <c r="M58">
        <f t="shared" si="15"/>
        <v>0</v>
      </c>
      <c r="N58" t="e">
        <f t="shared" si="16"/>
        <v>#REF!</v>
      </c>
    </row>
    <row r="59" spans="1:14" x14ac:dyDescent="0.25">
      <c r="A59">
        <f t="shared" si="14"/>
        <v>12000</v>
      </c>
      <c r="B59">
        <f t="shared" si="11"/>
        <v>0</v>
      </c>
      <c r="C59">
        <f t="shared" si="17"/>
        <v>0</v>
      </c>
      <c r="D59">
        <f t="shared" si="3"/>
        <v>0</v>
      </c>
      <c r="E59">
        <f t="shared" si="4"/>
        <v>0</v>
      </c>
      <c r="F59">
        <f t="shared" si="5"/>
        <v>0</v>
      </c>
      <c r="G59">
        <f t="shared" si="6"/>
        <v>0</v>
      </c>
      <c r="H59">
        <f t="shared" si="7"/>
        <v>0</v>
      </c>
      <c r="I59">
        <f t="shared" si="7"/>
        <v>0</v>
      </c>
      <c r="J59">
        <f t="shared" si="7"/>
        <v>0</v>
      </c>
      <c r="K59">
        <f t="shared" si="7"/>
        <v>0</v>
      </c>
      <c r="L59">
        <f t="shared" si="8"/>
        <v>0</v>
      </c>
      <c r="M59">
        <f t="shared" si="15"/>
        <v>0</v>
      </c>
      <c r="N59" t="e">
        <f t="shared" si="16"/>
        <v>#REF!</v>
      </c>
    </row>
    <row r="60" spans="1:14" x14ac:dyDescent="0.25">
      <c r="A60">
        <f t="shared" si="14"/>
        <v>15000</v>
      </c>
      <c r="B60">
        <f t="shared" si="11"/>
        <v>0</v>
      </c>
      <c r="C60">
        <f t="shared" si="17"/>
        <v>0</v>
      </c>
      <c r="D60">
        <f t="shared" si="3"/>
        <v>0</v>
      </c>
      <c r="E60">
        <f t="shared" si="4"/>
        <v>0</v>
      </c>
      <c r="F60">
        <f t="shared" si="5"/>
        <v>0</v>
      </c>
      <c r="G60">
        <f t="shared" si="6"/>
        <v>0</v>
      </c>
      <c r="H60">
        <f t="shared" si="7"/>
        <v>0</v>
      </c>
      <c r="I60">
        <f t="shared" si="7"/>
        <v>0</v>
      </c>
      <c r="J60">
        <f t="shared" si="7"/>
        <v>0</v>
      </c>
      <c r="K60">
        <f t="shared" si="7"/>
        <v>0</v>
      </c>
      <c r="L60">
        <f t="shared" si="8"/>
        <v>0</v>
      </c>
      <c r="M60">
        <f t="shared" si="15"/>
        <v>0</v>
      </c>
      <c r="N60" t="e">
        <f t="shared" si="16"/>
        <v>#REF!</v>
      </c>
    </row>
    <row r="61" spans="1:14" x14ac:dyDescent="0.25">
      <c r="A61">
        <f t="shared" si="14"/>
        <v>18000</v>
      </c>
      <c r="B61">
        <f t="shared" si="11"/>
        <v>0</v>
      </c>
      <c r="C61">
        <f t="shared" si="17"/>
        <v>0</v>
      </c>
      <c r="D61">
        <f t="shared" si="3"/>
        <v>0</v>
      </c>
      <c r="E61">
        <f t="shared" si="4"/>
        <v>0</v>
      </c>
      <c r="F61">
        <f t="shared" si="5"/>
        <v>0</v>
      </c>
      <c r="G61">
        <f t="shared" si="6"/>
        <v>0</v>
      </c>
      <c r="H61">
        <f t="shared" si="7"/>
        <v>0</v>
      </c>
      <c r="I61">
        <f t="shared" si="7"/>
        <v>0</v>
      </c>
      <c r="J61">
        <f t="shared" si="7"/>
        <v>0</v>
      </c>
      <c r="K61">
        <f t="shared" si="7"/>
        <v>0</v>
      </c>
      <c r="L61">
        <f t="shared" si="8"/>
        <v>0</v>
      </c>
      <c r="M61">
        <f t="shared" si="15"/>
        <v>0</v>
      </c>
      <c r="N61" t="e">
        <f t="shared" si="16"/>
        <v>#REF!</v>
      </c>
    </row>
    <row r="62" spans="1:14" x14ac:dyDescent="0.25">
      <c r="A62">
        <f t="shared" si="14"/>
        <v>22000</v>
      </c>
      <c r="B62">
        <f t="shared" si="11"/>
        <v>0</v>
      </c>
      <c r="C62">
        <f t="shared" si="17"/>
        <v>0</v>
      </c>
      <c r="D62">
        <f t="shared" si="3"/>
        <v>0</v>
      </c>
      <c r="E62">
        <f t="shared" si="4"/>
        <v>0</v>
      </c>
      <c r="F62">
        <f t="shared" si="5"/>
        <v>0</v>
      </c>
      <c r="G62">
        <f t="shared" si="6"/>
        <v>0</v>
      </c>
      <c r="H62">
        <f t="shared" si="7"/>
        <v>0</v>
      </c>
      <c r="I62">
        <f t="shared" si="7"/>
        <v>0</v>
      </c>
      <c r="J62">
        <f t="shared" si="7"/>
        <v>0</v>
      </c>
      <c r="K62">
        <f t="shared" si="7"/>
        <v>0</v>
      </c>
      <c r="L62">
        <f t="shared" si="8"/>
        <v>0</v>
      </c>
      <c r="M62">
        <f t="shared" si="15"/>
        <v>0</v>
      </c>
      <c r="N62" t="e">
        <f t="shared" si="16"/>
        <v>#REF!</v>
      </c>
    </row>
    <row r="63" spans="1:14" x14ac:dyDescent="0.25">
      <c r="A63">
        <f t="shared" si="14"/>
        <v>27000</v>
      </c>
      <c r="B63">
        <f t="shared" si="11"/>
        <v>0</v>
      </c>
      <c r="C63">
        <f t="shared" si="17"/>
        <v>0</v>
      </c>
      <c r="D63">
        <f t="shared" si="3"/>
        <v>0</v>
      </c>
      <c r="E63">
        <f t="shared" si="4"/>
        <v>0</v>
      </c>
      <c r="F63">
        <f t="shared" si="5"/>
        <v>0</v>
      </c>
      <c r="G63">
        <f t="shared" si="6"/>
        <v>0</v>
      </c>
      <c r="H63">
        <f t="shared" si="7"/>
        <v>0</v>
      </c>
      <c r="I63">
        <f t="shared" si="7"/>
        <v>0</v>
      </c>
      <c r="J63">
        <f t="shared" si="7"/>
        <v>0</v>
      </c>
      <c r="K63">
        <f t="shared" si="7"/>
        <v>0</v>
      </c>
      <c r="L63">
        <f t="shared" si="8"/>
        <v>0</v>
      </c>
      <c r="M63">
        <f t="shared" si="15"/>
        <v>0</v>
      </c>
      <c r="N63" t="e">
        <f t="shared" si="16"/>
        <v>#REF!</v>
      </c>
    </row>
    <row r="64" spans="1:14" x14ac:dyDescent="0.25">
      <c r="A64">
        <f t="shared" si="14"/>
        <v>33000</v>
      </c>
      <c r="B64">
        <f t="shared" si="11"/>
        <v>0</v>
      </c>
      <c r="C64">
        <f t="shared" si="17"/>
        <v>0</v>
      </c>
      <c r="D64">
        <f t="shared" si="3"/>
        <v>0</v>
      </c>
      <c r="E64">
        <f t="shared" si="4"/>
        <v>0</v>
      </c>
      <c r="F64">
        <f t="shared" si="5"/>
        <v>0</v>
      </c>
      <c r="G64">
        <f t="shared" si="6"/>
        <v>0</v>
      </c>
      <c r="H64">
        <f t="shared" si="7"/>
        <v>0</v>
      </c>
      <c r="I64">
        <f t="shared" si="7"/>
        <v>0</v>
      </c>
      <c r="J64">
        <f t="shared" si="7"/>
        <v>0</v>
      </c>
      <c r="K64">
        <f t="shared" si="7"/>
        <v>0</v>
      </c>
      <c r="L64">
        <f t="shared" si="8"/>
        <v>0</v>
      </c>
      <c r="M64">
        <f t="shared" si="15"/>
        <v>0</v>
      </c>
      <c r="N64" t="e">
        <f t="shared" si="16"/>
        <v>#REF!</v>
      </c>
    </row>
    <row r="65" spans="1:14" x14ac:dyDescent="0.25">
      <c r="A65">
        <f t="shared" si="14"/>
        <v>39000</v>
      </c>
      <c r="B65">
        <f t="shared" si="11"/>
        <v>0</v>
      </c>
      <c r="C65">
        <f t="shared" si="17"/>
        <v>0</v>
      </c>
      <c r="D65">
        <f t="shared" si="3"/>
        <v>0</v>
      </c>
      <c r="E65">
        <f t="shared" si="4"/>
        <v>0</v>
      </c>
      <c r="F65">
        <f t="shared" si="5"/>
        <v>0</v>
      </c>
      <c r="G65">
        <f t="shared" si="6"/>
        <v>0</v>
      </c>
      <c r="H65">
        <f t="shared" si="7"/>
        <v>0</v>
      </c>
      <c r="I65">
        <f t="shared" si="7"/>
        <v>0</v>
      </c>
      <c r="J65">
        <f t="shared" si="7"/>
        <v>0</v>
      </c>
      <c r="K65">
        <f t="shared" si="7"/>
        <v>0</v>
      </c>
      <c r="L65">
        <f t="shared" si="8"/>
        <v>0</v>
      </c>
      <c r="M65">
        <f t="shared" si="15"/>
        <v>0</v>
      </c>
      <c r="N65" t="e">
        <f t="shared" si="16"/>
        <v>#REF!</v>
      </c>
    </row>
    <row r="66" spans="1:14" x14ac:dyDescent="0.25">
      <c r="A66">
        <f t="shared" si="14"/>
        <v>47000</v>
      </c>
      <c r="B66">
        <f t="shared" si="11"/>
        <v>0</v>
      </c>
      <c r="C66">
        <f t="shared" si="17"/>
        <v>0</v>
      </c>
      <c r="D66">
        <f t="shared" si="3"/>
        <v>0</v>
      </c>
      <c r="E66">
        <f t="shared" si="4"/>
        <v>0</v>
      </c>
      <c r="F66">
        <f t="shared" si="5"/>
        <v>0</v>
      </c>
      <c r="G66">
        <f t="shared" si="6"/>
        <v>0</v>
      </c>
      <c r="H66">
        <f t="shared" si="7"/>
        <v>0</v>
      </c>
      <c r="I66">
        <f t="shared" si="7"/>
        <v>0</v>
      </c>
      <c r="J66">
        <f t="shared" si="7"/>
        <v>0</v>
      </c>
      <c r="K66">
        <f t="shared" si="7"/>
        <v>0</v>
      </c>
      <c r="L66">
        <f t="shared" si="8"/>
        <v>0</v>
      </c>
      <c r="M66">
        <f t="shared" si="15"/>
        <v>0</v>
      </c>
      <c r="N66" t="e">
        <f t="shared" si="16"/>
        <v>#REF!</v>
      </c>
    </row>
    <row r="67" spans="1:14" x14ac:dyDescent="0.25">
      <c r="A67">
        <f t="shared" si="14"/>
        <v>56000</v>
      </c>
      <c r="B67">
        <f t="shared" si="11"/>
        <v>0</v>
      </c>
      <c r="C67">
        <f t="shared" si="17"/>
        <v>0</v>
      </c>
      <c r="D67">
        <f t="shared" si="3"/>
        <v>0</v>
      </c>
      <c r="E67">
        <f t="shared" si="4"/>
        <v>0</v>
      </c>
      <c r="F67">
        <f t="shared" si="5"/>
        <v>0</v>
      </c>
      <c r="G67">
        <f t="shared" si="6"/>
        <v>0</v>
      </c>
      <c r="H67">
        <f t="shared" si="7"/>
        <v>0</v>
      </c>
      <c r="I67">
        <f t="shared" si="7"/>
        <v>0</v>
      </c>
      <c r="J67">
        <f t="shared" si="7"/>
        <v>0</v>
      </c>
      <c r="K67">
        <f t="shared" si="7"/>
        <v>0</v>
      </c>
      <c r="L67">
        <f t="shared" si="8"/>
        <v>0</v>
      </c>
      <c r="M67">
        <f t="shared" si="15"/>
        <v>0</v>
      </c>
      <c r="N67" t="e">
        <f t="shared" si="16"/>
        <v>#REF!</v>
      </c>
    </row>
    <row r="68" spans="1:14" x14ac:dyDescent="0.25">
      <c r="A68">
        <f t="shared" si="14"/>
        <v>68000</v>
      </c>
      <c r="B68">
        <f t="shared" si="11"/>
        <v>0</v>
      </c>
      <c r="C68">
        <f t="shared" si="17"/>
        <v>0</v>
      </c>
      <c r="D68">
        <f t="shared" si="3"/>
        <v>0</v>
      </c>
      <c r="E68">
        <f t="shared" si="4"/>
        <v>0</v>
      </c>
      <c r="F68">
        <f t="shared" si="5"/>
        <v>0</v>
      </c>
      <c r="G68">
        <f t="shared" si="6"/>
        <v>0</v>
      </c>
      <c r="H68">
        <f t="shared" si="7"/>
        <v>0</v>
      </c>
      <c r="I68">
        <f t="shared" si="7"/>
        <v>0</v>
      </c>
      <c r="J68">
        <f t="shared" si="7"/>
        <v>0</v>
      </c>
      <c r="K68">
        <f t="shared" si="7"/>
        <v>0</v>
      </c>
      <c r="L68">
        <f t="shared" si="8"/>
        <v>0</v>
      </c>
      <c r="M68">
        <f t="shared" si="15"/>
        <v>0</v>
      </c>
      <c r="N68" t="e">
        <f t="shared" si="16"/>
        <v>#REF!</v>
      </c>
    </row>
    <row r="69" spans="1:14" x14ac:dyDescent="0.25">
      <c r="A69">
        <f t="shared" si="14"/>
        <v>82000</v>
      </c>
      <c r="B69">
        <f t="shared" si="11"/>
        <v>0</v>
      </c>
      <c r="C69">
        <f t="shared" si="17"/>
        <v>0</v>
      </c>
      <c r="D69">
        <f t="shared" si="3"/>
        <v>0</v>
      </c>
      <c r="E69">
        <f t="shared" si="4"/>
        <v>0</v>
      </c>
      <c r="F69">
        <f t="shared" si="5"/>
        <v>0</v>
      </c>
      <c r="G69">
        <f t="shared" si="6"/>
        <v>0</v>
      </c>
      <c r="H69">
        <f t="shared" si="7"/>
        <v>0</v>
      </c>
      <c r="I69">
        <f t="shared" si="7"/>
        <v>0</v>
      </c>
      <c r="J69">
        <f t="shared" si="7"/>
        <v>0</v>
      </c>
      <c r="K69">
        <f t="shared" ref="K69:L132" si="18">IF(IF((K$3*10^12-$A70)*(K$3*10^12-$A69)*-1&lt;0,0,1)*IF(ABS(K$3*10^12-$A70)&gt;(K$3*10^12-$A69),$A69,$A70)=K70,0,IF((K$3*10^12-$A70)*(K$3*10^12-$A69)*-1&lt;0,0,1)*IF(ABS(K$3*10^12-$A70)&gt;(K$3*10^12-$A69),$A69,$A70))</f>
        <v>0</v>
      </c>
      <c r="L69">
        <f t="shared" si="8"/>
        <v>0</v>
      </c>
      <c r="M69">
        <f t="shared" si="15"/>
        <v>0</v>
      </c>
      <c r="N69" t="e">
        <f t="shared" si="16"/>
        <v>#REF!</v>
      </c>
    </row>
    <row r="70" spans="1:14" x14ac:dyDescent="0.25">
      <c r="A70">
        <f t="shared" si="14"/>
        <v>100000</v>
      </c>
      <c r="B70">
        <f t="shared" si="11"/>
        <v>100000</v>
      </c>
      <c r="C70">
        <f t="shared" si="17"/>
        <v>0</v>
      </c>
      <c r="D70">
        <f t="shared" ref="D70:J70" si="19">IF(IF((D$3*10^12-$A71)*(D$3*10^12-$A70)*-1&lt;0,0,1)*IF(ABS(D$3*10^12-$A71)&gt;(D$3*10^12-$A70),$A70,$A71)=D71,0,IF((D$3*10^12-$A71)*(D$3*10^12-$A70)*-1&lt;0,0,1)*IF(ABS(D$3*10^12-$A71)&gt;(D$3*10^12-$A70),$A70,$A71))</f>
        <v>0</v>
      </c>
      <c r="E70">
        <f t="shared" si="19"/>
        <v>0</v>
      </c>
      <c r="F70">
        <f t="shared" si="19"/>
        <v>0</v>
      </c>
      <c r="G70">
        <f t="shared" si="19"/>
        <v>0</v>
      </c>
      <c r="H70">
        <f t="shared" si="19"/>
        <v>0</v>
      </c>
      <c r="I70">
        <f t="shared" si="19"/>
        <v>0</v>
      </c>
      <c r="J70">
        <f t="shared" si="19"/>
        <v>0</v>
      </c>
      <c r="K70">
        <f t="shared" si="18"/>
        <v>0</v>
      </c>
      <c r="L70">
        <f t="shared" si="18"/>
        <v>0</v>
      </c>
      <c r="M70">
        <f t="shared" ref="M70:M101" si="20">IF(IF((M$3*10^12-$A71)*(M$3*10^12-$A70)*-1&lt;0,0,1)*IF(ABS(M$3*10^12-$A71)&gt;(M$3*10^12-$A70),$A70,$A71)=M71,0,IF((M$3*10^12-$A71)*(M$3*10^12-$A70)*-1&lt;0,0,1)*IF(ABS(M$3*10^12-$A71)&gt;(M$3*10^12-$A70),$A70,$A71))</f>
        <v>0</v>
      </c>
      <c r="N70" t="e">
        <f t="shared" ref="N70:N101" si="21">IF(IF((N$3*10^12-$A71)*(N$3*10^12-$A70)*-1&lt;0,0,1)*IF(ABS(N$3*10^12-$A71)&gt;(N$3*10^12-$A70),$A70,$A71)=N71,0,IF((N$3*10^12-$A71)*(N$3*10^12-$A70)*-1&lt;0,0,1)*IF(ABS(N$3*10^12-$A71)&gt;(N$3*10^12-$A70),$A70,$A71))</f>
        <v>#REF!</v>
      </c>
    </row>
    <row r="71" spans="1:14" x14ac:dyDescent="0.25">
      <c r="A71">
        <f t="shared" si="14"/>
        <v>120000</v>
      </c>
      <c r="B71">
        <f t="shared" ref="B71:B134" si="22">IF(IF((B$3*10^12-$A72)*(B$3*10^12-$A71)*-1&lt;0,0,1)*IF(ABS(B$3*10^12-$A72)&gt;(B$3*10^12-$A71),$A71,$A72)=B72,0,IF((B$3*10^12-$A72)*(B$3*10^12-$A71)*-1&lt;0,0,1)*IF(ABS(B$3*10^12-$A72)&gt;(B$3*10^12-$A71),$A71,$A72))</f>
        <v>0</v>
      </c>
      <c r="C71">
        <f t="shared" ref="C71:F134" si="23">IF(IF((C$3*10^12-$A72)*(C$3*10^12-$A71)*-1&lt;0,0,1)*IF(ABS(C$3*10^12-$A72)&gt;(C$3*10^12-$A71),$A71,$A72)=C72,0,IF((C$3*10^12-$A72)*(C$3*10^12-$A71)*-1&lt;0,0,1)*IF(ABS(C$3*10^12-$A72)&gt;(C$3*10^12-$A71),$A71,$A72))</f>
        <v>0</v>
      </c>
      <c r="D71">
        <f t="shared" si="23"/>
        <v>0</v>
      </c>
      <c r="E71">
        <f t="shared" si="23"/>
        <v>0</v>
      </c>
      <c r="F71">
        <f t="shared" si="23"/>
        <v>0</v>
      </c>
      <c r="G71">
        <f t="shared" ref="G71:G102" si="24">IF(IF((G$3*10^12-$A72)*(G$3*10^12-$A71)*-1&lt;0,0,1)*IF(ABS(G$3*10^12-$A72)&gt;(G$3*10^12-$A71),$A71,$A72)=G72,0,IF((G$3*10^12-$A72)*(G$3*10^12-$A71)*-1&lt;0,0,1)*IF(ABS(G$3*10^12-$A72)&gt;(G$3*10^12-$A71),$A71,$A72))</f>
        <v>0</v>
      </c>
      <c r="H71">
        <f t="shared" ref="H71:H102" si="25">IF(IF((H$3*10^12-$A72)*(H$3*10^12-$A71)*-1&lt;0,0,1)*IF(ABS(H$3*10^12-$A72)&gt;(H$3*10^12-$A71),$A71,$A72)=H72,0,IF((H$3*10^12-$A72)*(H$3*10^12-$A71)*-1&lt;0,0,1)*IF(ABS(H$3*10^12-$A72)&gt;(H$3*10^12-$A71),$A71,$A72))</f>
        <v>0</v>
      </c>
      <c r="I71">
        <f t="shared" ref="I71:I102" si="26">IF(IF((I$3*10^12-$A72)*(I$3*10^12-$A71)*-1&lt;0,0,1)*IF(ABS(I$3*10^12-$A72)&gt;(I$3*10^12-$A71),$A71,$A72)=I72,0,IF((I$3*10^12-$A72)*(I$3*10^12-$A71)*-1&lt;0,0,1)*IF(ABS(I$3*10^12-$A72)&gt;(I$3*10^12-$A71),$A71,$A72))</f>
        <v>0</v>
      </c>
      <c r="J71">
        <f t="shared" ref="J71:J102" si="27">IF(IF((J$3*10^12-$A72)*(J$3*10^12-$A71)*-1&lt;0,0,1)*IF(ABS(J$3*10^12-$A72)&gt;(J$3*10^12-$A71),$A71,$A72)=J72,0,IF((J$3*10^12-$A72)*(J$3*10^12-$A71)*-1&lt;0,0,1)*IF(ABS(J$3*10^12-$A72)&gt;(J$3*10^12-$A71),$A71,$A72))</f>
        <v>0</v>
      </c>
      <c r="K71">
        <f t="shared" si="18"/>
        <v>0</v>
      </c>
      <c r="L71">
        <f t="shared" si="18"/>
        <v>0</v>
      </c>
      <c r="M71">
        <f t="shared" si="20"/>
        <v>0</v>
      </c>
      <c r="N71" t="e">
        <f t="shared" si="21"/>
        <v>#REF!</v>
      </c>
    </row>
    <row r="72" spans="1:14" x14ac:dyDescent="0.25">
      <c r="A72">
        <f t="shared" si="14"/>
        <v>150000</v>
      </c>
      <c r="B72">
        <f t="shared" si="22"/>
        <v>0</v>
      </c>
      <c r="C72">
        <f t="shared" si="23"/>
        <v>0</v>
      </c>
      <c r="D72">
        <f t="shared" si="23"/>
        <v>0</v>
      </c>
      <c r="E72">
        <f t="shared" si="23"/>
        <v>0</v>
      </c>
      <c r="F72">
        <f t="shared" si="23"/>
        <v>0</v>
      </c>
      <c r="G72">
        <f t="shared" si="24"/>
        <v>0</v>
      </c>
      <c r="H72">
        <f t="shared" si="25"/>
        <v>0</v>
      </c>
      <c r="I72">
        <f t="shared" si="26"/>
        <v>0</v>
      </c>
      <c r="J72">
        <f t="shared" si="27"/>
        <v>0</v>
      </c>
      <c r="K72">
        <f t="shared" si="18"/>
        <v>0</v>
      </c>
      <c r="L72">
        <f t="shared" si="18"/>
        <v>0</v>
      </c>
      <c r="M72">
        <f t="shared" si="20"/>
        <v>0</v>
      </c>
      <c r="N72" t="e">
        <f t="shared" si="21"/>
        <v>#REF!</v>
      </c>
    </row>
    <row r="73" spans="1:14" x14ac:dyDescent="0.25">
      <c r="A73">
        <f t="shared" si="14"/>
        <v>180000</v>
      </c>
      <c r="B73">
        <f t="shared" si="22"/>
        <v>0</v>
      </c>
      <c r="C73">
        <f t="shared" si="23"/>
        <v>0</v>
      </c>
      <c r="D73">
        <f t="shared" si="23"/>
        <v>0</v>
      </c>
      <c r="E73">
        <f t="shared" si="23"/>
        <v>0</v>
      </c>
      <c r="F73">
        <f t="shared" si="23"/>
        <v>0</v>
      </c>
      <c r="G73">
        <f t="shared" si="24"/>
        <v>0</v>
      </c>
      <c r="H73">
        <f t="shared" si="25"/>
        <v>0</v>
      </c>
      <c r="I73">
        <f t="shared" si="26"/>
        <v>0</v>
      </c>
      <c r="J73">
        <f t="shared" si="27"/>
        <v>0</v>
      </c>
      <c r="K73">
        <f t="shared" si="18"/>
        <v>0</v>
      </c>
      <c r="L73">
        <f t="shared" si="18"/>
        <v>0</v>
      </c>
      <c r="M73">
        <f t="shared" si="20"/>
        <v>0</v>
      </c>
      <c r="N73" t="e">
        <f t="shared" si="21"/>
        <v>#REF!</v>
      </c>
    </row>
    <row r="74" spans="1:14" x14ac:dyDescent="0.25">
      <c r="A74">
        <f t="shared" si="14"/>
        <v>220000</v>
      </c>
      <c r="B74">
        <f t="shared" si="22"/>
        <v>0</v>
      </c>
      <c r="C74">
        <f t="shared" si="23"/>
        <v>0</v>
      </c>
      <c r="D74">
        <f t="shared" si="23"/>
        <v>0</v>
      </c>
      <c r="E74">
        <f t="shared" si="23"/>
        <v>0</v>
      </c>
      <c r="F74">
        <f t="shared" si="23"/>
        <v>0</v>
      </c>
      <c r="G74">
        <f t="shared" si="24"/>
        <v>0</v>
      </c>
      <c r="H74">
        <f t="shared" si="25"/>
        <v>0</v>
      </c>
      <c r="I74">
        <f t="shared" si="26"/>
        <v>0</v>
      </c>
      <c r="J74">
        <f t="shared" si="27"/>
        <v>0</v>
      </c>
      <c r="K74">
        <f t="shared" si="18"/>
        <v>0</v>
      </c>
      <c r="L74">
        <f t="shared" si="18"/>
        <v>0</v>
      </c>
      <c r="M74">
        <f t="shared" si="20"/>
        <v>0</v>
      </c>
      <c r="N74" t="e">
        <f t="shared" si="21"/>
        <v>#REF!</v>
      </c>
    </row>
    <row r="75" spans="1:14" x14ac:dyDescent="0.25">
      <c r="A75">
        <f t="shared" si="14"/>
        <v>270000</v>
      </c>
      <c r="B75">
        <f t="shared" si="22"/>
        <v>0</v>
      </c>
      <c r="C75">
        <f t="shared" si="23"/>
        <v>0</v>
      </c>
      <c r="D75">
        <f t="shared" si="23"/>
        <v>0</v>
      </c>
      <c r="E75">
        <f t="shared" si="23"/>
        <v>0</v>
      </c>
      <c r="F75">
        <f t="shared" si="23"/>
        <v>0</v>
      </c>
      <c r="G75">
        <f t="shared" si="24"/>
        <v>0</v>
      </c>
      <c r="H75">
        <f t="shared" si="25"/>
        <v>0</v>
      </c>
      <c r="I75">
        <f t="shared" si="26"/>
        <v>0</v>
      </c>
      <c r="J75">
        <f t="shared" si="27"/>
        <v>0</v>
      </c>
      <c r="K75">
        <f t="shared" si="18"/>
        <v>0</v>
      </c>
      <c r="L75">
        <f t="shared" si="18"/>
        <v>0</v>
      </c>
      <c r="M75">
        <f t="shared" si="20"/>
        <v>0</v>
      </c>
      <c r="N75" t="e">
        <f t="shared" si="21"/>
        <v>#REF!</v>
      </c>
    </row>
    <row r="76" spans="1:14" x14ac:dyDescent="0.25">
      <c r="A76">
        <f t="shared" si="14"/>
        <v>330000</v>
      </c>
      <c r="B76">
        <f t="shared" si="22"/>
        <v>0</v>
      </c>
      <c r="C76">
        <f t="shared" si="23"/>
        <v>0</v>
      </c>
      <c r="D76">
        <f t="shared" si="23"/>
        <v>0</v>
      </c>
      <c r="E76">
        <f t="shared" si="23"/>
        <v>0</v>
      </c>
      <c r="F76">
        <f t="shared" si="23"/>
        <v>0</v>
      </c>
      <c r="G76">
        <f t="shared" si="24"/>
        <v>0</v>
      </c>
      <c r="H76">
        <f t="shared" si="25"/>
        <v>0</v>
      </c>
      <c r="I76">
        <f t="shared" si="26"/>
        <v>0</v>
      </c>
      <c r="J76">
        <f t="shared" si="27"/>
        <v>0</v>
      </c>
      <c r="K76">
        <f t="shared" si="18"/>
        <v>0</v>
      </c>
      <c r="L76">
        <f t="shared" si="18"/>
        <v>0</v>
      </c>
      <c r="M76">
        <f t="shared" si="20"/>
        <v>0</v>
      </c>
      <c r="N76" t="e">
        <f t="shared" si="21"/>
        <v>#REF!</v>
      </c>
    </row>
    <row r="77" spans="1:14" x14ac:dyDescent="0.25">
      <c r="A77">
        <f t="shared" si="14"/>
        <v>390000</v>
      </c>
      <c r="B77">
        <f t="shared" si="22"/>
        <v>0</v>
      </c>
      <c r="C77">
        <f t="shared" si="23"/>
        <v>0</v>
      </c>
      <c r="D77">
        <f t="shared" si="23"/>
        <v>0</v>
      </c>
      <c r="E77">
        <f t="shared" si="23"/>
        <v>0</v>
      </c>
      <c r="F77">
        <f t="shared" si="23"/>
        <v>0</v>
      </c>
      <c r="G77">
        <f t="shared" si="24"/>
        <v>0</v>
      </c>
      <c r="H77">
        <f t="shared" si="25"/>
        <v>0</v>
      </c>
      <c r="I77">
        <f t="shared" si="26"/>
        <v>0</v>
      </c>
      <c r="J77">
        <f t="shared" si="27"/>
        <v>0</v>
      </c>
      <c r="K77">
        <f t="shared" si="18"/>
        <v>0</v>
      </c>
      <c r="L77">
        <f t="shared" si="18"/>
        <v>0</v>
      </c>
      <c r="M77">
        <f t="shared" si="20"/>
        <v>0</v>
      </c>
      <c r="N77" t="e">
        <f t="shared" si="21"/>
        <v>#REF!</v>
      </c>
    </row>
    <row r="78" spans="1:14" x14ac:dyDescent="0.25">
      <c r="A78">
        <f t="shared" si="14"/>
        <v>470000</v>
      </c>
      <c r="B78">
        <f t="shared" si="22"/>
        <v>0</v>
      </c>
      <c r="C78">
        <f t="shared" si="23"/>
        <v>0</v>
      </c>
      <c r="D78">
        <f t="shared" si="23"/>
        <v>0</v>
      </c>
      <c r="E78">
        <f t="shared" si="23"/>
        <v>0</v>
      </c>
      <c r="F78">
        <f t="shared" si="23"/>
        <v>0</v>
      </c>
      <c r="G78">
        <f t="shared" si="24"/>
        <v>0</v>
      </c>
      <c r="H78">
        <f t="shared" si="25"/>
        <v>0</v>
      </c>
      <c r="I78">
        <f t="shared" si="26"/>
        <v>0</v>
      </c>
      <c r="J78">
        <f t="shared" si="27"/>
        <v>0</v>
      </c>
      <c r="K78">
        <f t="shared" si="18"/>
        <v>0</v>
      </c>
      <c r="L78">
        <f t="shared" si="18"/>
        <v>0</v>
      </c>
      <c r="M78">
        <f t="shared" si="20"/>
        <v>0</v>
      </c>
      <c r="N78" t="e">
        <f t="shared" si="21"/>
        <v>#REF!</v>
      </c>
    </row>
    <row r="79" spans="1:14" x14ac:dyDescent="0.25">
      <c r="A79">
        <f t="shared" si="14"/>
        <v>560000</v>
      </c>
      <c r="B79">
        <f t="shared" si="22"/>
        <v>0</v>
      </c>
      <c r="C79">
        <f t="shared" si="23"/>
        <v>0</v>
      </c>
      <c r="D79">
        <f t="shared" si="23"/>
        <v>0</v>
      </c>
      <c r="E79">
        <f t="shared" si="23"/>
        <v>0</v>
      </c>
      <c r="F79">
        <f t="shared" si="23"/>
        <v>0</v>
      </c>
      <c r="G79">
        <f t="shared" si="24"/>
        <v>0</v>
      </c>
      <c r="H79">
        <f t="shared" si="25"/>
        <v>0</v>
      </c>
      <c r="I79">
        <f t="shared" si="26"/>
        <v>0</v>
      </c>
      <c r="J79">
        <f t="shared" si="27"/>
        <v>0</v>
      </c>
      <c r="K79">
        <f t="shared" si="18"/>
        <v>0</v>
      </c>
      <c r="L79">
        <f t="shared" si="18"/>
        <v>0</v>
      </c>
      <c r="M79">
        <f t="shared" si="20"/>
        <v>0</v>
      </c>
      <c r="N79" t="e">
        <f t="shared" si="21"/>
        <v>#REF!</v>
      </c>
    </row>
    <row r="80" spans="1:14" x14ac:dyDescent="0.25">
      <c r="A80">
        <f t="shared" si="14"/>
        <v>680000</v>
      </c>
      <c r="B80">
        <f t="shared" si="22"/>
        <v>0</v>
      </c>
      <c r="C80">
        <f t="shared" si="23"/>
        <v>0</v>
      </c>
      <c r="D80">
        <f t="shared" si="23"/>
        <v>0</v>
      </c>
      <c r="E80">
        <f t="shared" si="23"/>
        <v>0</v>
      </c>
      <c r="F80">
        <f t="shared" si="23"/>
        <v>0</v>
      </c>
      <c r="G80">
        <f t="shared" si="24"/>
        <v>0</v>
      </c>
      <c r="H80">
        <f t="shared" si="25"/>
        <v>0</v>
      </c>
      <c r="I80">
        <f t="shared" si="26"/>
        <v>0</v>
      </c>
      <c r="J80">
        <f t="shared" si="27"/>
        <v>0</v>
      </c>
      <c r="K80">
        <f t="shared" si="18"/>
        <v>0</v>
      </c>
      <c r="L80">
        <f t="shared" si="18"/>
        <v>0</v>
      </c>
      <c r="M80">
        <f t="shared" si="20"/>
        <v>0</v>
      </c>
      <c r="N80" t="e">
        <f t="shared" si="21"/>
        <v>#REF!</v>
      </c>
    </row>
    <row r="81" spans="1:14" x14ac:dyDescent="0.25">
      <c r="A81">
        <f t="shared" si="14"/>
        <v>820000</v>
      </c>
      <c r="B81">
        <f t="shared" si="22"/>
        <v>0</v>
      </c>
      <c r="C81">
        <f t="shared" si="23"/>
        <v>0</v>
      </c>
      <c r="D81">
        <f t="shared" si="23"/>
        <v>0</v>
      </c>
      <c r="E81">
        <f t="shared" si="23"/>
        <v>0</v>
      </c>
      <c r="F81">
        <f t="shared" si="23"/>
        <v>0</v>
      </c>
      <c r="G81">
        <f t="shared" si="24"/>
        <v>0</v>
      </c>
      <c r="H81">
        <f t="shared" si="25"/>
        <v>0</v>
      </c>
      <c r="I81">
        <f t="shared" si="26"/>
        <v>0</v>
      </c>
      <c r="J81">
        <f t="shared" si="27"/>
        <v>0</v>
      </c>
      <c r="K81">
        <f t="shared" si="18"/>
        <v>0</v>
      </c>
      <c r="L81">
        <f t="shared" si="18"/>
        <v>0</v>
      </c>
      <c r="M81">
        <f t="shared" si="20"/>
        <v>0</v>
      </c>
      <c r="N81" t="e">
        <f t="shared" si="21"/>
        <v>#REF!</v>
      </c>
    </row>
    <row r="82" spans="1:14" x14ac:dyDescent="0.25">
      <c r="A82">
        <f t="shared" si="14"/>
        <v>1000000</v>
      </c>
      <c r="B82">
        <f t="shared" si="22"/>
        <v>0</v>
      </c>
      <c r="C82">
        <f t="shared" si="23"/>
        <v>0</v>
      </c>
      <c r="D82">
        <f t="shared" si="23"/>
        <v>0</v>
      </c>
      <c r="E82">
        <f t="shared" si="23"/>
        <v>0</v>
      </c>
      <c r="F82">
        <f t="shared" si="23"/>
        <v>0</v>
      </c>
      <c r="G82">
        <f t="shared" si="24"/>
        <v>0</v>
      </c>
      <c r="H82">
        <f t="shared" si="25"/>
        <v>0</v>
      </c>
      <c r="I82">
        <f t="shared" si="26"/>
        <v>0</v>
      </c>
      <c r="J82">
        <f t="shared" si="27"/>
        <v>0</v>
      </c>
      <c r="K82">
        <f t="shared" si="18"/>
        <v>0</v>
      </c>
      <c r="L82">
        <f t="shared" si="18"/>
        <v>0</v>
      </c>
      <c r="M82">
        <f t="shared" si="20"/>
        <v>0</v>
      </c>
      <c r="N82" t="e">
        <f t="shared" si="21"/>
        <v>#REF!</v>
      </c>
    </row>
    <row r="83" spans="1:14" x14ac:dyDescent="0.25">
      <c r="A83">
        <f t="shared" si="14"/>
        <v>1200000</v>
      </c>
      <c r="B83">
        <f t="shared" si="22"/>
        <v>0</v>
      </c>
      <c r="C83">
        <f t="shared" si="23"/>
        <v>0</v>
      </c>
      <c r="D83">
        <f t="shared" si="23"/>
        <v>0</v>
      </c>
      <c r="E83">
        <f t="shared" si="23"/>
        <v>0</v>
      </c>
      <c r="F83">
        <f t="shared" si="23"/>
        <v>0</v>
      </c>
      <c r="G83">
        <f t="shared" si="24"/>
        <v>0</v>
      </c>
      <c r="H83">
        <f t="shared" si="25"/>
        <v>0</v>
      </c>
      <c r="I83">
        <f t="shared" si="26"/>
        <v>0</v>
      </c>
      <c r="J83">
        <f t="shared" si="27"/>
        <v>0</v>
      </c>
      <c r="K83">
        <f t="shared" si="18"/>
        <v>0</v>
      </c>
      <c r="L83">
        <f t="shared" si="18"/>
        <v>0</v>
      </c>
      <c r="M83">
        <f t="shared" si="20"/>
        <v>0</v>
      </c>
      <c r="N83" t="e">
        <f t="shared" si="21"/>
        <v>#REF!</v>
      </c>
    </row>
    <row r="84" spans="1:14" x14ac:dyDescent="0.25">
      <c r="A84">
        <f t="shared" si="14"/>
        <v>1500000</v>
      </c>
      <c r="B84">
        <f t="shared" si="22"/>
        <v>0</v>
      </c>
      <c r="C84">
        <f t="shared" si="23"/>
        <v>0</v>
      </c>
      <c r="D84">
        <f t="shared" si="23"/>
        <v>0</v>
      </c>
      <c r="E84">
        <f t="shared" si="23"/>
        <v>0</v>
      </c>
      <c r="F84">
        <f t="shared" si="23"/>
        <v>0</v>
      </c>
      <c r="G84">
        <f t="shared" si="24"/>
        <v>0</v>
      </c>
      <c r="H84">
        <f t="shared" si="25"/>
        <v>0</v>
      </c>
      <c r="I84">
        <f t="shared" si="26"/>
        <v>0</v>
      </c>
      <c r="J84">
        <f t="shared" si="27"/>
        <v>0</v>
      </c>
      <c r="K84">
        <f t="shared" si="18"/>
        <v>0</v>
      </c>
      <c r="L84">
        <f t="shared" si="18"/>
        <v>0</v>
      </c>
      <c r="M84">
        <f t="shared" si="20"/>
        <v>0</v>
      </c>
      <c r="N84" t="e">
        <f t="shared" si="21"/>
        <v>#REF!</v>
      </c>
    </row>
    <row r="85" spans="1:14" x14ac:dyDescent="0.25">
      <c r="A85">
        <f t="shared" si="14"/>
        <v>1800000</v>
      </c>
      <c r="B85">
        <f t="shared" si="22"/>
        <v>0</v>
      </c>
      <c r="C85">
        <f t="shared" si="23"/>
        <v>0</v>
      </c>
      <c r="D85">
        <f t="shared" si="23"/>
        <v>0</v>
      </c>
      <c r="E85">
        <f t="shared" si="23"/>
        <v>0</v>
      </c>
      <c r="F85">
        <f t="shared" si="23"/>
        <v>0</v>
      </c>
      <c r="G85">
        <f t="shared" si="24"/>
        <v>0</v>
      </c>
      <c r="H85">
        <f t="shared" si="25"/>
        <v>0</v>
      </c>
      <c r="I85">
        <f t="shared" si="26"/>
        <v>0</v>
      </c>
      <c r="J85">
        <f t="shared" si="27"/>
        <v>0</v>
      </c>
      <c r="K85">
        <f t="shared" si="18"/>
        <v>0</v>
      </c>
      <c r="L85">
        <f t="shared" si="18"/>
        <v>0</v>
      </c>
      <c r="M85">
        <f t="shared" si="20"/>
        <v>0</v>
      </c>
      <c r="N85" t="e">
        <f t="shared" si="21"/>
        <v>#REF!</v>
      </c>
    </row>
    <row r="86" spans="1:14" x14ac:dyDescent="0.25">
      <c r="A86">
        <f t="shared" si="14"/>
        <v>2200000</v>
      </c>
      <c r="B86">
        <f t="shared" si="22"/>
        <v>0</v>
      </c>
      <c r="C86">
        <f t="shared" si="23"/>
        <v>0</v>
      </c>
      <c r="D86">
        <f t="shared" si="23"/>
        <v>0</v>
      </c>
      <c r="E86">
        <f t="shared" si="23"/>
        <v>0</v>
      </c>
      <c r="F86">
        <f t="shared" si="23"/>
        <v>0</v>
      </c>
      <c r="G86">
        <f t="shared" si="24"/>
        <v>0</v>
      </c>
      <c r="H86">
        <f t="shared" si="25"/>
        <v>0</v>
      </c>
      <c r="I86">
        <f t="shared" si="26"/>
        <v>0</v>
      </c>
      <c r="J86">
        <f t="shared" si="27"/>
        <v>0</v>
      </c>
      <c r="K86">
        <f t="shared" si="18"/>
        <v>0</v>
      </c>
      <c r="L86">
        <f t="shared" si="18"/>
        <v>0</v>
      </c>
      <c r="M86">
        <f t="shared" si="20"/>
        <v>0</v>
      </c>
      <c r="N86" t="e">
        <f t="shared" si="21"/>
        <v>#REF!</v>
      </c>
    </row>
    <row r="87" spans="1:14" x14ac:dyDescent="0.25">
      <c r="A87">
        <f t="shared" si="14"/>
        <v>2700000</v>
      </c>
      <c r="B87">
        <f t="shared" si="22"/>
        <v>0</v>
      </c>
      <c r="C87">
        <f t="shared" si="23"/>
        <v>0</v>
      </c>
      <c r="D87">
        <f t="shared" si="23"/>
        <v>0</v>
      </c>
      <c r="E87">
        <f t="shared" si="23"/>
        <v>0</v>
      </c>
      <c r="F87">
        <f t="shared" si="23"/>
        <v>0</v>
      </c>
      <c r="G87">
        <f t="shared" si="24"/>
        <v>0</v>
      </c>
      <c r="H87">
        <f t="shared" si="25"/>
        <v>0</v>
      </c>
      <c r="I87">
        <f t="shared" si="26"/>
        <v>0</v>
      </c>
      <c r="J87">
        <f t="shared" si="27"/>
        <v>0</v>
      </c>
      <c r="K87">
        <f t="shared" si="18"/>
        <v>0</v>
      </c>
      <c r="L87">
        <f t="shared" si="18"/>
        <v>0</v>
      </c>
      <c r="M87">
        <f t="shared" si="20"/>
        <v>0</v>
      </c>
      <c r="N87" t="e">
        <f t="shared" si="21"/>
        <v>#REF!</v>
      </c>
    </row>
    <row r="88" spans="1:14" x14ac:dyDescent="0.25">
      <c r="A88">
        <f t="shared" si="14"/>
        <v>3300000</v>
      </c>
      <c r="B88">
        <f t="shared" si="22"/>
        <v>0</v>
      </c>
      <c r="C88">
        <f t="shared" si="23"/>
        <v>0</v>
      </c>
      <c r="D88">
        <f t="shared" si="23"/>
        <v>0</v>
      </c>
      <c r="E88">
        <f t="shared" si="23"/>
        <v>0</v>
      </c>
      <c r="F88">
        <f t="shared" si="23"/>
        <v>0</v>
      </c>
      <c r="G88">
        <f t="shared" si="24"/>
        <v>0</v>
      </c>
      <c r="H88">
        <f t="shared" si="25"/>
        <v>0</v>
      </c>
      <c r="I88">
        <f t="shared" si="26"/>
        <v>0</v>
      </c>
      <c r="J88">
        <f t="shared" si="27"/>
        <v>0</v>
      </c>
      <c r="K88">
        <f t="shared" si="18"/>
        <v>0</v>
      </c>
      <c r="L88">
        <f t="shared" si="18"/>
        <v>0</v>
      </c>
      <c r="M88">
        <f t="shared" si="20"/>
        <v>0</v>
      </c>
      <c r="N88" t="e">
        <f t="shared" si="21"/>
        <v>#REF!</v>
      </c>
    </row>
    <row r="89" spans="1:14" x14ac:dyDescent="0.25">
      <c r="A89">
        <f t="shared" si="14"/>
        <v>3900000</v>
      </c>
      <c r="B89">
        <f t="shared" si="22"/>
        <v>0</v>
      </c>
      <c r="C89">
        <f t="shared" si="23"/>
        <v>0</v>
      </c>
      <c r="D89">
        <f t="shared" si="23"/>
        <v>0</v>
      </c>
      <c r="E89">
        <f t="shared" si="23"/>
        <v>0</v>
      </c>
      <c r="F89">
        <f t="shared" si="23"/>
        <v>0</v>
      </c>
      <c r="G89">
        <f t="shared" si="24"/>
        <v>0</v>
      </c>
      <c r="H89">
        <f t="shared" si="25"/>
        <v>0</v>
      </c>
      <c r="I89">
        <f t="shared" si="26"/>
        <v>0</v>
      </c>
      <c r="J89">
        <f t="shared" si="27"/>
        <v>0</v>
      </c>
      <c r="K89">
        <f t="shared" si="18"/>
        <v>0</v>
      </c>
      <c r="L89">
        <f t="shared" si="18"/>
        <v>0</v>
      </c>
      <c r="M89">
        <f t="shared" si="20"/>
        <v>0</v>
      </c>
      <c r="N89" t="e">
        <f t="shared" si="21"/>
        <v>#REF!</v>
      </c>
    </row>
    <row r="90" spans="1:14" x14ac:dyDescent="0.25">
      <c r="A90">
        <f t="shared" si="14"/>
        <v>4700000</v>
      </c>
      <c r="B90">
        <f t="shared" si="22"/>
        <v>0</v>
      </c>
      <c r="C90">
        <f t="shared" si="23"/>
        <v>0</v>
      </c>
      <c r="D90">
        <f t="shared" si="23"/>
        <v>0</v>
      </c>
      <c r="E90">
        <f t="shared" si="23"/>
        <v>0</v>
      </c>
      <c r="F90">
        <f t="shared" si="23"/>
        <v>0</v>
      </c>
      <c r="G90">
        <f t="shared" si="24"/>
        <v>0</v>
      </c>
      <c r="H90">
        <f t="shared" si="25"/>
        <v>0</v>
      </c>
      <c r="I90">
        <f t="shared" si="26"/>
        <v>0</v>
      </c>
      <c r="J90">
        <f t="shared" si="27"/>
        <v>0</v>
      </c>
      <c r="K90">
        <f t="shared" si="18"/>
        <v>0</v>
      </c>
      <c r="L90">
        <f t="shared" si="18"/>
        <v>0</v>
      </c>
      <c r="M90">
        <f t="shared" si="20"/>
        <v>0</v>
      </c>
      <c r="N90" t="e">
        <f t="shared" si="21"/>
        <v>#REF!</v>
      </c>
    </row>
    <row r="91" spans="1:14" x14ac:dyDescent="0.25">
      <c r="A91">
        <f t="shared" si="14"/>
        <v>5600000</v>
      </c>
      <c r="B91">
        <f t="shared" si="22"/>
        <v>0</v>
      </c>
      <c r="C91">
        <f t="shared" si="23"/>
        <v>0</v>
      </c>
      <c r="D91">
        <f t="shared" si="23"/>
        <v>0</v>
      </c>
      <c r="E91">
        <f t="shared" si="23"/>
        <v>0</v>
      </c>
      <c r="F91">
        <f t="shared" si="23"/>
        <v>0</v>
      </c>
      <c r="G91">
        <f t="shared" si="24"/>
        <v>0</v>
      </c>
      <c r="H91">
        <f t="shared" si="25"/>
        <v>0</v>
      </c>
      <c r="I91">
        <f t="shared" si="26"/>
        <v>0</v>
      </c>
      <c r="J91">
        <f t="shared" si="27"/>
        <v>0</v>
      </c>
      <c r="K91">
        <f t="shared" si="18"/>
        <v>0</v>
      </c>
      <c r="L91">
        <f t="shared" si="18"/>
        <v>0</v>
      </c>
      <c r="M91">
        <f t="shared" si="20"/>
        <v>0</v>
      </c>
      <c r="N91" t="e">
        <f t="shared" si="21"/>
        <v>#REF!</v>
      </c>
    </row>
    <row r="92" spans="1:14" x14ac:dyDescent="0.25">
      <c r="A92">
        <f t="shared" si="14"/>
        <v>6800000</v>
      </c>
      <c r="B92">
        <f t="shared" si="22"/>
        <v>0</v>
      </c>
      <c r="C92">
        <f t="shared" si="23"/>
        <v>0</v>
      </c>
      <c r="D92">
        <f t="shared" si="23"/>
        <v>0</v>
      </c>
      <c r="E92">
        <f t="shared" si="23"/>
        <v>0</v>
      </c>
      <c r="F92">
        <f t="shared" si="23"/>
        <v>0</v>
      </c>
      <c r="G92">
        <f t="shared" si="24"/>
        <v>0</v>
      </c>
      <c r="H92">
        <f t="shared" si="25"/>
        <v>0</v>
      </c>
      <c r="I92">
        <f t="shared" si="26"/>
        <v>0</v>
      </c>
      <c r="J92">
        <f t="shared" si="27"/>
        <v>0</v>
      </c>
      <c r="K92">
        <f t="shared" si="18"/>
        <v>0</v>
      </c>
      <c r="L92">
        <f t="shared" si="18"/>
        <v>0</v>
      </c>
      <c r="M92">
        <f t="shared" si="20"/>
        <v>0</v>
      </c>
      <c r="N92" t="e">
        <f t="shared" si="21"/>
        <v>#REF!</v>
      </c>
    </row>
    <row r="93" spans="1:14" x14ac:dyDescent="0.25">
      <c r="A93">
        <f t="shared" si="14"/>
        <v>8200000</v>
      </c>
      <c r="B93">
        <f t="shared" si="22"/>
        <v>0</v>
      </c>
      <c r="C93">
        <f t="shared" si="23"/>
        <v>0</v>
      </c>
      <c r="D93">
        <f t="shared" si="23"/>
        <v>0</v>
      </c>
      <c r="E93">
        <f t="shared" si="23"/>
        <v>0</v>
      </c>
      <c r="F93">
        <f t="shared" si="23"/>
        <v>0</v>
      </c>
      <c r="G93">
        <f t="shared" si="24"/>
        <v>0</v>
      </c>
      <c r="H93">
        <f t="shared" si="25"/>
        <v>0</v>
      </c>
      <c r="I93">
        <f t="shared" si="26"/>
        <v>0</v>
      </c>
      <c r="J93">
        <f t="shared" si="27"/>
        <v>0</v>
      </c>
      <c r="K93">
        <f t="shared" si="18"/>
        <v>0</v>
      </c>
      <c r="L93">
        <f t="shared" si="18"/>
        <v>0</v>
      </c>
      <c r="M93">
        <f t="shared" si="20"/>
        <v>0</v>
      </c>
      <c r="N93" t="e">
        <f t="shared" si="21"/>
        <v>#REF!</v>
      </c>
    </row>
    <row r="94" spans="1:14" x14ac:dyDescent="0.25">
      <c r="A94">
        <f t="shared" si="14"/>
        <v>10000000</v>
      </c>
      <c r="B94">
        <f t="shared" si="22"/>
        <v>0</v>
      </c>
      <c r="C94">
        <f t="shared" si="23"/>
        <v>0</v>
      </c>
      <c r="D94">
        <f t="shared" si="23"/>
        <v>0</v>
      </c>
      <c r="E94">
        <f t="shared" si="23"/>
        <v>0</v>
      </c>
      <c r="F94">
        <f t="shared" si="23"/>
        <v>0</v>
      </c>
      <c r="G94">
        <f t="shared" si="24"/>
        <v>0</v>
      </c>
      <c r="H94">
        <f t="shared" si="25"/>
        <v>0</v>
      </c>
      <c r="I94">
        <f t="shared" si="26"/>
        <v>0</v>
      </c>
      <c r="J94">
        <f t="shared" si="27"/>
        <v>0</v>
      </c>
      <c r="K94">
        <f t="shared" si="18"/>
        <v>0</v>
      </c>
      <c r="L94">
        <f t="shared" si="18"/>
        <v>0</v>
      </c>
      <c r="M94">
        <f t="shared" si="20"/>
        <v>0</v>
      </c>
      <c r="N94" t="e">
        <f t="shared" si="21"/>
        <v>#REF!</v>
      </c>
    </row>
    <row r="95" spans="1:14" x14ac:dyDescent="0.25">
      <c r="A95">
        <f t="shared" si="14"/>
        <v>12000000</v>
      </c>
      <c r="B95">
        <f t="shared" si="22"/>
        <v>0</v>
      </c>
      <c r="C95">
        <f t="shared" si="23"/>
        <v>0</v>
      </c>
      <c r="D95">
        <f t="shared" si="23"/>
        <v>0</v>
      </c>
      <c r="E95">
        <f t="shared" si="23"/>
        <v>0</v>
      </c>
      <c r="F95">
        <f t="shared" si="23"/>
        <v>0</v>
      </c>
      <c r="G95">
        <f t="shared" si="24"/>
        <v>0</v>
      </c>
      <c r="H95">
        <f t="shared" si="25"/>
        <v>0</v>
      </c>
      <c r="I95">
        <f t="shared" si="26"/>
        <v>0</v>
      </c>
      <c r="J95">
        <f t="shared" si="27"/>
        <v>0</v>
      </c>
      <c r="K95">
        <f t="shared" si="18"/>
        <v>0</v>
      </c>
      <c r="L95">
        <f t="shared" si="18"/>
        <v>0</v>
      </c>
      <c r="M95">
        <f t="shared" si="20"/>
        <v>0</v>
      </c>
      <c r="N95" t="e">
        <f t="shared" si="21"/>
        <v>#REF!</v>
      </c>
    </row>
    <row r="96" spans="1:14" x14ac:dyDescent="0.25">
      <c r="A96">
        <f t="shared" si="14"/>
        <v>15000000</v>
      </c>
      <c r="B96">
        <f t="shared" si="22"/>
        <v>0</v>
      </c>
      <c r="C96">
        <f t="shared" si="23"/>
        <v>0</v>
      </c>
      <c r="D96">
        <f t="shared" si="23"/>
        <v>0</v>
      </c>
      <c r="E96">
        <f t="shared" si="23"/>
        <v>0</v>
      </c>
      <c r="F96">
        <f t="shared" si="23"/>
        <v>0</v>
      </c>
      <c r="G96">
        <f t="shared" si="24"/>
        <v>0</v>
      </c>
      <c r="H96">
        <f t="shared" si="25"/>
        <v>0</v>
      </c>
      <c r="I96">
        <f t="shared" si="26"/>
        <v>0</v>
      </c>
      <c r="J96">
        <f t="shared" si="27"/>
        <v>0</v>
      </c>
      <c r="K96">
        <f t="shared" si="18"/>
        <v>0</v>
      </c>
      <c r="L96">
        <f t="shared" si="18"/>
        <v>0</v>
      </c>
      <c r="M96">
        <f t="shared" si="20"/>
        <v>0</v>
      </c>
      <c r="N96" t="e">
        <f t="shared" si="21"/>
        <v>#REF!</v>
      </c>
    </row>
    <row r="97" spans="1:14" x14ac:dyDescent="0.25">
      <c r="A97">
        <f t="shared" si="14"/>
        <v>18000000</v>
      </c>
      <c r="B97">
        <f t="shared" si="22"/>
        <v>0</v>
      </c>
      <c r="C97">
        <f t="shared" si="23"/>
        <v>0</v>
      </c>
      <c r="D97">
        <f t="shared" si="23"/>
        <v>0</v>
      </c>
      <c r="E97">
        <f t="shared" si="23"/>
        <v>0</v>
      </c>
      <c r="F97">
        <f t="shared" si="23"/>
        <v>0</v>
      </c>
      <c r="G97">
        <f t="shared" si="24"/>
        <v>0</v>
      </c>
      <c r="H97">
        <f t="shared" si="25"/>
        <v>0</v>
      </c>
      <c r="I97">
        <f t="shared" si="26"/>
        <v>0</v>
      </c>
      <c r="J97">
        <f t="shared" si="27"/>
        <v>0</v>
      </c>
      <c r="K97">
        <f t="shared" si="18"/>
        <v>0</v>
      </c>
      <c r="L97">
        <f t="shared" si="18"/>
        <v>0</v>
      </c>
      <c r="M97">
        <f t="shared" si="20"/>
        <v>0</v>
      </c>
      <c r="N97" t="e">
        <f t="shared" si="21"/>
        <v>#REF!</v>
      </c>
    </row>
    <row r="98" spans="1:14" x14ac:dyDescent="0.25">
      <c r="A98">
        <f t="shared" si="14"/>
        <v>22000000</v>
      </c>
      <c r="B98">
        <f t="shared" si="22"/>
        <v>0</v>
      </c>
      <c r="C98">
        <f t="shared" si="23"/>
        <v>0</v>
      </c>
      <c r="D98">
        <f t="shared" si="23"/>
        <v>0</v>
      </c>
      <c r="E98">
        <f t="shared" si="23"/>
        <v>0</v>
      </c>
      <c r="F98">
        <f t="shared" si="23"/>
        <v>0</v>
      </c>
      <c r="G98">
        <f t="shared" si="24"/>
        <v>0</v>
      </c>
      <c r="H98">
        <f t="shared" si="25"/>
        <v>0</v>
      </c>
      <c r="I98">
        <f t="shared" si="26"/>
        <v>0</v>
      </c>
      <c r="J98">
        <f t="shared" si="27"/>
        <v>0</v>
      </c>
      <c r="K98">
        <f t="shared" si="18"/>
        <v>0</v>
      </c>
      <c r="L98">
        <f t="shared" si="18"/>
        <v>0</v>
      </c>
      <c r="M98">
        <f t="shared" si="20"/>
        <v>0</v>
      </c>
      <c r="N98" t="e">
        <f t="shared" si="21"/>
        <v>#REF!</v>
      </c>
    </row>
    <row r="99" spans="1:14" x14ac:dyDescent="0.25">
      <c r="A99">
        <f t="shared" ref="A99:A159" si="28">A87*10</f>
        <v>27000000</v>
      </c>
      <c r="B99">
        <f t="shared" si="22"/>
        <v>0</v>
      </c>
      <c r="C99">
        <f t="shared" si="23"/>
        <v>0</v>
      </c>
      <c r="D99">
        <f t="shared" si="23"/>
        <v>0</v>
      </c>
      <c r="E99">
        <f t="shared" si="23"/>
        <v>0</v>
      </c>
      <c r="F99">
        <f t="shared" si="23"/>
        <v>0</v>
      </c>
      <c r="G99">
        <f t="shared" si="24"/>
        <v>0</v>
      </c>
      <c r="H99">
        <f t="shared" si="25"/>
        <v>0</v>
      </c>
      <c r="I99">
        <f t="shared" si="26"/>
        <v>0</v>
      </c>
      <c r="J99">
        <f t="shared" si="27"/>
        <v>0</v>
      </c>
      <c r="K99">
        <f t="shared" si="18"/>
        <v>0</v>
      </c>
      <c r="L99">
        <f t="shared" si="18"/>
        <v>0</v>
      </c>
      <c r="M99">
        <f t="shared" si="20"/>
        <v>0</v>
      </c>
      <c r="N99" t="e">
        <f t="shared" si="21"/>
        <v>#REF!</v>
      </c>
    </row>
    <row r="100" spans="1:14" x14ac:dyDescent="0.25">
      <c r="A100">
        <f t="shared" si="28"/>
        <v>33000000</v>
      </c>
      <c r="B100">
        <f t="shared" si="22"/>
        <v>0</v>
      </c>
      <c r="C100">
        <f t="shared" si="23"/>
        <v>0</v>
      </c>
      <c r="D100">
        <f t="shared" si="23"/>
        <v>0</v>
      </c>
      <c r="E100">
        <f t="shared" si="23"/>
        <v>0</v>
      </c>
      <c r="F100">
        <f t="shared" si="23"/>
        <v>0</v>
      </c>
      <c r="G100">
        <f t="shared" si="24"/>
        <v>0</v>
      </c>
      <c r="H100">
        <f t="shared" si="25"/>
        <v>0</v>
      </c>
      <c r="I100">
        <f t="shared" si="26"/>
        <v>0</v>
      </c>
      <c r="J100">
        <f t="shared" si="27"/>
        <v>0</v>
      </c>
      <c r="K100">
        <f t="shared" si="18"/>
        <v>0</v>
      </c>
      <c r="L100">
        <f t="shared" si="18"/>
        <v>0</v>
      </c>
      <c r="M100">
        <f t="shared" si="20"/>
        <v>0</v>
      </c>
      <c r="N100" t="e">
        <f t="shared" si="21"/>
        <v>#REF!</v>
      </c>
    </row>
    <row r="101" spans="1:14" x14ac:dyDescent="0.25">
      <c r="A101">
        <f t="shared" si="28"/>
        <v>39000000</v>
      </c>
      <c r="B101">
        <f t="shared" si="22"/>
        <v>0</v>
      </c>
      <c r="C101">
        <f t="shared" si="23"/>
        <v>0</v>
      </c>
      <c r="D101">
        <f t="shared" si="23"/>
        <v>0</v>
      </c>
      <c r="E101">
        <f t="shared" si="23"/>
        <v>0</v>
      </c>
      <c r="F101">
        <f t="shared" si="23"/>
        <v>0</v>
      </c>
      <c r="G101">
        <f t="shared" si="24"/>
        <v>0</v>
      </c>
      <c r="H101">
        <f t="shared" si="25"/>
        <v>0</v>
      </c>
      <c r="I101">
        <f t="shared" si="26"/>
        <v>0</v>
      </c>
      <c r="J101">
        <f t="shared" si="27"/>
        <v>0</v>
      </c>
      <c r="K101">
        <f t="shared" si="18"/>
        <v>0</v>
      </c>
      <c r="L101">
        <f t="shared" si="18"/>
        <v>0</v>
      </c>
      <c r="M101">
        <f t="shared" si="20"/>
        <v>0</v>
      </c>
      <c r="N101" t="e">
        <f t="shared" si="21"/>
        <v>#REF!</v>
      </c>
    </row>
    <row r="102" spans="1:14" x14ac:dyDescent="0.25">
      <c r="A102">
        <f t="shared" si="28"/>
        <v>47000000</v>
      </c>
      <c r="B102">
        <f t="shared" si="22"/>
        <v>0</v>
      </c>
      <c r="C102">
        <f t="shared" si="23"/>
        <v>0</v>
      </c>
      <c r="D102">
        <f t="shared" si="23"/>
        <v>0</v>
      </c>
      <c r="E102">
        <f t="shared" si="23"/>
        <v>0</v>
      </c>
      <c r="F102">
        <f t="shared" si="23"/>
        <v>0</v>
      </c>
      <c r="G102">
        <f t="shared" si="24"/>
        <v>0</v>
      </c>
      <c r="H102">
        <f t="shared" si="25"/>
        <v>0</v>
      </c>
      <c r="I102">
        <f t="shared" si="26"/>
        <v>0</v>
      </c>
      <c r="J102">
        <f t="shared" si="27"/>
        <v>0</v>
      </c>
      <c r="K102">
        <f t="shared" si="18"/>
        <v>0</v>
      </c>
      <c r="L102">
        <f t="shared" si="18"/>
        <v>0</v>
      </c>
      <c r="M102">
        <f t="shared" ref="M102:M133" si="29">IF(IF((M$3*10^12-$A103)*(M$3*10^12-$A102)*-1&lt;0,0,1)*IF(ABS(M$3*10^12-$A103)&gt;(M$3*10^12-$A102),$A102,$A103)=M103,0,IF((M$3*10^12-$A103)*(M$3*10^12-$A102)*-1&lt;0,0,1)*IF(ABS(M$3*10^12-$A103)&gt;(M$3*10^12-$A102),$A102,$A103))</f>
        <v>0</v>
      </c>
      <c r="N102" t="e">
        <f t="shared" ref="N102:N133" si="30">IF(IF((N$3*10^12-$A103)*(N$3*10^12-$A102)*-1&lt;0,0,1)*IF(ABS(N$3*10^12-$A103)&gt;(N$3*10^12-$A102),$A102,$A103)=N103,0,IF((N$3*10^12-$A103)*(N$3*10^12-$A102)*-1&lt;0,0,1)*IF(ABS(N$3*10^12-$A103)&gt;(N$3*10^12-$A102),$A102,$A103))</f>
        <v>#REF!</v>
      </c>
    </row>
    <row r="103" spans="1:14" x14ac:dyDescent="0.25">
      <c r="A103">
        <f t="shared" si="28"/>
        <v>56000000</v>
      </c>
      <c r="B103">
        <f t="shared" si="22"/>
        <v>0</v>
      </c>
      <c r="C103">
        <f t="shared" si="23"/>
        <v>0</v>
      </c>
      <c r="D103">
        <f t="shared" si="23"/>
        <v>0</v>
      </c>
      <c r="E103">
        <f t="shared" si="23"/>
        <v>0</v>
      </c>
      <c r="F103">
        <f t="shared" si="23"/>
        <v>0</v>
      </c>
      <c r="G103">
        <f t="shared" ref="G103:G134" si="31">IF(IF((G$3*10^12-$A104)*(G$3*10^12-$A103)*-1&lt;0,0,1)*IF(ABS(G$3*10^12-$A104)&gt;(G$3*10^12-$A103),$A103,$A104)=G104,0,IF((G$3*10^12-$A104)*(G$3*10^12-$A103)*-1&lt;0,0,1)*IF(ABS(G$3*10^12-$A104)&gt;(G$3*10^12-$A103),$A103,$A104))</f>
        <v>0</v>
      </c>
      <c r="H103">
        <f t="shared" ref="H103:H134" si="32">IF(IF((H$3*10^12-$A104)*(H$3*10^12-$A103)*-1&lt;0,0,1)*IF(ABS(H$3*10^12-$A104)&gt;(H$3*10^12-$A103),$A103,$A104)=H104,0,IF((H$3*10^12-$A104)*(H$3*10^12-$A103)*-1&lt;0,0,1)*IF(ABS(H$3*10^12-$A104)&gt;(H$3*10^12-$A103),$A103,$A104))</f>
        <v>0</v>
      </c>
      <c r="I103">
        <f t="shared" ref="I103:I134" si="33">IF(IF((I$3*10^12-$A104)*(I$3*10^12-$A103)*-1&lt;0,0,1)*IF(ABS(I$3*10^12-$A104)&gt;(I$3*10^12-$A103),$A103,$A104)=I104,0,IF((I$3*10^12-$A104)*(I$3*10^12-$A103)*-1&lt;0,0,1)*IF(ABS(I$3*10^12-$A104)&gt;(I$3*10^12-$A103),$A103,$A104))</f>
        <v>0</v>
      </c>
      <c r="J103">
        <f t="shared" ref="J103:J134" si="34">IF(IF((J$3*10^12-$A104)*(J$3*10^12-$A103)*-1&lt;0,0,1)*IF(ABS(J$3*10^12-$A104)&gt;(J$3*10^12-$A103),$A103,$A104)=J104,0,IF((J$3*10^12-$A104)*(J$3*10^12-$A103)*-1&lt;0,0,1)*IF(ABS(J$3*10^12-$A104)&gt;(J$3*10^12-$A103),$A103,$A104))</f>
        <v>0</v>
      </c>
      <c r="K103">
        <f t="shared" si="18"/>
        <v>0</v>
      </c>
      <c r="L103">
        <f t="shared" si="18"/>
        <v>0</v>
      </c>
      <c r="M103">
        <f t="shared" si="29"/>
        <v>0</v>
      </c>
      <c r="N103" t="e">
        <f t="shared" si="30"/>
        <v>#REF!</v>
      </c>
    </row>
    <row r="104" spans="1:14" x14ac:dyDescent="0.25">
      <c r="A104">
        <f t="shared" si="28"/>
        <v>68000000</v>
      </c>
      <c r="B104">
        <f t="shared" si="22"/>
        <v>0</v>
      </c>
      <c r="C104">
        <f t="shared" si="23"/>
        <v>0</v>
      </c>
      <c r="D104">
        <f t="shared" si="23"/>
        <v>0</v>
      </c>
      <c r="E104">
        <f t="shared" si="23"/>
        <v>0</v>
      </c>
      <c r="F104">
        <f t="shared" si="23"/>
        <v>0</v>
      </c>
      <c r="G104">
        <f t="shared" si="31"/>
        <v>0</v>
      </c>
      <c r="H104">
        <f t="shared" si="32"/>
        <v>0</v>
      </c>
      <c r="I104">
        <f t="shared" si="33"/>
        <v>0</v>
      </c>
      <c r="J104">
        <f t="shared" si="34"/>
        <v>0</v>
      </c>
      <c r="K104">
        <f t="shared" si="18"/>
        <v>0</v>
      </c>
      <c r="L104">
        <f t="shared" si="18"/>
        <v>0</v>
      </c>
      <c r="M104">
        <f t="shared" si="29"/>
        <v>0</v>
      </c>
      <c r="N104" t="e">
        <f t="shared" si="30"/>
        <v>#REF!</v>
      </c>
    </row>
    <row r="105" spans="1:14" x14ac:dyDescent="0.25">
      <c r="A105">
        <f t="shared" si="28"/>
        <v>82000000</v>
      </c>
      <c r="B105">
        <f t="shared" si="22"/>
        <v>0</v>
      </c>
      <c r="C105">
        <f t="shared" si="23"/>
        <v>0</v>
      </c>
      <c r="D105">
        <f t="shared" si="23"/>
        <v>0</v>
      </c>
      <c r="E105">
        <f t="shared" si="23"/>
        <v>0</v>
      </c>
      <c r="F105">
        <f t="shared" si="23"/>
        <v>0</v>
      </c>
      <c r="G105">
        <f t="shared" si="31"/>
        <v>0</v>
      </c>
      <c r="H105">
        <f t="shared" si="32"/>
        <v>0</v>
      </c>
      <c r="I105">
        <f t="shared" si="33"/>
        <v>0</v>
      </c>
      <c r="J105">
        <f t="shared" si="34"/>
        <v>0</v>
      </c>
      <c r="K105">
        <f t="shared" si="18"/>
        <v>0</v>
      </c>
      <c r="L105">
        <f t="shared" si="18"/>
        <v>0</v>
      </c>
      <c r="M105">
        <f t="shared" si="29"/>
        <v>0</v>
      </c>
      <c r="N105" t="e">
        <f t="shared" si="30"/>
        <v>#REF!</v>
      </c>
    </row>
    <row r="106" spans="1:14" x14ac:dyDescent="0.25">
      <c r="A106">
        <f t="shared" si="28"/>
        <v>100000000</v>
      </c>
      <c r="B106">
        <f t="shared" si="22"/>
        <v>0</v>
      </c>
      <c r="C106">
        <f t="shared" si="23"/>
        <v>0</v>
      </c>
      <c r="D106">
        <f t="shared" si="23"/>
        <v>0</v>
      </c>
      <c r="E106">
        <f t="shared" si="23"/>
        <v>0</v>
      </c>
      <c r="F106">
        <f t="shared" si="23"/>
        <v>0</v>
      </c>
      <c r="G106">
        <f t="shared" si="31"/>
        <v>120000000</v>
      </c>
      <c r="H106">
        <f t="shared" si="32"/>
        <v>0</v>
      </c>
      <c r="I106">
        <f t="shared" si="33"/>
        <v>0</v>
      </c>
      <c r="J106">
        <f t="shared" si="34"/>
        <v>0</v>
      </c>
      <c r="K106">
        <f t="shared" si="18"/>
        <v>0</v>
      </c>
      <c r="L106">
        <f t="shared" si="18"/>
        <v>0</v>
      </c>
      <c r="M106">
        <f t="shared" si="29"/>
        <v>0</v>
      </c>
      <c r="N106" t="e">
        <f t="shared" si="30"/>
        <v>#REF!</v>
      </c>
    </row>
    <row r="107" spans="1:14" x14ac:dyDescent="0.25">
      <c r="A107">
        <f t="shared" si="28"/>
        <v>120000000</v>
      </c>
      <c r="B107">
        <f t="shared" si="22"/>
        <v>0</v>
      </c>
      <c r="C107">
        <f t="shared" si="23"/>
        <v>0</v>
      </c>
      <c r="D107">
        <f t="shared" si="23"/>
        <v>0</v>
      </c>
      <c r="E107">
        <f t="shared" si="23"/>
        <v>0</v>
      </c>
      <c r="F107">
        <f t="shared" si="23"/>
        <v>120000000</v>
      </c>
      <c r="G107">
        <f t="shared" si="31"/>
        <v>0</v>
      </c>
      <c r="H107">
        <f t="shared" si="32"/>
        <v>0</v>
      </c>
      <c r="I107">
        <f t="shared" si="33"/>
        <v>0</v>
      </c>
      <c r="J107">
        <f t="shared" si="34"/>
        <v>0</v>
      </c>
      <c r="K107">
        <f t="shared" si="18"/>
        <v>0</v>
      </c>
      <c r="L107">
        <f t="shared" si="18"/>
        <v>0</v>
      </c>
      <c r="M107">
        <f t="shared" si="29"/>
        <v>0</v>
      </c>
      <c r="N107" t="e">
        <f t="shared" si="30"/>
        <v>#REF!</v>
      </c>
    </row>
    <row r="108" spans="1:14" x14ac:dyDescent="0.25">
      <c r="A108">
        <f t="shared" si="28"/>
        <v>150000000</v>
      </c>
      <c r="B108">
        <f t="shared" si="22"/>
        <v>0</v>
      </c>
      <c r="C108">
        <f t="shared" si="23"/>
        <v>0</v>
      </c>
      <c r="D108">
        <f t="shared" si="23"/>
        <v>0</v>
      </c>
      <c r="E108">
        <f t="shared" si="23"/>
        <v>0</v>
      </c>
      <c r="F108">
        <f t="shared" si="23"/>
        <v>0</v>
      </c>
      <c r="G108">
        <f t="shared" si="31"/>
        <v>0</v>
      </c>
      <c r="H108">
        <f t="shared" si="32"/>
        <v>0</v>
      </c>
      <c r="I108">
        <f t="shared" si="33"/>
        <v>0</v>
      </c>
      <c r="J108">
        <f t="shared" si="34"/>
        <v>0</v>
      </c>
      <c r="K108">
        <f t="shared" si="18"/>
        <v>0</v>
      </c>
      <c r="L108">
        <f t="shared" si="18"/>
        <v>0</v>
      </c>
      <c r="M108">
        <f t="shared" si="29"/>
        <v>0</v>
      </c>
      <c r="N108" t="e">
        <f t="shared" si="30"/>
        <v>#REF!</v>
      </c>
    </row>
    <row r="109" spans="1:14" x14ac:dyDescent="0.25">
      <c r="A109">
        <f t="shared" si="28"/>
        <v>180000000</v>
      </c>
      <c r="B109">
        <f t="shared" si="22"/>
        <v>0</v>
      </c>
      <c r="C109">
        <f t="shared" si="23"/>
        <v>0</v>
      </c>
      <c r="D109">
        <f t="shared" si="23"/>
        <v>0</v>
      </c>
      <c r="E109">
        <f t="shared" si="23"/>
        <v>0</v>
      </c>
      <c r="F109">
        <f t="shared" si="23"/>
        <v>0</v>
      </c>
      <c r="G109">
        <f t="shared" si="31"/>
        <v>0</v>
      </c>
      <c r="H109">
        <f t="shared" si="32"/>
        <v>0</v>
      </c>
      <c r="I109">
        <f t="shared" si="33"/>
        <v>0</v>
      </c>
      <c r="J109">
        <f t="shared" si="34"/>
        <v>0</v>
      </c>
      <c r="K109">
        <f t="shared" si="18"/>
        <v>0</v>
      </c>
      <c r="L109">
        <f t="shared" si="18"/>
        <v>0</v>
      </c>
      <c r="M109">
        <f t="shared" si="29"/>
        <v>0</v>
      </c>
      <c r="N109" t="e">
        <f t="shared" si="30"/>
        <v>#REF!</v>
      </c>
    </row>
    <row r="110" spans="1:14" x14ac:dyDescent="0.25">
      <c r="A110">
        <f t="shared" si="28"/>
        <v>220000000</v>
      </c>
      <c r="B110">
        <f t="shared" si="22"/>
        <v>0</v>
      </c>
      <c r="C110">
        <f t="shared" si="23"/>
        <v>0</v>
      </c>
      <c r="D110">
        <f t="shared" si="23"/>
        <v>0</v>
      </c>
      <c r="E110">
        <f t="shared" si="23"/>
        <v>0</v>
      </c>
      <c r="F110">
        <f t="shared" si="23"/>
        <v>0</v>
      </c>
      <c r="G110">
        <f t="shared" si="31"/>
        <v>0</v>
      </c>
      <c r="H110">
        <f t="shared" si="32"/>
        <v>0</v>
      </c>
      <c r="I110">
        <f t="shared" si="33"/>
        <v>0</v>
      </c>
      <c r="J110">
        <f t="shared" si="34"/>
        <v>0</v>
      </c>
      <c r="K110">
        <f t="shared" si="18"/>
        <v>0</v>
      </c>
      <c r="L110">
        <f t="shared" si="18"/>
        <v>0</v>
      </c>
      <c r="M110">
        <f t="shared" si="29"/>
        <v>0</v>
      </c>
      <c r="N110" t="e">
        <f t="shared" si="30"/>
        <v>#REF!</v>
      </c>
    </row>
    <row r="111" spans="1:14" x14ac:dyDescent="0.25">
      <c r="A111">
        <f t="shared" si="28"/>
        <v>270000000</v>
      </c>
      <c r="B111">
        <f t="shared" si="22"/>
        <v>0</v>
      </c>
      <c r="C111">
        <f t="shared" si="23"/>
        <v>0</v>
      </c>
      <c r="D111">
        <f t="shared" si="23"/>
        <v>0</v>
      </c>
      <c r="E111">
        <f t="shared" si="23"/>
        <v>0</v>
      </c>
      <c r="F111">
        <f t="shared" si="23"/>
        <v>0</v>
      </c>
      <c r="G111">
        <f t="shared" si="31"/>
        <v>0</v>
      </c>
      <c r="H111">
        <f t="shared" si="32"/>
        <v>0</v>
      </c>
      <c r="I111">
        <f t="shared" si="33"/>
        <v>0</v>
      </c>
      <c r="J111">
        <f t="shared" si="34"/>
        <v>0</v>
      </c>
      <c r="K111">
        <f t="shared" si="18"/>
        <v>0</v>
      </c>
      <c r="L111">
        <f t="shared" si="18"/>
        <v>0</v>
      </c>
      <c r="M111">
        <f t="shared" si="29"/>
        <v>0</v>
      </c>
      <c r="N111" t="e">
        <f t="shared" si="30"/>
        <v>#REF!</v>
      </c>
    </row>
    <row r="112" spans="1:14" x14ac:dyDescent="0.25">
      <c r="A112">
        <f t="shared" si="28"/>
        <v>330000000</v>
      </c>
      <c r="B112">
        <f t="shared" si="22"/>
        <v>0</v>
      </c>
      <c r="C112">
        <f t="shared" si="23"/>
        <v>0</v>
      </c>
      <c r="D112">
        <f t="shared" si="23"/>
        <v>0</v>
      </c>
      <c r="E112">
        <f t="shared" si="23"/>
        <v>0</v>
      </c>
      <c r="F112">
        <f t="shared" si="23"/>
        <v>0</v>
      </c>
      <c r="G112">
        <f t="shared" si="31"/>
        <v>0</v>
      </c>
      <c r="H112">
        <f t="shared" si="32"/>
        <v>0</v>
      </c>
      <c r="I112">
        <f t="shared" si="33"/>
        <v>0</v>
      </c>
      <c r="J112">
        <f t="shared" si="34"/>
        <v>0</v>
      </c>
      <c r="K112">
        <f t="shared" si="18"/>
        <v>0</v>
      </c>
      <c r="L112">
        <f t="shared" si="18"/>
        <v>0</v>
      </c>
      <c r="M112">
        <f t="shared" si="29"/>
        <v>0</v>
      </c>
      <c r="N112" t="e">
        <f t="shared" si="30"/>
        <v>#REF!</v>
      </c>
    </row>
    <row r="113" spans="1:14" x14ac:dyDescent="0.25">
      <c r="A113">
        <f t="shared" si="28"/>
        <v>390000000</v>
      </c>
      <c r="B113">
        <f t="shared" si="22"/>
        <v>0</v>
      </c>
      <c r="C113">
        <f t="shared" si="23"/>
        <v>0</v>
      </c>
      <c r="D113">
        <f t="shared" si="23"/>
        <v>0</v>
      </c>
      <c r="E113">
        <f t="shared" si="23"/>
        <v>0</v>
      </c>
      <c r="F113">
        <f t="shared" si="23"/>
        <v>0</v>
      </c>
      <c r="G113">
        <f t="shared" si="31"/>
        <v>0</v>
      </c>
      <c r="H113">
        <f t="shared" si="32"/>
        <v>0</v>
      </c>
      <c r="I113">
        <f t="shared" si="33"/>
        <v>0</v>
      </c>
      <c r="J113">
        <f t="shared" si="34"/>
        <v>0</v>
      </c>
      <c r="K113">
        <f t="shared" si="18"/>
        <v>0</v>
      </c>
      <c r="L113">
        <f t="shared" si="18"/>
        <v>0</v>
      </c>
      <c r="M113">
        <f t="shared" si="29"/>
        <v>0</v>
      </c>
      <c r="N113" t="e">
        <f t="shared" si="30"/>
        <v>#REF!</v>
      </c>
    </row>
    <row r="114" spans="1:14" x14ac:dyDescent="0.25">
      <c r="A114">
        <f t="shared" si="28"/>
        <v>470000000</v>
      </c>
      <c r="B114">
        <f t="shared" si="22"/>
        <v>0</v>
      </c>
      <c r="C114">
        <f t="shared" si="23"/>
        <v>0</v>
      </c>
      <c r="D114">
        <f t="shared" si="23"/>
        <v>0</v>
      </c>
      <c r="E114">
        <f t="shared" si="23"/>
        <v>0</v>
      </c>
      <c r="F114">
        <f t="shared" si="23"/>
        <v>0</v>
      </c>
      <c r="G114">
        <f t="shared" si="31"/>
        <v>0</v>
      </c>
      <c r="H114">
        <f t="shared" si="32"/>
        <v>0</v>
      </c>
      <c r="I114">
        <f t="shared" si="33"/>
        <v>0</v>
      </c>
      <c r="J114">
        <f t="shared" si="34"/>
        <v>0</v>
      </c>
      <c r="K114">
        <f t="shared" si="18"/>
        <v>0</v>
      </c>
      <c r="L114">
        <f t="shared" si="18"/>
        <v>0</v>
      </c>
      <c r="M114">
        <f t="shared" si="29"/>
        <v>0</v>
      </c>
      <c r="N114" t="e">
        <f t="shared" si="30"/>
        <v>#REF!</v>
      </c>
    </row>
    <row r="115" spans="1:14" x14ac:dyDescent="0.25">
      <c r="A115">
        <f t="shared" si="28"/>
        <v>560000000</v>
      </c>
      <c r="B115">
        <f t="shared" si="22"/>
        <v>0</v>
      </c>
      <c r="C115">
        <f t="shared" si="23"/>
        <v>0</v>
      </c>
      <c r="D115">
        <f t="shared" si="23"/>
        <v>0</v>
      </c>
      <c r="E115">
        <f t="shared" si="23"/>
        <v>0</v>
      </c>
      <c r="F115">
        <f t="shared" si="23"/>
        <v>0</v>
      </c>
      <c r="G115">
        <f t="shared" si="31"/>
        <v>0</v>
      </c>
      <c r="H115">
        <f t="shared" si="32"/>
        <v>0</v>
      </c>
      <c r="I115">
        <f t="shared" si="33"/>
        <v>0</v>
      </c>
      <c r="J115">
        <f t="shared" si="34"/>
        <v>0</v>
      </c>
      <c r="K115">
        <f t="shared" si="18"/>
        <v>0</v>
      </c>
      <c r="L115">
        <f t="shared" si="18"/>
        <v>0</v>
      </c>
      <c r="M115">
        <f t="shared" si="29"/>
        <v>0</v>
      </c>
      <c r="N115" t="e">
        <f t="shared" si="30"/>
        <v>#REF!</v>
      </c>
    </row>
    <row r="116" spans="1:14" x14ac:dyDescent="0.25">
      <c r="A116">
        <f t="shared" si="28"/>
        <v>680000000</v>
      </c>
      <c r="B116">
        <f t="shared" si="22"/>
        <v>0</v>
      </c>
      <c r="C116">
        <f t="shared" si="23"/>
        <v>0</v>
      </c>
      <c r="D116">
        <f t="shared" si="23"/>
        <v>0</v>
      </c>
      <c r="E116">
        <f t="shared" si="23"/>
        <v>0</v>
      </c>
      <c r="F116">
        <f t="shared" si="23"/>
        <v>0</v>
      </c>
      <c r="G116">
        <f t="shared" si="31"/>
        <v>0</v>
      </c>
      <c r="H116">
        <f t="shared" si="32"/>
        <v>0</v>
      </c>
      <c r="I116">
        <f t="shared" si="33"/>
        <v>0</v>
      </c>
      <c r="J116">
        <f t="shared" si="34"/>
        <v>0</v>
      </c>
      <c r="K116">
        <f t="shared" si="18"/>
        <v>0</v>
      </c>
      <c r="L116">
        <f t="shared" si="18"/>
        <v>0</v>
      </c>
      <c r="M116">
        <f t="shared" si="29"/>
        <v>0</v>
      </c>
      <c r="N116" t="e">
        <f t="shared" si="30"/>
        <v>#REF!</v>
      </c>
    </row>
    <row r="117" spans="1:14" x14ac:dyDescent="0.25">
      <c r="A117">
        <f t="shared" si="28"/>
        <v>820000000</v>
      </c>
      <c r="B117">
        <f t="shared" si="22"/>
        <v>0</v>
      </c>
      <c r="C117">
        <f t="shared" si="23"/>
        <v>0</v>
      </c>
      <c r="D117">
        <f t="shared" si="23"/>
        <v>0</v>
      </c>
      <c r="E117">
        <f t="shared" si="23"/>
        <v>0</v>
      </c>
      <c r="F117">
        <f t="shared" si="23"/>
        <v>0</v>
      </c>
      <c r="G117">
        <f t="shared" si="31"/>
        <v>0</v>
      </c>
      <c r="H117">
        <f t="shared" si="32"/>
        <v>0</v>
      </c>
      <c r="I117">
        <f t="shared" si="33"/>
        <v>0</v>
      </c>
      <c r="J117">
        <f t="shared" si="34"/>
        <v>0</v>
      </c>
      <c r="K117">
        <f t="shared" si="18"/>
        <v>0</v>
      </c>
      <c r="L117">
        <f t="shared" si="18"/>
        <v>0</v>
      </c>
      <c r="M117">
        <f t="shared" si="29"/>
        <v>0</v>
      </c>
      <c r="N117" t="e">
        <f t="shared" si="30"/>
        <v>#REF!</v>
      </c>
    </row>
    <row r="118" spans="1:14" x14ac:dyDescent="0.25">
      <c r="A118">
        <f t="shared" si="28"/>
        <v>1000000000</v>
      </c>
      <c r="B118">
        <f t="shared" si="22"/>
        <v>0</v>
      </c>
      <c r="C118">
        <f t="shared" si="23"/>
        <v>0</v>
      </c>
      <c r="D118">
        <f t="shared" si="23"/>
        <v>0</v>
      </c>
      <c r="E118">
        <f t="shared" si="23"/>
        <v>0</v>
      </c>
      <c r="F118">
        <f t="shared" si="23"/>
        <v>0</v>
      </c>
      <c r="G118">
        <f t="shared" si="31"/>
        <v>0</v>
      </c>
      <c r="H118">
        <f t="shared" si="32"/>
        <v>0</v>
      </c>
      <c r="I118">
        <f t="shared" si="33"/>
        <v>0</v>
      </c>
      <c r="J118">
        <f t="shared" si="34"/>
        <v>0</v>
      </c>
      <c r="K118">
        <f t="shared" si="18"/>
        <v>0</v>
      </c>
      <c r="L118">
        <f t="shared" si="18"/>
        <v>0</v>
      </c>
      <c r="M118">
        <f t="shared" si="29"/>
        <v>0</v>
      </c>
      <c r="N118" t="e">
        <f t="shared" si="30"/>
        <v>#REF!</v>
      </c>
    </row>
    <row r="119" spans="1:14" x14ac:dyDescent="0.25">
      <c r="A119">
        <f t="shared" si="28"/>
        <v>1200000000</v>
      </c>
      <c r="B119">
        <f t="shared" si="22"/>
        <v>0</v>
      </c>
      <c r="C119">
        <f t="shared" si="23"/>
        <v>0</v>
      </c>
      <c r="D119">
        <f t="shared" si="23"/>
        <v>0</v>
      </c>
      <c r="E119">
        <f t="shared" si="23"/>
        <v>0</v>
      </c>
      <c r="F119">
        <f t="shared" si="23"/>
        <v>0</v>
      </c>
      <c r="G119">
        <f t="shared" si="31"/>
        <v>0</v>
      </c>
      <c r="H119">
        <f t="shared" si="32"/>
        <v>0</v>
      </c>
      <c r="I119">
        <f t="shared" si="33"/>
        <v>0</v>
      </c>
      <c r="J119">
        <f t="shared" si="34"/>
        <v>0</v>
      </c>
      <c r="K119">
        <f t="shared" si="18"/>
        <v>0</v>
      </c>
      <c r="L119">
        <f t="shared" si="18"/>
        <v>0</v>
      </c>
      <c r="M119">
        <f t="shared" si="29"/>
        <v>0</v>
      </c>
      <c r="N119" t="e">
        <f t="shared" si="30"/>
        <v>#REF!</v>
      </c>
    </row>
    <row r="120" spans="1:14" x14ac:dyDescent="0.25">
      <c r="A120">
        <f t="shared" si="28"/>
        <v>1500000000</v>
      </c>
      <c r="B120">
        <f t="shared" si="22"/>
        <v>0</v>
      </c>
      <c r="C120">
        <f t="shared" si="23"/>
        <v>0</v>
      </c>
      <c r="D120">
        <f t="shared" si="23"/>
        <v>0</v>
      </c>
      <c r="E120">
        <f t="shared" si="23"/>
        <v>0</v>
      </c>
      <c r="F120">
        <f t="shared" si="23"/>
        <v>0</v>
      </c>
      <c r="G120">
        <f t="shared" si="31"/>
        <v>0</v>
      </c>
      <c r="H120">
        <f t="shared" si="32"/>
        <v>0</v>
      </c>
      <c r="I120">
        <f t="shared" si="33"/>
        <v>0</v>
      </c>
      <c r="J120">
        <f t="shared" si="34"/>
        <v>0</v>
      </c>
      <c r="K120">
        <f t="shared" si="18"/>
        <v>0</v>
      </c>
      <c r="L120">
        <f t="shared" si="18"/>
        <v>0</v>
      </c>
      <c r="M120">
        <f t="shared" si="29"/>
        <v>0</v>
      </c>
      <c r="N120" t="e">
        <f t="shared" si="30"/>
        <v>#REF!</v>
      </c>
    </row>
    <row r="121" spans="1:14" x14ac:dyDescent="0.25">
      <c r="A121">
        <f t="shared" si="28"/>
        <v>1800000000</v>
      </c>
      <c r="B121">
        <f t="shared" si="22"/>
        <v>0</v>
      </c>
      <c r="C121">
        <f t="shared" si="23"/>
        <v>0</v>
      </c>
      <c r="D121">
        <f t="shared" si="23"/>
        <v>0</v>
      </c>
      <c r="E121">
        <f t="shared" si="23"/>
        <v>0</v>
      </c>
      <c r="F121">
        <f t="shared" si="23"/>
        <v>0</v>
      </c>
      <c r="G121">
        <f t="shared" si="31"/>
        <v>0</v>
      </c>
      <c r="H121">
        <f t="shared" si="32"/>
        <v>0</v>
      </c>
      <c r="I121">
        <f t="shared" si="33"/>
        <v>0</v>
      </c>
      <c r="J121">
        <f t="shared" si="34"/>
        <v>0</v>
      </c>
      <c r="K121">
        <f t="shared" si="18"/>
        <v>0</v>
      </c>
      <c r="L121">
        <f t="shared" si="18"/>
        <v>0</v>
      </c>
      <c r="M121">
        <f t="shared" si="29"/>
        <v>0</v>
      </c>
      <c r="N121" t="e">
        <f t="shared" si="30"/>
        <v>#REF!</v>
      </c>
    </row>
    <row r="122" spans="1:14" x14ac:dyDescent="0.25">
      <c r="A122">
        <f t="shared" si="28"/>
        <v>2200000000</v>
      </c>
      <c r="B122">
        <f t="shared" si="22"/>
        <v>0</v>
      </c>
      <c r="C122">
        <f t="shared" si="23"/>
        <v>0</v>
      </c>
      <c r="D122">
        <f t="shared" si="23"/>
        <v>0</v>
      </c>
      <c r="E122">
        <f t="shared" si="23"/>
        <v>0</v>
      </c>
      <c r="F122">
        <f t="shared" si="23"/>
        <v>0</v>
      </c>
      <c r="G122">
        <f t="shared" si="31"/>
        <v>0</v>
      </c>
      <c r="H122">
        <f t="shared" si="32"/>
        <v>0</v>
      </c>
      <c r="I122">
        <f t="shared" si="33"/>
        <v>0</v>
      </c>
      <c r="J122">
        <f t="shared" si="34"/>
        <v>0</v>
      </c>
      <c r="K122">
        <f t="shared" si="18"/>
        <v>0</v>
      </c>
      <c r="L122">
        <f t="shared" si="18"/>
        <v>0</v>
      </c>
      <c r="M122">
        <f t="shared" si="29"/>
        <v>0</v>
      </c>
      <c r="N122" t="e">
        <f t="shared" si="30"/>
        <v>#REF!</v>
      </c>
    </row>
    <row r="123" spans="1:14" x14ac:dyDescent="0.25">
      <c r="A123">
        <f t="shared" si="28"/>
        <v>2700000000</v>
      </c>
      <c r="B123">
        <f t="shared" si="22"/>
        <v>0</v>
      </c>
      <c r="C123">
        <f t="shared" si="23"/>
        <v>0</v>
      </c>
      <c r="D123">
        <f t="shared" si="23"/>
        <v>0</v>
      </c>
      <c r="E123">
        <f t="shared" si="23"/>
        <v>0</v>
      </c>
      <c r="F123">
        <f t="shared" si="23"/>
        <v>0</v>
      </c>
      <c r="G123">
        <f t="shared" si="31"/>
        <v>0</v>
      </c>
      <c r="H123">
        <f t="shared" si="32"/>
        <v>0</v>
      </c>
      <c r="I123">
        <f t="shared" si="33"/>
        <v>0</v>
      </c>
      <c r="J123">
        <f t="shared" si="34"/>
        <v>0</v>
      </c>
      <c r="K123">
        <f t="shared" si="18"/>
        <v>0</v>
      </c>
      <c r="L123">
        <f t="shared" si="18"/>
        <v>0</v>
      </c>
      <c r="M123">
        <f t="shared" si="29"/>
        <v>0</v>
      </c>
      <c r="N123" t="e">
        <f t="shared" si="30"/>
        <v>#REF!</v>
      </c>
    </row>
    <row r="124" spans="1:14" x14ac:dyDescent="0.25">
      <c r="A124">
        <f t="shared" si="28"/>
        <v>3300000000</v>
      </c>
      <c r="B124">
        <f t="shared" si="22"/>
        <v>0</v>
      </c>
      <c r="C124">
        <f t="shared" si="23"/>
        <v>0</v>
      </c>
      <c r="D124">
        <f t="shared" si="23"/>
        <v>0</v>
      </c>
      <c r="E124">
        <f t="shared" si="23"/>
        <v>0</v>
      </c>
      <c r="F124">
        <f t="shared" si="23"/>
        <v>0</v>
      </c>
      <c r="G124">
        <f t="shared" si="31"/>
        <v>0</v>
      </c>
      <c r="H124">
        <f t="shared" si="32"/>
        <v>0</v>
      </c>
      <c r="I124">
        <f t="shared" si="33"/>
        <v>0</v>
      </c>
      <c r="J124">
        <f t="shared" si="34"/>
        <v>0</v>
      </c>
      <c r="K124">
        <f t="shared" si="18"/>
        <v>0</v>
      </c>
      <c r="L124">
        <f t="shared" si="18"/>
        <v>0</v>
      </c>
      <c r="M124">
        <f t="shared" si="29"/>
        <v>0</v>
      </c>
      <c r="N124" t="e">
        <f t="shared" si="30"/>
        <v>#REF!</v>
      </c>
    </row>
    <row r="125" spans="1:14" x14ac:dyDescent="0.25">
      <c r="A125">
        <f t="shared" si="28"/>
        <v>3900000000</v>
      </c>
      <c r="B125">
        <f t="shared" si="22"/>
        <v>0</v>
      </c>
      <c r="C125">
        <f t="shared" si="23"/>
        <v>0</v>
      </c>
      <c r="D125">
        <f t="shared" si="23"/>
        <v>0</v>
      </c>
      <c r="E125">
        <f t="shared" si="23"/>
        <v>0</v>
      </c>
      <c r="F125">
        <f t="shared" si="23"/>
        <v>0</v>
      </c>
      <c r="G125">
        <f t="shared" si="31"/>
        <v>0</v>
      </c>
      <c r="H125">
        <f t="shared" si="32"/>
        <v>0</v>
      </c>
      <c r="I125">
        <f t="shared" si="33"/>
        <v>0</v>
      </c>
      <c r="J125">
        <f t="shared" si="34"/>
        <v>0</v>
      </c>
      <c r="K125">
        <f t="shared" si="18"/>
        <v>0</v>
      </c>
      <c r="L125">
        <f t="shared" si="18"/>
        <v>0</v>
      </c>
      <c r="M125">
        <f t="shared" si="29"/>
        <v>0</v>
      </c>
      <c r="N125" t="e">
        <f t="shared" si="30"/>
        <v>#REF!</v>
      </c>
    </row>
    <row r="126" spans="1:14" x14ac:dyDescent="0.25">
      <c r="A126">
        <f t="shared" si="28"/>
        <v>4700000000</v>
      </c>
      <c r="B126">
        <f t="shared" si="22"/>
        <v>0</v>
      </c>
      <c r="C126">
        <f t="shared" si="23"/>
        <v>0</v>
      </c>
      <c r="D126">
        <f t="shared" si="23"/>
        <v>0</v>
      </c>
      <c r="E126">
        <f t="shared" si="23"/>
        <v>0</v>
      </c>
      <c r="F126">
        <f t="shared" si="23"/>
        <v>0</v>
      </c>
      <c r="G126">
        <f t="shared" si="31"/>
        <v>0</v>
      </c>
      <c r="H126">
        <f t="shared" si="32"/>
        <v>0</v>
      </c>
      <c r="I126">
        <f t="shared" si="33"/>
        <v>0</v>
      </c>
      <c r="J126">
        <f t="shared" si="34"/>
        <v>0</v>
      </c>
      <c r="K126">
        <f t="shared" si="18"/>
        <v>0</v>
      </c>
      <c r="L126">
        <f t="shared" si="18"/>
        <v>0</v>
      </c>
      <c r="M126">
        <f t="shared" si="29"/>
        <v>0</v>
      </c>
      <c r="N126" t="e">
        <f t="shared" si="30"/>
        <v>#REF!</v>
      </c>
    </row>
    <row r="127" spans="1:14" x14ac:dyDescent="0.25">
      <c r="A127">
        <f t="shared" si="28"/>
        <v>5600000000</v>
      </c>
      <c r="B127">
        <f t="shared" si="22"/>
        <v>0</v>
      </c>
      <c r="C127">
        <f t="shared" si="23"/>
        <v>0</v>
      </c>
      <c r="D127">
        <f t="shared" si="23"/>
        <v>0</v>
      </c>
      <c r="E127">
        <f t="shared" si="23"/>
        <v>0</v>
      </c>
      <c r="F127">
        <f t="shared" si="23"/>
        <v>0</v>
      </c>
      <c r="G127">
        <f t="shared" si="31"/>
        <v>0</v>
      </c>
      <c r="H127">
        <f t="shared" si="32"/>
        <v>0</v>
      </c>
      <c r="I127">
        <f t="shared" si="33"/>
        <v>0</v>
      </c>
      <c r="J127">
        <f t="shared" si="34"/>
        <v>0</v>
      </c>
      <c r="K127">
        <f t="shared" si="18"/>
        <v>0</v>
      </c>
      <c r="L127">
        <f t="shared" si="18"/>
        <v>0</v>
      </c>
      <c r="M127">
        <f t="shared" si="29"/>
        <v>0</v>
      </c>
      <c r="N127" t="e">
        <f t="shared" si="30"/>
        <v>#REF!</v>
      </c>
    </row>
    <row r="128" spans="1:14" x14ac:dyDescent="0.25">
      <c r="A128">
        <f t="shared" si="28"/>
        <v>6800000000</v>
      </c>
      <c r="B128">
        <f t="shared" si="22"/>
        <v>0</v>
      </c>
      <c r="C128">
        <f t="shared" si="23"/>
        <v>0</v>
      </c>
      <c r="D128">
        <f t="shared" si="23"/>
        <v>0</v>
      </c>
      <c r="E128">
        <f t="shared" si="23"/>
        <v>0</v>
      </c>
      <c r="F128">
        <f t="shared" si="23"/>
        <v>0</v>
      </c>
      <c r="G128">
        <f t="shared" si="31"/>
        <v>0</v>
      </c>
      <c r="H128">
        <f t="shared" si="32"/>
        <v>0</v>
      </c>
      <c r="I128">
        <f t="shared" si="33"/>
        <v>0</v>
      </c>
      <c r="J128">
        <f t="shared" si="34"/>
        <v>0</v>
      </c>
      <c r="K128">
        <f t="shared" si="18"/>
        <v>0</v>
      </c>
      <c r="L128">
        <f t="shared" si="18"/>
        <v>0</v>
      </c>
      <c r="M128">
        <f t="shared" si="29"/>
        <v>0</v>
      </c>
      <c r="N128" t="e">
        <f t="shared" si="30"/>
        <v>#REF!</v>
      </c>
    </row>
    <row r="129" spans="1:14" x14ac:dyDescent="0.25">
      <c r="A129">
        <f t="shared" si="28"/>
        <v>8200000000</v>
      </c>
      <c r="B129">
        <f t="shared" si="22"/>
        <v>0</v>
      </c>
      <c r="C129">
        <f t="shared" si="23"/>
        <v>0</v>
      </c>
      <c r="D129">
        <f t="shared" si="23"/>
        <v>0</v>
      </c>
      <c r="E129">
        <f t="shared" si="23"/>
        <v>0</v>
      </c>
      <c r="F129">
        <f t="shared" si="23"/>
        <v>0</v>
      </c>
      <c r="G129">
        <f t="shared" si="31"/>
        <v>0</v>
      </c>
      <c r="H129">
        <f t="shared" si="32"/>
        <v>0</v>
      </c>
      <c r="I129">
        <f t="shared" si="33"/>
        <v>0</v>
      </c>
      <c r="J129">
        <f t="shared" si="34"/>
        <v>0</v>
      </c>
      <c r="K129">
        <f t="shared" si="18"/>
        <v>0</v>
      </c>
      <c r="L129">
        <f t="shared" si="18"/>
        <v>0</v>
      </c>
      <c r="M129">
        <f t="shared" si="29"/>
        <v>0</v>
      </c>
      <c r="N129" t="e">
        <f t="shared" si="30"/>
        <v>#REF!</v>
      </c>
    </row>
    <row r="130" spans="1:14" x14ac:dyDescent="0.25">
      <c r="A130">
        <f t="shared" si="28"/>
        <v>10000000000</v>
      </c>
      <c r="B130">
        <f t="shared" si="22"/>
        <v>0</v>
      </c>
      <c r="C130">
        <f t="shared" si="23"/>
        <v>0</v>
      </c>
      <c r="D130">
        <f t="shared" si="23"/>
        <v>0</v>
      </c>
      <c r="E130">
        <f t="shared" si="23"/>
        <v>0</v>
      </c>
      <c r="F130">
        <f t="shared" si="23"/>
        <v>0</v>
      </c>
      <c r="G130">
        <f t="shared" si="31"/>
        <v>0</v>
      </c>
      <c r="H130">
        <f t="shared" si="32"/>
        <v>0</v>
      </c>
      <c r="I130">
        <f t="shared" si="33"/>
        <v>0</v>
      </c>
      <c r="J130">
        <f t="shared" si="34"/>
        <v>0</v>
      </c>
      <c r="K130">
        <f t="shared" si="18"/>
        <v>0</v>
      </c>
      <c r="L130">
        <f t="shared" si="18"/>
        <v>0</v>
      </c>
      <c r="M130">
        <f t="shared" si="29"/>
        <v>0</v>
      </c>
      <c r="N130" t="e">
        <f t="shared" si="30"/>
        <v>#REF!</v>
      </c>
    </row>
    <row r="131" spans="1:14" x14ac:dyDescent="0.25">
      <c r="A131">
        <f t="shared" si="28"/>
        <v>12000000000</v>
      </c>
      <c r="B131">
        <f t="shared" si="22"/>
        <v>0</v>
      </c>
      <c r="C131">
        <f t="shared" si="23"/>
        <v>0</v>
      </c>
      <c r="D131">
        <f t="shared" si="23"/>
        <v>0</v>
      </c>
      <c r="E131">
        <f t="shared" si="23"/>
        <v>0</v>
      </c>
      <c r="F131">
        <f t="shared" si="23"/>
        <v>0</v>
      </c>
      <c r="G131">
        <f t="shared" si="31"/>
        <v>0</v>
      </c>
      <c r="H131">
        <f t="shared" si="32"/>
        <v>0</v>
      </c>
      <c r="I131">
        <f t="shared" si="33"/>
        <v>0</v>
      </c>
      <c r="J131">
        <f t="shared" si="34"/>
        <v>0</v>
      </c>
      <c r="K131">
        <f t="shared" si="18"/>
        <v>0</v>
      </c>
      <c r="L131">
        <f t="shared" si="18"/>
        <v>0</v>
      </c>
      <c r="M131">
        <f t="shared" si="29"/>
        <v>0</v>
      </c>
      <c r="N131" t="e">
        <f t="shared" si="30"/>
        <v>#REF!</v>
      </c>
    </row>
    <row r="132" spans="1:14" x14ac:dyDescent="0.25">
      <c r="A132">
        <f t="shared" si="28"/>
        <v>15000000000</v>
      </c>
      <c r="B132">
        <f t="shared" si="22"/>
        <v>0</v>
      </c>
      <c r="C132">
        <f t="shared" si="23"/>
        <v>0</v>
      </c>
      <c r="D132">
        <f t="shared" si="23"/>
        <v>0</v>
      </c>
      <c r="E132">
        <f t="shared" si="23"/>
        <v>0</v>
      </c>
      <c r="F132">
        <f t="shared" si="23"/>
        <v>0</v>
      </c>
      <c r="G132">
        <f t="shared" si="31"/>
        <v>0</v>
      </c>
      <c r="H132">
        <f t="shared" si="32"/>
        <v>0</v>
      </c>
      <c r="I132">
        <f t="shared" si="33"/>
        <v>0</v>
      </c>
      <c r="J132">
        <f t="shared" si="34"/>
        <v>0</v>
      </c>
      <c r="K132">
        <f t="shared" si="18"/>
        <v>0</v>
      </c>
      <c r="L132">
        <f t="shared" si="18"/>
        <v>0</v>
      </c>
      <c r="M132">
        <f t="shared" si="29"/>
        <v>0</v>
      </c>
      <c r="N132" t="e">
        <f t="shared" si="30"/>
        <v>#REF!</v>
      </c>
    </row>
    <row r="133" spans="1:14" x14ac:dyDescent="0.25">
      <c r="A133">
        <f t="shared" si="28"/>
        <v>18000000000</v>
      </c>
      <c r="B133">
        <f t="shared" si="22"/>
        <v>0</v>
      </c>
      <c r="C133">
        <f t="shared" si="23"/>
        <v>0</v>
      </c>
      <c r="D133">
        <f t="shared" si="23"/>
        <v>0</v>
      </c>
      <c r="E133">
        <f t="shared" si="23"/>
        <v>0</v>
      </c>
      <c r="F133">
        <f t="shared" si="23"/>
        <v>0</v>
      </c>
      <c r="G133">
        <f t="shared" si="31"/>
        <v>0</v>
      </c>
      <c r="H133">
        <f t="shared" si="32"/>
        <v>0</v>
      </c>
      <c r="I133">
        <f t="shared" si="33"/>
        <v>0</v>
      </c>
      <c r="J133">
        <f t="shared" si="34"/>
        <v>0</v>
      </c>
      <c r="K133">
        <f>IF(IF((K$3*10^12-$A134)*(K$3*10^12-$A133)*-1&lt;0,0,1)*IF(ABS(K$3*10^12-$A134)&gt;(K$3*10^12-$A133),$A133,$A134)=K134,0,IF((K$3*10^12-$A134)*(K$3*10^12-$A133)*-1&lt;0,0,1)*IF(ABS(K$3*10^12-$A134)&gt;(K$3*10^12-$A133),$A133,$A134))</f>
        <v>0</v>
      </c>
      <c r="L133">
        <f>IF(IF((L$3*10^12-$A134)*(L$3*10^12-$A133)*-1&lt;0,0,1)*IF(ABS(L$3*10^12-$A134)&gt;(L$3*10^12-$A133),$A133,$A134)=L134,0,IF((L$3*10^12-$A134)*(L$3*10^12-$A133)*-1&lt;0,0,1)*IF(ABS(L$3*10^12-$A134)&gt;(L$3*10^12-$A133),$A133,$A134))</f>
        <v>0</v>
      </c>
      <c r="M133">
        <f t="shared" si="29"/>
        <v>0</v>
      </c>
      <c r="N133" t="e">
        <f t="shared" si="30"/>
        <v>#REF!</v>
      </c>
    </row>
    <row r="134" spans="1:14" x14ac:dyDescent="0.25">
      <c r="A134">
        <f t="shared" si="28"/>
        <v>22000000000</v>
      </c>
      <c r="B134">
        <f t="shared" si="22"/>
        <v>0</v>
      </c>
      <c r="C134">
        <f t="shared" si="23"/>
        <v>0</v>
      </c>
      <c r="D134">
        <f t="shared" si="23"/>
        <v>0</v>
      </c>
      <c r="E134">
        <f t="shared" si="23"/>
        <v>0</v>
      </c>
      <c r="F134">
        <f t="shared" ref="F134:L159" si="35">IF(IF((F$3*10^12-$A135)*(F$3*10^12-$A134)*-1&lt;0,0,1)*IF(ABS(F$3*10^12-$A135)&gt;(F$3*10^12-$A134),$A134,$A135)=F135,0,IF((F$3*10^12-$A135)*(F$3*10^12-$A134)*-1&lt;0,0,1)*IF(ABS(F$3*10^12-$A135)&gt;(F$3*10^12-$A134),$A134,$A135))</f>
        <v>0</v>
      </c>
      <c r="G134">
        <f t="shared" si="31"/>
        <v>0</v>
      </c>
      <c r="H134">
        <f t="shared" si="32"/>
        <v>0</v>
      </c>
      <c r="I134">
        <f t="shared" si="33"/>
        <v>0</v>
      </c>
      <c r="J134">
        <f t="shared" si="34"/>
        <v>0</v>
      </c>
      <c r="K134">
        <f>IF(IF((K$3*10^12-$A135)*(K$3*10^12-$A134)*-1&lt;0,0,1)*IF(ABS(K$3*10^12-$A135)&gt;(K$3*10^12-$A134),$A134,$A135)=K135,0,IF((K$3*10^12-$A135)*(K$3*10^12-$A134)*-1&lt;0,0,1)*IF(ABS(K$3*10^12-$A135)&gt;(K$3*10^12-$A134),$A134,$A135))</f>
        <v>0</v>
      </c>
      <c r="L134">
        <f>IF(IF((L$3*10^12-$A135)*(L$3*10^12-$A134)*-1&lt;0,0,1)*IF(ABS(L$3*10^12-$A135)&gt;(L$3*10^12-$A134),$A134,$A135)=L135,0,IF((L$3*10^12-$A135)*(L$3*10^12-$A134)*-1&lt;0,0,1)*IF(ABS(L$3*10^12-$A135)&gt;(L$3*10^12-$A134),$A134,$A135))</f>
        <v>0</v>
      </c>
      <c r="M134">
        <f t="shared" ref="M134:M159" si="36">IF(IF((M$3*10^12-$A135)*(M$3*10^12-$A134)*-1&lt;0,0,1)*IF(ABS(M$3*10^12-$A135)&gt;(M$3*10^12-$A134),$A134,$A135)=M135,0,IF((M$3*10^12-$A135)*(M$3*10^12-$A134)*-1&lt;0,0,1)*IF(ABS(M$3*10^12-$A135)&gt;(M$3*10^12-$A134),$A134,$A135))</f>
        <v>0</v>
      </c>
      <c r="N134" t="e">
        <f t="shared" ref="N134:N159" si="37">IF(IF((N$3*10^12-$A135)*(N$3*10^12-$A134)*-1&lt;0,0,1)*IF(ABS(N$3*10^12-$A135)&gt;(N$3*10^12-$A134),$A134,$A135)=N135,0,IF((N$3*10^12-$A135)*(N$3*10^12-$A134)*-1&lt;0,0,1)*IF(ABS(N$3*10^12-$A135)&gt;(N$3*10^12-$A134),$A134,$A135))</f>
        <v>#REF!</v>
      </c>
    </row>
    <row r="135" spans="1:14" x14ac:dyDescent="0.25">
      <c r="A135">
        <f t="shared" si="28"/>
        <v>27000000000</v>
      </c>
      <c r="B135">
        <f t="shared" ref="B135:B159" si="38">IF(IF((B$3*10^12-$A136)*(B$3*10^12-$A135)*-1&lt;0,0,1)*IF(ABS(B$3*10^12-$A136)&gt;(B$3*10^12-$A135),$A135,$A136)=B136,0,IF((B$3*10^12-$A136)*(B$3*10^12-$A135)*-1&lt;0,0,1)*IF(ABS(B$3*10^12-$A136)&gt;(B$3*10^12-$A135),$A135,$A136))</f>
        <v>0</v>
      </c>
      <c r="C135">
        <f t="shared" ref="C135:E159" si="39">IF(IF((C$3*10^12-$A136)*(C$3*10^12-$A135)*-1&lt;0,0,1)*IF(ABS(C$3*10^12-$A136)&gt;(C$3*10^12-$A135),$A135,$A136)=C136,0,IF((C$3*10^12-$A136)*(C$3*10^12-$A135)*-1&lt;0,0,1)*IF(ABS(C$3*10^12-$A136)&gt;(C$3*10^12-$A135),$A135,$A136))</f>
        <v>0</v>
      </c>
      <c r="D135">
        <f t="shared" si="39"/>
        <v>0</v>
      </c>
      <c r="E135">
        <f t="shared" si="39"/>
        <v>0</v>
      </c>
      <c r="F135">
        <f t="shared" si="35"/>
        <v>0</v>
      </c>
      <c r="G135">
        <f t="shared" si="35"/>
        <v>0</v>
      </c>
      <c r="H135">
        <f t="shared" si="35"/>
        <v>0</v>
      </c>
      <c r="I135">
        <f t="shared" si="35"/>
        <v>0</v>
      </c>
      <c r="J135">
        <f t="shared" si="35"/>
        <v>0</v>
      </c>
      <c r="K135">
        <f t="shared" si="35"/>
        <v>0</v>
      </c>
      <c r="L135">
        <f t="shared" si="35"/>
        <v>0</v>
      </c>
      <c r="M135">
        <f t="shared" si="36"/>
        <v>0</v>
      </c>
      <c r="N135" t="e">
        <f t="shared" si="37"/>
        <v>#REF!</v>
      </c>
    </row>
    <row r="136" spans="1:14" x14ac:dyDescent="0.25">
      <c r="A136">
        <f t="shared" si="28"/>
        <v>33000000000</v>
      </c>
      <c r="B136">
        <f t="shared" si="38"/>
        <v>0</v>
      </c>
      <c r="C136">
        <f t="shared" si="39"/>
        <v>0</v>
      </c>
      <c r="D136">
        <f t="shared" si="39"/>
        <v>0</v>
      </c>
      <c r="E136">
        <f t="shared" si="39"/>
        <v>0</v>
      </c>
      <c r="F136">
        <f t="shared" si="35"/>
        <v>0</v>
      </c>
      <c r="G136">
        <f t="shared" si="35"/>
        <v>0</v>
      </c>
      <c r="H136">
        <f t="shared" si="35"/>
        <v>0</v>
      </c>
      <c r="I136">
        <f t="shared" si="35"/>
        <v>0</v>
      </c>
      <c r="J136">
        <f t="shared" si="35"/>
        <v>0</v>
      </c>
      <c r="K136">
        <f t="shared" si="35"/>
        <v>0</v>
      </c>
      <c r="L136">
        <f t="shared" si="35"/>
        <v>0</v>
      </c>
      <c r="M136">
        <f t="shared" si="36"/>
        <v>0</v>
      </c>
      <c r="N136" t="e">
        <f t="shared" si="37"/>
        <v>#REF!</v>
      </c>
    </row>
    <row r="137" spans="1:14" x14ac:dyDescent="0.25">
      <c r="A137">
        <f t="shared" si="28"/>
        <v>39000000000</v>
      </c>
      <c r="B137">
        <f t="shared" si="38"/>
        <v>0</v>
      </c>
      <c r="C137">
        <f t="shared" si="39"/>
        <v>0</v>
      </c>
      <c r="D137">
        <f t="shared" si="39"/>
        <v>0</v>
      </c>
      <c r="E137">
        <f t="shared" si="39"/>
        <v>0</v>
      </c>
      <c r="F137">
        <f t="shared" si="35"/>
        <v>0</v>
      </c>
      <c r="G137">
        <f t="shared" si="35"/>
        <v>0</v>
      </c>
      <c r="H137">
        <f t="shared" si="35"/>
        <v>0</v>
      </c>
      <c r="I137">
        <f t="shared" si="35"/>
        <v>0</v>
      </c>
      <c r="J137">
        <f t="shared" si="35"/>
        <v>0</v>
      </c>
      <c r="K137">
        <f t="shared" si="35"/>
        <v>0</v>
      </c>
      <c r="L137">
        <f t="shared" si="35"/>
        <v>0</v>
      </c>
      <c r="M137">
        <f t="shared" si="36"/>
        <v>0</v>
      </c>
      <c r="N137" t="e">
        <f t="shared" si="37"/>
        <v>#REF!</v>
      </c>
    </row>
    <row r="138" spans="1:14" x14ac:dyDescent="0.25">
      <c r="A138">
        <f t="shared" si="28"/>
        <v>47000000000</v>
      </c>
      <c r="B138">
        <f t="shared" si="38"/>
        <v>0</v>
      </c>
      <c r="C138">
        <f t="shared" si="39"/>
        <v>0</v>
      </c>
      <c r="D138">
        <f t="shared" si="39"/>
        <v>0</v>
      </c>
      <c r="E138">
        <f t="shared" si="39"/>
        <v>0</v>
      </c>
      <c r="F138">
        <f t="shared" si="35"/>
        <v>0</v>
      </c>
      <c r="G138">
        <f t="shared" si="35"/>
        <v>0</v>
      </c>
      <c r="H138">
        <f t="shared" si="35"/>
        <v>0</v>
      </c>
      <c r="I138">
        <f t="shared" si="35"/>
        <v>0</v>
      </c>
      <c r="J138">
        <f t="shared" si="35"/>
        <v>0</v>
      </c>
      <c r="K138">
        <f t="shared" si="35"/>
        <v>0</v>
      </c>
      <c r="L138">
        <f t="shared" si="35"/>
        <v>0</v>
      </c>
      <c r="M138">
        <f t="shared" si="36"/>
        <v>0</v>
      </c>
      <c r="N138" t="e">
        <f t="shared" si="37"/>
        <v>#REF!</v>
      </c>
    </row>
    <row r="139" spans="1:14" x14ac:dyDescent="0.25">
      <c r="A139">
        <f t="shared" si="28"/>
        <v>56000000000</v>
      </c>
      <c r="B139">
        <f t="shared" si="38"/>
        <v>0</v>
      </c>
      <c r="C139">
        <f t="shared" si="39"/>
        <v>0</v>
      </c>
      <c r="D139">
        <f t="shared" si="39"/>
        <v>0</v>
      </c>
      <c r="E139">
        <f t="shared" si="39"/>
        <v>0</v>
      </c>
      <c r="F139">
        <f t="shared" si="35"/>
        <v>0</v>
      </c>
      <c r="G139">
        <f t="shared" si="35"/>
        <v>0</v>
      </c>
      <c r="H139">
        <f t="shared" si="35"/>
        <v>0</v>
      </c>
      <c r="I139">
        <f t="shared" si="35"/>
        <v>0</v>
      </c>
      <c r="J139">
        <f t="shared" si="35"/>
        <v>0</v>
      </c>
      <c r="K139">
        <f t="shared" si="35"/>
        <v>0</v>
      </c>
      <c r="L139">
        <f t="shared" si="35"/>
        <v>0</v>
      </c>
      <c r="M139">
        <f t="shared" si="36"/>
        <v>0</v>
      </c>
      <c r="N139" t="e">
        <f t="shared" si="37"/>
        <v>#REF!</v>
      </c>
    </row>
    <row r="140" spans="1:14" x14ac:dyDescent="0.25">
      <c r="A140">
        <f t="shared" si="28"/>
        <v>68000000000</v>
      </c>
      <c r="B140">
        <f t="shared" si="38"/>
        <v>0</v>
      </c>
      <c r="C140">
        <f t="shared" si="39"/>
        <v>0</v>
      </c>
      <c r="D140">
        <f t="shared" si="39"/>
        <v>0</v>
      </c>
      <c r="E140">
        <f t="shared" si="39"/>
        <v>0</v>
      </c>
      <c r="F140">
        <f t="shared" si="35"/>
        <v>0</v>
      </c>
      <c r="G140">
        <f t="shared" si="35"/>
        <v>0</v>
      </c>
      <c r="H140">
        <f t="shared" si="35"/>
        <v>0</v>
      </c>
      <c r="I140">
        <f t="shared" si="35"/>
        <v>0</v>
      </c>
      <c r="J140">
        <f t="shared" si="35"/>
        <v>0</v>
      </c>
      <c r="K140">
        <f t="shared" si="35"/>
        <v>0</v>
      </c>
      <c r="L140">
        <f t="shared" si="35"/>
        <v>0</v>
      </c>
      <c r="M140">
        <f t="shared" si="36"/>
        <v>0</v>
      </c>
      <c r="N140" t="e">
        <f t="shared" si="37"/>
        <v>#REF!</v>
      </c>
    </row>
    <row r="141" spans="1:14" x14ac:dyDescent="0.25">
      <c r="A141">
        <f t="shared" si="28"/>
        <v>82000000000</v>
      </c>
      <c r="B141">
        <f t="shared" si="38"/>
        <v>0</v>
      </c>
      <c r="C141">
        <f t="shared" si="39"/>
        <v>0</v>
      </c>
      <c r="D141">
        <f t="shared" si="39"/>
        <v>0</v>
      </c>
      <c r="E141">
        <f t="shared" si="39"/>
        <v>0</v>
      </c>
      <c r="F141">
        <f t="shared" si="35"/>
        <v>0</v>
      </c>
      <c r="G141">
        <f t="shared" si="35"/>
        <v>0</v>
      </c>
      <c r="H141">
        <f t="shared" si="35"/>
        <v>0</v>
      </c>
      <c r="I141">
        <f t="shared" si="35"/>
        <v>0</v>
      </c>
      <c r="J141">
        <f t="shared" si="35"/>
        <v>0</v>
      </c>
      <c r="K141">
        <f t="shared" si="35"/>
        <v>0</v>
      </c>
      <c r="L141">
        <f t="shared" si="35"/>
        <v>0</v>
      </c>
      <c r="M141">
        <f t="shared" si="36"/>
        <v>0</v>
      </c>
      <c r="N141" t="e">
        <f t="shared" si="37"/>
        <v>#REF!</v>
      </c>
    </row>
    <row r="142" spans="1:14" x14ac:dyDescent="0.25">
      <c r="A142">
        <f t="shared" si="28"/>
        <v>100000000000</v>
      </c>
      <c r="B142">
        <f t="shared" si="38"/>
        <v>0</v>
      </c>
      <c r="C142">
        <f t="shared" si="39"/>
        <v>0</v>
      </c>
      <c r="D142">
        <f t="shared" si="39"/>
        <v>0</v>
      </c>
      <c r="E142">
        <f t="shared" si="39"/>
        <v>0</v>
      </c>
      <c r="F142">
        <f t="shared" si="35"/>
        <v>0</v>
      </c>
      <c r="G142">
        <f t="shared" si="35"/>
        <v>0</v>
      </c>
      <c r="H142">
        <f t="shared" si="35"/>
        <v>0</v>
      </c>
      <c r="I142">
        <f t="shared" si="35"/>
        <v>0</v>
      </c>
      <c r="J142">
        <f t="shared" si="35"/>
        <v>0</v>
      </c>
      <c r="K142">
        <f t="shared" si="35"/>
        <v>0</v>
      </c>
      <c r="L142">
        <f t="shared" si="35"/>
        <v>0</v>
      </c>
      <c r="M142">
        <f t="shared" si="36"/>
        <v>0</v>
      </c>
      <c r="N142" t="e">
        <f t="shared" si="37"/>
        <v>#REF!</v>
      </c>
    </row>
    <row r="143" spans="1:14" x14ac:dyDescent="0.25">
      <c r="A143">
        <f t="shared" si="28"/>
        <v>120000000000</v>
      </c>
      <c r="B143">
        <f t="shared" si="38"/>
        <v>0</v>
      </c>
      <c r="C143">
        <f t="shared" si="39"/>
        <v>0</v>
      </c>
      <c r="D143">
        <f t="shared" si="39"/>
        <v>0</v>
      </c>
      <c r="E143">
        <f t="shared" si="39"/>
        <v>0</v>
      </c>
      <c r="F143">
        <f t="shared" si="35"/>
        <v>0</v>
      </c>
      <c r="G143">
        <f t="shared" si="35"/>
        <v>0</v>
      </c>
      <c r="H143">
        <f t="shared" si="35"/>
        <v>0</v>
      </c>
      <c r="I143">
        <f t="shared" si="35"/>
        <v>0</v>
      </c>
      <c r="J143">
        <f t="shared" si="35"/>
        <v>0</v>
      </c>
      <c r="K143">
        <f t="shared" si="35"/>
        <v>0</v>
      </c>
      <c r="L143">
        <f t="shared" si="35"/>
        <v>0</v>
      </c>
      <c r="M143">
        <f t="shared" si="36"/>
        <v>0</v>
      </c>
      <c r="N143" t="e">
        <f t="shared" si="37"/>
        <v>#REF!</v>
      </c>
    </row>
    <row r="144" spans="1:14" x14ac:dyDescent="0.25">
      <c r="A144">
        <f t="shared" si="28"/>
        <v>150000000000</v>
      </c>
      <c r="B144">
        <f t="shared" si="38"/>
        <v>0</v>
      </c>
      <c r="C144">
        <f t="shared" si="39"/>
        <v>0</v>
      </c>
      <c r="D144">
        <f t="shared" si="39"/>
        <v>0</v>
      </c>
      <c r="E144">
        <f t="shared" si="39"/>
        <v>0</v>
      </c>
      <c r="F144">
        <f t="shared" si="35"/>
        <v>0</v>
      </c>
      <c r="G144">
        <f t="shared" si="35"/>
        <v>0</v>
      </c>
      <c r="H144">
        <f t="shared" si="35"/>
        <v>0</v>
      </c>
      <c r="I144">
        <f t="shared" si="35"/>
        <v>0</v>
      </c>
      <c r="J144">
        <f t="shared" si="35"/>
        <v>0</v>
      </c>
      <c r="K144">
        <f t="shared" si="35"/>
        <v>0</v>
      </c>
      <c r="L144">
        <f t="shared" si="35"/>
        <v>0</v>
      </c>
      <c r="M144">
        <f t="shared" si="36"/>
        <v>0</v>
      </c>
      <c r="N144" t="e">
        <f t="shared" si="37"/>
        <v>#REF!</v>
      </c>
    </row>
    <row r="145" spans="1:14" x14ac:dyDescent="0.25">
      <c r="A145">
        <f t="shared" si="28"/>
        <v>180000000000</v>
      </c>
      <c r="B145">
        <f t="shared" si="38"/>
        <v>0</v>
      </c>
      <c r="C145">
        <f t="shared" si="39"/>
        <v>0</v>
      </c>
      <c r="D145">
        <f t="shared" si="39"/>
        <v>0</v>
      </c>
      <c r="E145">
        <f t="shared" si="39"/>
        <v>0</v>
      </c>
      <c r="F145">
        <f t="shared" si="35"/>
        <v>0</v>
      </c>
      <c r="G145">
        <f t="shared" si="35"/>
        <v>0</v>
      </c>
      <c r="H145">
        <f t="shared" si="35"/>
        <v>0</v>
      </c>
      <c r="I145">
        <f t="shared" si="35"/>
        <v>0</v>
      </c>
      <c r="J145">
        <f t="shared" si="35"/>
        <v>0</v>
      </c>
      <c r="K145">
        <f t="shared" si="35"/>
        <v>0</v>
      </c>
      <c r="L145">
        <f t="shared" si="35"/>
        <v>0</v>
      </c>
      <c r="M145">
        <f t="shared" si="36"/>
        <v>0</v>
      </c>
      <c r="N145" t="e">
        <f t="shared" si="37"/>
        <v>#REF!</v>
      </c>
    </row>
    <row r="146" spans="1:14" x14ac:dyDescent="0.25">
      <c r="A146">
        <f t="shared" si="28"/>
        <v>220000000000</v>
      </c>
      <c r="B146">
        <f t="shared" si="38"/>
        <v>0</v>
      </c>
      <c r="C146">
        <f t="shared" si="39"/>
        <v>0</v>
      </c>
      <c r="D146">
        <f t="shared" si="39"/>
        <v>0</v>
      </c>
      <c r="E146">
        <f t="shared" si="39"/>
        <v>0</v>
      </c>
      <c r="F146">
        <f t="shared" si="35"/>
        <v>0</v>
      </c>
      <c r="G146">
        <f t="shared" si="35"/>
        <v>0</v>
      </c>
      <c r="H146">
        <f t="shared" si="35"/>
        <v>0</v>
      </c>
      <c r="I146">
        <f t="shared" si="35"/>
        <v>0</v>
      </c>
      <c r="J146">
        <f t="shared" si="35"/>
        <v>0</v>
      </c>
      <c r="K146">
        <f t="shared" si="35"/>
        <v>0</v>
      </c>
      <c r="L146">
        <f t="shared" si="35"/>
        <v>0</v>
      </c>
      <c r="M146">
        <f t="shared" si="36"/>
        <v>0</v>
      </c>
      <c r="N146" t="e">
        <f t="shared" si="37"/>
        <v>#REF!</v>
      </c>
    </row>
    <row r="147" spans="1:14" x14ac:dyDescent="0.25">
      <c r="A147">
        <f t="shared" si="28"/>
        <v>270000000000</v>
      </c>
      <c r="B147">
        <f t="shared" si="38"/>
        <v>0</v>
      </c>
      <c r="C147">
        <f t="shared" si="39"/>
        <v>0</v>
      </c>
      <c r="D147">
        <f t="shared" si="39"/>
        <v>0</v>
      </c>
      <c r="E147">
        <f t="shared" si="39"/>
        <v>0</v>
      </c>
      <c r="F147">
        <f t="shared" si="35"/>
        <v>0</v>
      </c>
      <c r="G147">
        <f t="shared" si="35"/>
        <v>0</v>
      </c>
      <c r="H147">
        <f t="shared" si="35"/>
        <v>0</v>
      </c>
      <c r="I147">
        <f t="shared" si="35"/>
        <v>0</v>
      </c>
      <c r="J147">
        <f t="shared" si="35"/>
        <v>0</v>
      </c>
      <c r="K147">
        <f t="shared" si="35"/>
        <v>0</v>
      </c>
      <c r="L147">
        <f t="shared" si="35"/>
        <v>0</v>
      </c>
      <c r="M147">
        <f t="shared" si="36"/>
        <v>0</v>
      </c>
      <c r="N147" t="e">
        <f t="shared" si="37"/>
        <v>#REF!</v>
      </c>
    </row>
    <row r="148" spans="1:14" x14ac:dyDescent="0.25">
      <c r="A148">
        <f t="shared" si="28"/>
        <v>330000000000</v>
      </c>
      <c r="B148">
        <f t="shared" si="38"/>
        <v>0</v>
      </c>
      <c r="C148">
        <f t="shared" si="39"/>
        <v>0</v>
      </c>
      <c r="D148">
        <f t="shared" si="39"/>
        <v>0</v>
      </c>
      <c r="E148">
        <f t="shared" si="39"/>
        <v>0</v>
      </c>
      <c r="F148">
        <f t="shared" si="35"/>
        <v>0</v>
      </c>
      <c r="G148">
        <f t="shared" si="35"/>
        <v>0</v>
      </c>
      <c r="H148">
        <f t="shared" si="35"/>
        <v>0</v>
      </c>
      <c r="I148">
        <f t="shared" si="35"/>
        <v>0</v>
      </c>
      <c r="J148">
        <f t="shared" si="35"/>
        <v>0</v>
      </c>
      <c r="K148">
        <f t="shared" si="35"/>
        <v>0</v>
      </c>
      <c r="L148">
        <f t="shared" si="35"/>
        <v>0</v>
      </c>
      <c r="M148">
        <f t="shared" si="36"/>
        <v>0</v>
      </c>
      <c r="N148" t="e">
        <f t="shared" si="37"/>
        <v>#REF!</v>
      </c>
    </row>
    <row r="149" spans="1:14" x14ac:dyDescent="0.25">
      <c r="A149">
        <f t="shared" si="28"/>
        <v>390000000000</v>
      </c>
      <c r="B149">
        <f t="shared" si="38"/>
        <v>0</v>
      </c>
      <c r="C149">
        <f t="shared" si="39"/>
        <v>0</v>
      </c>
      <c r="D149">
        <f t="shared" si="39"/>
        <v>0</v>
      </c>
      <c r="E149">
        <f t="shared" si="39"/>
        <v>0</v>
      </c>
      <c r="F149">
        <f t="shared" si="35"/>
        <v>0</v>
      </c>
      <c r="G149">
        <f t="shared" si="35"/>
        <v>0</v>
      </c>
      <c r="H149">
        <f t="shared" si="35"/>
        <v>0</v>
      </c>
      <c r="I149">
        <f t="shared" si="35"/>
        <v>0</v>
      </c>
      <c r="J149">
        <f t="shared" si="35"/>
        <v>0</v>
      </c>
      <c r="K149">
        <f t="shared" si="35"/>
        <v>0</v>
      </c>
      <c r="L149">
        <f t="shared" si="35"/>
        <v>0</v>
      </c>
      <c r="M149">
        <f t="shared" si="36"/>
        <v>0</v>
      </c>
      <c r="N149" t="e">
        <f t="shared" si="37"/>
        <v>#REF!</v>
      </c>
    </row>
    <row r="150" spans="1:14" x14ac:dyDescent="0.25">
      <c r="A150">
        <f t="shared" si="28"/>
        <v>470000000000</v>
      </c>
      <c r="B150">
        <f t="shared" si="38"/>
        <v>0</v>
      </c>
      <c r="C150">
        <f t="shared" si="39"/>
        <v>0</v>
      </c>
      <c r="D150">
        <f t="shared" si="39"/>
        <v>0</v>
      </c>
      <c r="E150">
        <f t="shared" si="39"/>
        <v>0</v>
      </c>
      <c r="F150">
        <f t="shared" si="35"/>
        <v>0</v>
      </c>
      <c r="G150">
        <f t="shared" si="35"/>
        <v>0</v>
      </c>
      <c r="H150">
        <f t="shared" si="35"/>
        <v>0</v>
      </c>
      <c r="I150">
        <f t="shared" si="35"/>
        <v>0</v>
      </c>
      <c r="J150">
        <f t="shared" si="35"/>
        <v>0</v>
      </c>
      <c r="K150">
        <f t="shared" si="35"/>
        <v>0</v>
      </c>
      <c r="L150">
        <f t="shared" si="35"/>
        <v>0</v>
      </c>
      <c r="M150">
        <f t="shared" si="36"/>
        <v>0</v>
      </c>
      <c r="N150" t="e">
        <f t="shared" si="37"/>
        <v>#REF!</v>
      </c>
    </row>
    <row r="151" spans="1:14" x14ac:dyDescent="0.25">
      <c r="A151">
        <f t="shared" si="28"/>
        <v>560000000000</v>
      </c>
      <c r="B151">
        <f t="shared" si="38"/>
        <v>0</v>
      </c>
      <c r="C151">
        <f t="shared" si="39"/>
        <v>0</v>
      </c>
      <c r="D151">
        <f t="shared" si="39"/>
        <v>0</v>
      </c>
      <c r="E151">
        <f t="shared" si="39"/>
        <v>0</v>
      </c>
      <c r="F151">
        <f t="shared" si="35"/>
        <v>0</v>
      </c>
      <c r="G151">
        <f t="shared" si="35"/>
        <v>0</v>
      </c>
      <c r="H151">
        <f t="shared" si="35"/>
        <v>0</v>
      </c>
      <c r="I151">
        <f t="shared" si="35"/>
        <v>0</v>
      </c>
      <c r="J151">
        <f t="shared" si="35"/>
        <v>0</v>
      </c>
      <c r="K151">
        <f t="shared" si="35"/>
        <v>0</v>
      </c>
      <c r="L151">
        <f t="shared" si="35"/>
        <v>0</v>
      </c>
      <c r="M151">
        <f t="shared" si="36"/>
        <v>0</v>
      </c>
      <c r="N151" t="e">
        <f t="shared" si="37"/>
        <v>#REF!</v>
      </c>
    </row>
    <row r="152" spans="1:14" x14ac:dyDescent="0.25">
      <c r="A152">
        <f t="shared" si="28"/>
        <v>680000000000</v>
      </c>
      <c r="B152">
        <f t="shared" si="38"/>
        <v>0</v>
      </c>
      <c r="C152">
        <f t="shared" si="39"/>
        <v>0</v>
      </c>
      <c r="D152">
        <f t="shared" si="39"/>
        <v>0</v>
      </c>
      <c r="E152">
        <f t="shared" si="39"/>
        <v>0</v>
      </c>
      <c r="F152">
        <f t="shared" si="35"/>
        <v>0</v>
      </c>
      <c r="G152">
        <f t="shared" si="35"/>
        <v>0</v>
      </c>
      <c r="H152">
        <f t="shared" si="35"/>
        <v>0</v>
      </c>
      <c r="I152">
        <f t="shared" si="35"/>
        <v>0</v>
      </c>
      <c r="J152">
        <f t="shared" si="35"/>
        <v>0</v>
      </c>
      <c r="K152">
        <f t="shared" si="35"/>
        <v>0</v>
      </c>
      <c r="L152">
        <f t="shared" si="35"/>
        <v>0</v>
      </c>
      <c r="M152">
        <f t="shared" si="36"/>
        <v>0</v>
      </c>
      <c r="N152" t="e">
        <f t="shared" si="37"/>
        <v>#REF!</v>
      </c>
    </row>
    <row r="153" spans="1:14" x14ac:dyDescent="0.25">
      <c r="A153">
        <f t="shared" si="28"/>
        <v>820000000000</v>
      </c>
      <c r="B153">
        <f t="shared" si="38"/>
        <v>0</v>
      </c>
      <c r="C153">
        <f t="shared" si="39"/>
        <v>0</v>
      </c>
      <c r="D153">
        <f t="shared" si="39"/>
        <v>0</v>
      </c>
      <c r="E153">
        <f t="shared" si="39"/>
        <v>0</v>
      </c>
      <c r="F153">
        <f t="shared" si="35"/>
        <v>0</v>
      </c>
      <c r="G153">
        <f t="shared" si="35"/>
        <v>0</v>
      </c>
      <c r="H153">
        <f t="shared" si="35"/>
        <v>0</v>
      </c>
      <c r="I153">
        <f t="shared" si="35"/>
        <v>0</v>
      </c>
      <c r="J153">
        <f t="shared" si="35"/>
        <v>0</v>
      </c>
      <c r="K153">
        <f t="shared" si="35"/>
        <v>0</v>
      </c>
      <c r="L153">
        <f t="shared" si="35"/>
        <v>0</v>
      </c>
      <c r="M153">
        <f t="shared" si="36"/>
        <v>0</v>
      </c>
      <c r="N153" t="e">
        <f t="shared" si="37"/>
        <v>#REF!</v>
      </c>
    </row>
    <row r="154" spans="1:14" x14ac:dyDescent="0.25">
      <c r="A154">
        <f t="shared" si="28"/>
        <v>1000000000000</v>
      </c>
      <c r="B154">
        <f t="shared" si="38"/>
        <v>0</v>
      </c>
      <c r="C154">
        <f t="shared" si="39"/>
        <v>0</v>
      </c>
      <c r="D154">
        <f t="shared" si="39"/>
        <v>0</v>
      </c>
      <c r="E154">
        <f t="shared" si="39"/>
        <v>0</v>
      </c>
      <c r="F154">
        <f t="shared" si="35"/>
        <v>0</v>
      </c>
      <c r="G154">
        <f t="shared" si="35"/>
        <v>0</v>
      </c>
      <c r="H154">
        <f t="shared" si="35"/>
        <v>0</v>
      </c>
      <c r="I154">
        <f t="shared" si="35"/>
        <v>0</v>
      </c>
      <c r="J154">
        <f t="shared" si="35"/>
        <v>0</v>
      </c>
      <c r="K154">
        <f t="shared" si="35"/>
        <v>0</v>
      </c>
      <c r="L154">
        <f t="shared" si="35"/>
        <v>0</v>
      </c>
      <c r="M154">
        <f t="shared" si="36"/>
        <v>0</v>
      </c>
      <c r="N154" t="e">
        <f t="shared" si="37"/>
        <v>#REF!</v>
      </c>
    </row>
    <row r="155" spans="1:14" x14ac:dyDescent="0.25">
      <c r="A155">
        <f t="shared" si="28"/>
        <v>1200000000000</v>
      </c>
      <c r="B155">
        <f t="shared" si="38"/>
        <v>0</v>
      </c>
      <c r="C155">
        <f t="shared" si="39"/>
        <v>0</v>
      </c>
      <c r="D155">
        <f t="shared" si="39"/>
        <v>0</v>
      </c>
      <c r="E155">
        <f t="shared" si="39"/>
        <v>0</v>
      </c>
      <c r="F155">
        <f t="shared" si="35"/>
        <v>0</v>
      </c>
      <c r="G155">
        <f t="shared" si="35"/>
        <v>0</v>
      </c>
      <c r="H155">
        <f t="shared" si="35"/>
        <v>0</v>
      </c>
      <c r="I155">
        <f t="shared" si="35"/>
        <v>0</v>
      </c>
      <c r="J155">
        <f t="shared" si="35"/>
        <v>0</v>
      </c>
      <c r="K155">
        <f t="shared" si="35"/>
        <v>0</v>
      </c>
      <c r="L155">
        <f t="shared" si="35"/>
        <v>0</v>
      </c>
      <c r="M155">
        <f t="shared" si="36"/>
        <v>0</v>
      </c>
      <c r="N155" t="e">
        <f t="shared" si="37"/>
        <v>#REF!</v>
      </c>
    </row>
    <row r="156" spans="1:14" x14ac:dyDescent="0.25">
      <c r="A156">
        <f t="shared" si="28"/>
        <v>1500000000000</v>
      </c>
      <c r="B156">
        <f t="shared" si="38"/>
        <v>0</v>
      </c>
      <c r="C156">
        <f t="shared" si="39"/>
        <v>0</v>
      </c>
      <c r="D156">
        <f t="shared" si="39"/>
        <v>0</v>
      </c>
      <c r="E156">
        <f t="shared" si="39"/>
        <v>0</v>
      </c>
      <c r="F156">
        <f t="shared" si="35"/>
        <v>0</v>
      </c>
      <c r="G156">
        <f t="shared" si="35"/>
        <v>0</v>
      </c>
      <c r="H156">
        <f t="shared" si="35"/>
        <v>0</v>
      </c>
      <c r="I156">
        <f t="shared" si="35"/>
        <v>0</v>
      </c>
      <c r="J156">
        <f t="shared" si="35"/>
        <v>0</v>
      </c>
      <c r="K156">
        <f t="shared" si="35"/>
        <v>0</v>
      </c>
      <c r="L156">
        <f t="shared" si="35"/>
        <v>0</v>
      </c>
      <c r="M156">
        <f t="shared" si="36"/>
        <v>0</v>
      </c>
      <c r="N156" t="e">
        <f t="shared" si="37"/>
        <v>#REF!</v>
      </c>
    </row>
    <row r="157" spans="1:14" x14ac:dyDescent="0.25">
      <c r="A157">
        <f t="shared" si="28"/>
        <v>1800000000000</v>
      </c>
      <c r="B157">
        <f t="shared" si="38"/>
        <v>0</v>
      </c>
      <c r="C157">
        <f t="shared" si="39"/>
        <v>0</v>
      </c>
      <c r="D157">
        <f t="shared" si="39"/>
        <v>0</v>
      </c>
      <c r="E157">
        <f t="shared" si="39"/>
        <v>0</v>
      </c>
      <c r="F157">
        <f t="shared" si="35"/>
        <v>0</v>
      </c>
      <c r="G157">
        <f t="shared" si="35"/>
        <v>0</v>
      </c>
      <c r="H157">
        <f t="shared" si="35"/>
        <v>0</v>
      </c>
      <c r="I157">
        <f t="shared" si="35"/>
        <v>0</v>
      </c>
      <c r="J157">
        <f t="shared" si="35"/>
        <v>0</v>
      </c>
      <c r="K157">
        <f t="shared" si="35"/>
        <v>0</v>
      </c>
      <c r="L157">
        <f t="shared" si="35"/>
        <v>0</v>
      </c>
      <c r="M157">
        <f t="shared" si="36"/>
        <v>0</v>
      </c>
      <c r="N157" t="e">
        <f t="shared" si="37"/>
        <v>#REF!</v>
      </c>
    </row>
    <row r="158" spans="1:14" x14ac:dyDescent="0.25">
      <c r="A158">
        <f t="shared" si="28"/>
        <v>2200000000000</v>
      </c>
      <c r="B158">
        <f t="shared" si="38"/>
        <v>0</v>
      </c>
      <c r="C158">
        <f t="shared" si="39"/>
        <v>0</v>
      </c>
      <c r="D158">
        <f t="shared" si="39"/>
        <v>0</v>
      </c>
      <c r="E158">
        <f t="shared" si="39"/>
        <v>0</v>
      </c>
      <c r="F158">
        <f t="shared" si="35"/>
        <v>0</v>
      </c>
      <c r="G158">
        <f t="shared" si="35"/>
        <v>0</v>
      </c>
      <c r="H158">
        <f t="shared" si="35"/>
        <v>0</v>
      </c>
      <c r="I158">
        <f t="shared" si="35"/>
        <v>0</v>
      </c>
      <c r="J158">
        <f t="shared" si="35"/>
        <v>0</v>
      </c>
      <c r="K158">
        <f t="shared" si="35"/>
        <v>0</v>
      </c>
      <c r="L158">
        <f t="shared" si="35"/>
        <v>0</v>
      </c>
      <c r="M158">
        <f t="shared" si="36"/>
        <v>0</v>
      </c>
      <c r="N158" t="e">
        <f t="shared" si="37"/>
        <v>#REF!</v>
      </c>
    </row>
    <row r="159" spans="1:14" x14ac:dyDescent="0.25">
      <c r="A159" s="53">
        <f t="shared" si="28"/>
        <v>2700000000000</v>
      </c>
      <c r="B159">
        <f t="shared" si="38"/>
        <v>2700000000000</v>
      </c>
      <c r="C159">
        <f t="shared" si="39"/>
        <v>2700000000000</v>
      </c>
      <c r="D159">
        <f t="shared" si="39"/>
        <v>2700000000000</v>
      </c>
      <c r="E159">
        <f t="shared" si="39"/>
        <v>2700000000000</v>
      </c>
      <c r="F159">
        <f t="shared" si="35"/>
        <v>2700000000000</v>
      </c>
      <c r="G159">
        <f t="shared" si="35"/>
        <v>2700000000000</v>
      </c>
      <c r="H159">
        <f t="shared" si="35"/>
        <v>2700000000000</v>
      </c>
      <c r="I159">
        <f t="shared" si="35"/>
        <v>2700000000000</v>
      </c>
      <c r="J159">
        <f t="shared" si="35"/>
        <v>2700000000000</v>
      </c>
      <c r="K159">
        <f t="shared" si="35"/>
        <v>0</v>
      </c>
      <c r="L159">
        <f t="shared" si="35"/>
        <v>2700000000000</v>
      </c>
      <c r="M159">
        <f t="shared" si="36"/>
        <v>2700000000000</v>
      </c>
      <c r="N159" t="e">
        <f t="shared" si="37"/>
        <v>#REF!</v>
      </c>
    </row>
  </sheetData>
  <phoneticPr fontId="5"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CC692"/>
  <sheetViews>
    <sheetView topLeftCell="A663" workbookViewId="0">
      <selection activeCell="B691" sqref="B691:B692"/>
    </sheetView>
  </sheetViews>
  <sheetFormatPr defaultRowHeight="13.2" x14ac:dyDescent="0.25"/>
  <cols>
    <col min="1" max="1" width="10.44140625" customWidth="1"/>
    <col min="2" max="2" width="10" bestFit="1" customWidth="1"/>
    <col min="4" max="4" width="12.44140625" bestFit="1" customWidth="1"/>
    <col min="7" max="7" width="11.109375" customWidth="1"/>
    <col min="8" max="8" width="13.109375" bestFit="1" customWidth="1"/>
    <col min="13" max="14" width="12.44140625" bestFit="1" customWidth="1"/>
    <col min="16" max="16" width="12.44140625" bestFit="1" customWidth="1"/>
    <col min="18" max="18" width="13.109375" bestFit="1" customWidth="1"/>
    <col min="20" max="20" width="13.109375" bestFit="1" customWidth="1"/>
    <col min="22" max="22" width="13.109375" bestFit="1" customWidth="1"/>
    <col min="24" max="24" width="13.88671875" bestFit="1" customWidth="1"/>
    <col min="25" max="25" width="12.5546875" bestFit="1" customWidth="1"/>
    <col min="26" max="26" width="12.44140625" bestFit="1" customWidth="1"/>
    <col min="28" max="28" width="3.109375" style="6" customWidth="1"/>
    <col min="29" max="32" width="8.5546875" customWidth="1"/>
    <col min="33" max="33" width="13.109375" bestFit="1" customWidth="1"/>
    <col min="34" max="34" width="9.5546875" bestFit="1" customWidth="1"/>
    <col min="35" max="35" width="10" bestFit="1" customWidth="1"/>
    <col min="36" max="39" width="8.88671875" customWidth="1"/>
    <col min="43" max="43" width="12.44140625" bestFit="1" customWidth="1"/>
    <col min="45" max="46" width="12.44140625" bestFit="1" customWidth="1"/>
    <col min="47" max="47" width="13.109375" bestFit="1" customWidth="1"/>
    <col min="49" max="49" width="13.109375" bestFit="1" customWidth="1"/>
    <col min="50" max="50" width="11" bestFit="1" customWidth="1"/>
    <col min="54" max="54" width="12.44140625" customWidth="1"/>
    <col min="55" max="55" width="10.109375" customWidth="1"/>
    <col min="58" max="58" width="11" customWidth="1"/>
    <col min="59" max="59" width="13" customWidth="1"/>
    <col min="60" max="60" width="16.88671875" customWidth="1"/>
    <col min="62" max="62" width="12.33203125" customWidth="1"/>
    <col min="66" max="66" width="13.109375" bestFit="1" customWidth="1"/>
    <col min="72" max="72" width="10.5546875" customWidth="1"/>
  </cols>
  <sheetData>
    <row r="1" spans="1:81" ht="38.25" customHeight="1" x14ac:dyDescent="0.4">
      <c r="A1" s="564" t="s">
        <v>45</v>
      </c>
      <c r="B1" s="564"/>
      <c r="C1" s="564"/>
      <c r="D1" s="564"/>
      <c r="E1" s="564"/>
      <c r="F1" s="564"/>
      <c r="G1" s="564"/>
      <c r="AC1" s="8" t="s">
        <v>106</v>
      </c>
      <c r="AD1" s="5"/>
      <c r="AE1" s="5"/>
      <c r="AF1" s="5"/>
      <c r="AG1" s="5"/>
    </row>
    <row r="3" spans="1:81" x14ac:dyDescent="0.25">
      <c r="AT3">
        <f>AT9/10000000000000</f>
        <v>-5.7805000077788327E-5</v>
      </c>
      <c r="AU3">
        <f>AU9/10000000000000</f>
        <v>-3.3019582217064428E-2</v>
      </c>
    </row>
    <row r="4" spans="1:81" x14ac:dyDescent="0.25">
      <c r="AT4">
        <f>AT3*1000</f>
        <v>-5.7805000077788327E-2</v>
      </c>
      <c r="AU4">
        <f>AU3*1000</f>
        <v>-33.019582217064425</v>
      </c>
      <c r="BJ4" s="5" t="s">
        <v>111</v>
      </c>
      <c r="BK4" s="5"/>
    </row>
    <row r="5" spans="1:81" x14ac:dyDescent="0.25">
      <c r="AC5" t="s">
        <v>93</v>
      </c>
      <c r="AD5" t="s">
        <v>94</v>
      </c>
      <c r="AE5" t="s">
        <v>95</v>
      </c>
      <c r="AF5" t="s">
        <v>96</v>
      </c>
      <c r="AJ5" t="s">
        <v>93</v>
      </c>
      <c r="AK5" t="s">
        <v>94</v>
      </c>
      <c r="AL5" t="s">
        <v>95</v>
      </c>
      <c r="AM5" t="s">
        <v>96</v>
      </c>
      <c r="BJ5" t="s">
        <v>84</v>
      </c>
      <c r="BK5">
        <f>SUM(BJ9:BJ626)/1000</f>
        <v>32.5</v>
      </c>
    </row>
    <row r="6" spans="1:81" x14ac:dyDescent="0.25">
      <c r="C6" s="565" t="s">
        <v>46</v>
      </c>
      <c r="D6" s="565"/>
      <c r="E6" s="565"/>
      <c r="F6" s="565"/>
      <c r="G6" s="565"/>
      <c r="H6" s="565"/>
      <c r="J6" s="7" t="s">
        <v>76</v>
      </c>
      <c r="M6" s="7" t="s">
        <v>37</v>
      </c>
      <c r="N6" s="5"/>
      <c r="O6" s="5"/>
      <c r="P6" s="5"/>
      <c r="Q6" s="5"/>
      <c r="R6" s="5"/>
      <c r="S6" s="5"/>
      <c r="T6" s="5"/>
      <c r="U6" s="5"/>
      <c r="V6" s="5"/>
      <c r="X6" s="7" t="s">
        <v>105</v>
      </c>
      <c r="Y6" s="5"/>
      <c r="Z6" s="5"/>
      <c r="AC6" s="5" t="s">
        <v>86</v>
      </c>
      <c r="AD6" s="5"/>
      <c r="AE6" s="5"/>
      <c r="AF6" s="5"/>
      <c r="AG6" s="5"/>
      <c r="AH6" s="5"/>
      <c r="AJ6" s="5" t="s">
        <v>87</v>
      </c>
      <c r="AK6" s="5"/>
      <c r="AL6" s="5"/>
      <c r="AM6" s="5"/>
      <c r="AN6" s="5"/>
      <c r="AO6" s="5"/>
      <c r="AQ6" s="5" t="s">
        <v>107</v>
      </c>
      <c r="AR6" s="5"/>
      <c r="AT6" s="5" t="s">
        <v>108</v>
      </c>
      <c r="AU6" s="5"/>
      <c r="AV6" s="5"/>
      <c r="AW6" s="5"/>
      <c r="AX6" s="5"/>
      <c r="AY6" s="5"/>
      <c r="BA6" s="5" t="s">
        <v>109</v>
      </c>
      <c r="BB6" s="5"/>
      <c r="BC6" s="5"/>
      <c r="BF6" s="5" t="s">
        <v>334</v>
      </c>
      <c r="BG6" s="5"/>
      <c r="BH6" s="5"/>
      <c r="BJ6" t="s">
        <v>85</v>
      </c>
      <c r="BK6" s="4">
        <f>SUM(BK10:BK627)</f>
        <v>64.949019486319244</v>
      </c>
      <c r="BM6" s="5" t="s">
        <v>335</v>
      </c>
      <c r="BN6" s="5"/>
      <c r="BU6" s="2"/>
    </row>
    <row r="7" spans="1:81" x14ac:dyDescent="0.25">
      <c r="A7" s="2"/>
      <c r="B7" s="2"/>
      <c r="C7" s="2" t="s">
        <v>47</v>
      </c>
      <c r="D7" s="2"/>
      <c r="E7" s="2"/>
      <c r="F7" s="2" t="s">
        <v>48</v>
      </c>
      <c r="G7" s="2"/>
      <c r="H7" s="2"/>
      <c r="I7" s="2"/>
      <c r="J7" s="2"/>
      <c r="M7" s="562" t="s">
        <v>50</v>
      </c>
      <c r="N7" s="562"/>
      <c r="O7" s="562" t="s">
        <v>64</v>
      </c>
      <c r="P7" s="562"/>
      <c r="Q7" s="562" t="s">
        <v>65</v>
      </c>
      <c r="R7" s="562"/>
      <c r="S7" s="562" t="s">
        <v>66</v>
      </c>
      <c r="T7" s="562"/>
      <c r="U7" s="562" t="s">
        <v>67</v>
      </c>
      <c r="V7" s="562"/>
      <c r="AC7" t="s">
        <v>90</v>
      </c>
      <c r="AE7" t="s">
        <v>91</v>
      </c>
      <c r="AG7" t="s">
        <v>92</v>
      </c>
      <c r="AJ7" t="s">
        <v>90</v>
      </c>
      <c r="AL7" t="s">
        <v>91</v>
      </c>
      <c r="AN7" t="s">
        <v>92</v>
      </c>
      <c r="AQ7" t="s">
        <v>83</v>
      </c>
      <c r="AT7" t="s">
        <v>90</v>
      </c>
      <c r="AW7" t="s">
        <v>91</v>
      </c>
      <c r="BU7" s="2"/>
    </row>
    <row r="8" spans="1:81" x14ac:dyDescent="0.25">
      <c r="A8" s="2" t="s">
        <v>44</v>
      </c>
      <c r="B8" s="2"/>
      <c r="C8" s="2" t="s">
        <v>68</v>
      </c>
      <c r="D8" s="2" t="s">
        <v>69</v>
      </c>
      <c r="E8" s="2"/>
      <c r="F8" s="2" t="s">
        <v>68</v>
      </c>
      <c r="G8" s="2"/>
      <c r="H8" s="2" t="s">
        <v>69</v>
      </c>
      <c r="I8" s="2"/>
      <c r="J8" s="2" t="s">
        <v>68</v>
      </c>
      <c r="M8" s="2" t="s">
        <v>68</v>
      </c>
      <c r="N8" s="2" t="s">
        <v>69</v>
      </c>
      <c r="O8" s="2" t="s">
        <v>68</v>
      </c>
      <c r="P8" s="2" t="s">
        <v>69</v>
      </c>
      <c r="Q8" s="2" t="s">
        <v>68</v>
      </c>
      <c r="R8" s="2" t="s">
        <v>69</v>
      </c>
      <c r="S8" s="2" t="s">
        <v>68</v>
      </c>
      <c r="T8" s="2" t="s">
        <v>69</v>
      </c>
      <c r="U8" s="2" t="s">
        <v>68</v>
      </c>
      <c r="V8" s="2" t="s">
        <v>69</v>
      </c>
      <c r="X8" s="2" t="s">
        <v>71</v>
      </c>
      <c r="Y8" s="2" t="s">
        <v>72</v>
      </c>
      <c r="Z8" s="2" t="s">
        <v>73</v>
      </c>
      <c r="AC8" t="s">
        <v>88</v>
      </c>
      <c r="AD8" t="s">
        <v>89</v>
      </c>
      <c r="AE8" t="s">
        <v>88</v>
      </c>
      <c r="AF8" t="s">
        <v>89</v>
      </c>
      <c r="AG8" t="s">
        <v>97</v>
      </c>
      <c r="AH8" t="s">
        <v>98</v>
      </c>
      <c r="AJ8" t="s">
        <v>88</v>
      </c>
      <c r="AK8" t="s">
        <v>89</v>
      </c>
      <c r="AL8" t="s">
        <v>88</v>
      </c>
      <c r="AM8" t="s">
        <v>89</v>
      </c>
      <c r="AN8" t="s">
        <v>100</v>
      </c>
      <c r="AO8" t="s">
        <v>99</v>
      </c>
      <c r="AQ8" t="s">
        <v>88</v>
      </c>
      <c r="AR8" t="s">
        <v>89</v>
      </c>
      <c r="AT8" t="s">
        <v>88</v>
      </c>
      <c r="AU8" t="s">
        <v>89</v>
      </c>
      <c r="AV8" t="s">
        <v>69</v>
      </c>
      <c r="AW8" t="s">
        <v>88</v>
      </c>
      <c r="AX8" t="s">
        <v>89</v>
      </c>
      <c r="AY8" t="s">
        <v>69</v>
      </c>
      <c r="BA8" t="s">
        <v>101</v>
      </c>
      <c r="BB8" t="s">
        <v>103</v>
      </c>
      <c r="BC8" t="s">
        <v>102</v>
      </c>
      <c r="BF8" t="s">
        <v>71</v>
      </c>
      <c r="BG8" t="s">
        <v>72</v>
      </c>
      <c r="BH8" t="s">
        <v>104</v>
      </c>
      <c r="BM8" t="s">
        <v>71</v>
      </c>
      <c r="BN8" t="s">
        <v>336</v>
      </c>
      <c r="BQ8" s="2"/>
      <c r="BR8" s="2"/>
      <c r="BS8" s="2"/>
      <c r="BT8" t="s">
        <v>342</v>
      </c>
      <c r="BY8" s="2"/>
      <c r="BZ8" s="2"/>
      <c r="CA8" s="2"/>
      <c r="CB8" s="2"/>
    </row>
    <row r="9" spans="1:81" x14ac:dyDescent="0.25">
      <c r="A9">
        <v>1</v>
      </c>
      <c r="B9">
        <f>A9/1000</f>
        <v>1E-3</v>
      </c>
      <c r="C9">
        <f t="shared" ref="C9:C72" si="0">SQRT((A9/Fesr)^2+1)</f>
        <v>1.0000000000343936</v>
      </c>
      <c r="D9">
        <f t="shared" ref="D9:D72" si="1">ATAN(A9/Fesr)</f>
        <v>8.2938045958098321E-6</v>
      </c>
      <c r="F9">
        <f t="shared" ref="F9:F72" si="2">(Ro/(Ro+Rdcr))/SQRT((A9/(Q*Fo))^2+(1-(A9^2/Fo^2))^2)</f>
        <v>0.99415189459635123</v>
      </c>
      <c r="G9">
        <f t="shared" ref="G9:G72" si="3">-ATAN(A9*Fo/(Q*(Fo^2-A9^2)))</f>
        <v>-6.6798995932206923E-5</v>
      </c>
      <c r="H9">
        <f t="shared" ref="H9:H72" si="4">IF(G9&gt;0,G9-Pi,G9)</f>
        <v>-6.6798995932206923E-5</v>
      </c>
      <c r="J9">
        <f t="shared" ref="J9:J72" si="5">Vin/Vramp</f>
        <v>15</v>
      </c>
      <c r="M9">
        <f t="shared" ref="M9:M72" si="6">1/(2*Pi*_Rfb1*(Cc1ea_u+Cc2ea_u)*A9)</f>
        <v>1494.1039717030883</v>
      </c>
      <c r="N9">
        <f t="shared" ref="N9:N72" si="7">-Pi/2</f>
        <v>-1.5707963250000001</v>
      </c>
      <c r="O9">
        <f t="shared" ref="O9:O72" si="8">SQRT(1+(A9/Fz1_u)^2)</f>
        <v>1.000000032701015</v>
      </c>
      <c r="P9">
        <f t="shared" ref="P9:P72" si="9">ATAN2(Fz1_u,A9)</f>
        <v>2.5573820250533415E-4</v>
      </c>
      <c r="Q9">
        <f t="shared" ref="Q9:Q72" si="10">SQRT(1+(A9/Fz2_u)^2)</f>
        <v>1.000000023425182</v>
      </c>
      <c r="R9">
        <f t="shared" ref="R9:R72" si="11">ATAN2(Fz2_u,A9)</f>
        <v>2.1644944701945489E-4</v>
      </c>
      <c r="S9">
        <f t="shared" ref="S9:S72" si="12">1/SQRT(1+(A9/Fp1_u)^2)</f>
        <v>0.99999999996669198</v>
      </c>
      <c r="T9">
        <f t="shared" ref="T9:T72" si="13">-ATAN2(Fp1_u,A9)</f>
        <v>-8.1618577045187641E-6</v>
      </c>
      <c r="U9">
        <f t="shared" ref="U9:U72" si="14">1/SQRT(1+(A9/Fp2_u)^2)</f>
        <v>0.9999999999797311</v>
      </c>
      <c r="V9">
        <f t="shared" ref="V9:V72" si="15">-ATAN2(Fp2_u,A9)</f>
        <v>-6.3669263421695667E-6</v>
      </c>
      <c r="X9">
        <f>20*LOG(C9*J9*O9*Q9*F9*M9*S9*U9)</f>
        <v>86.958496962801178</v>
      </c>
      <c r="Y9">
        <f t="shared" ref="Y9:Y72" si="16">(180/Pi)*(D9+H9+N9+P9+R9+T9+V9)</f>
        <v>-89.977130179068411</v>
      </c>
      <c r="Z9">
        <f>Y9+180</f>
        <v>90.022869820931589</v>
      </c>
      <c r="AC9">
        <v>1</v>
      </c>
      <c r="AD9">
        <f t="shared" ref="AD9:AD72" si="17">Rcea1_u*Cc1ea_u*A9*2*Pi</f>
        <v>2.5573820808059999E-4</v>
      </c>
      <c r="AE9">
        <f t="shared" ref="AE9:AE72" si="18">-Rcea1_u*Cc1ea_u*Cc2ea_u*(A9*2*Pi)^2</f>
        <v>-1.9282206595924409E-13</v>
      </c>
      <c r="AF9">
        <f t="shared" ref="AF9:AF72" si="19">(Cc2ea_u+Cc1ea_u)*A9*2*Pi</f>
        <v>3.0284953145999996E-8</v>
      </c>
      <c r="AG9">
        <f>AC9*AE9/(AE9^2+AF9^2)+AD9*AF9/(AE9^2+AF9^2)</f>
        <v>8234.1643563405069</v>
      </c>
      <c r="AH9">
        <f>AD9*AE9/(AE9^2+AF9^2)-AC9*AF9/(AE9^2+AF9^2)</f>
        <v>-33019697.827064574</v>
      </c>
      <c r="AI9">
        <f>SQRT(AG9^2+AH9^2)</f>
        <v>33019698.853746615</v>
      </c>
      <c r="AJ9">
        <f t="shared" ref="AJ9:AJ72" si="20">_Rfb1</f>
        <v>22100</v>
      </c>
      <c r="AK9">
        <f t="shared" ref="AK9:AK72" si="21">_Rfb1*Rcea2_u*Cc3ea_u*A9*2*Pi</f>
        <v>0.18037705527387002</v>
      </c>
      <c r="AL9">
        <v>1</v>
      </c>
      <c r="AM9">
        <f t="shared" ref="AM9:AM72" si="22">(_Rfb1+Rcea2_u)*Cc3ea_u*A9*2*Pi</f>
        <v>2.1644945039970003E-4</v>
      </c>
      <c r="AN9">
        <f>AJ9*AL9/(AL9^2+AM9^2)+AK9*AM9/(AL9^2+AM9^2)</f>
        <v>22099.999003649507</v>
      </c>
      <c r="AO9">
        <f>AK9*AL9/(AL9^2+AM9^2)-AJ9*AM9/(AL9^2+AM9^2)</f>
        <v>-4.6031555828999835</v>
      </c>
      <c r="AP9" s="51">
        <f>SQRT(AN9^2+AO9^2)</f>
        <v>22099.999483039599</v>
      </c>
      <c r="AQ9">
        <f t="shared" ref="AQ9:AQ72" si="23">Eadcg/(1+(Eadcg*A9/GBP)^2)</f>
        <v>9999.9600001600011</v>
      </c>
      <c r="AR9">
        <f t="shared" ref="AR9:AR72" si="24">-(A9*Eadcg*Eadcg/GBP)/(1+(Eadcg*A9/GBP)^2)</f>
        <v>-19.99992000032</v>
      </c>
      <c r="AT9">
        <f>-AR9*AH9+AG9*AQ9</f>
        <v>-578050000.77788329</v>
      </c>
      <c r="AU9">
        <f>AQ9*AH9+AG9*AR9</f>
        <v>-330195822170.64429</v>
      </c>
      <c r="AV9">
        <f>ATAN2(AT9,AU9)</f>
        <v>-1.572546952852073</v>
      </c>
      <c r="AW9">
        <f t="shared" ref="AW9:AW73" si="25">AG9-AH9*AO9/_Rfb2+AG9*AN9/_Rfb2+AN9-AO9*AR9+AQ9*AN9</f>
        <v>221036639.70946538</v>
      </c>
      <c r="AX9">
        <f t="shared" ref="AX9:AX73" si="26">AH9+AH9*AN9/_Rfb2+AG9*AO9/_Rfb2+AO9+AO9*AQ9+AN9*AR9</f>
        <v>-210988609.05149928</v>
      </c>
      <c r="AY9">
        <f>ATAN2(AW9,AX9)</f>
        <v>-0.76214438481987434</v>
      </c>
      <c r="BA9">
        <f t="shared" ref="BA9:BA72" si="27">SQRT(AT9^2+AU9^2)/SQRT(AW9^2+AX9^2)</f>
        <v>1080.5893377320797</v>
      </c>
      <c r="BB9" s="51">
        <f>20*LOG(BA9)</f>
        <v>60.673213560066365</v>
      </c>
      <c r="BC9">
        <f>AV9-AY9</f>
        <v>-0.81040256803219868</v>
      </c>
      <c r="BD9">
        <f t="shared" ref="BD9:BD72" si="28">BC9*180/Pi-180</f>
        <v>-226.43264690786557</v>
      </c>
      <c r="BF9">
        <f t="shared" ref="BF9:BF72" si="29">20*LOG(BA9*J9*F9*C9)</f>
        <v>84.14409363154337</v>
      </c>
      <c r="BG9">
        <f t="shared" ref="BG9:BG72" si="30">(180/Pi)*(D9+H9+BC9)</f>
        <v>-46.435999008412594</v>
      </c>
      <c r="BH9">
        <f>IF(BG9&gt;180,BG9-180,BG9+180)</f>
        <v>133.56400099158742</v>
      </c>
      <c r="BI9">
        <f>IF(BH9&gt;180,BH9-360,BH9)</f>
        <v>133.56400099158742</v>
      </c>
      <c r="BJ9">
        <f t="shared" ref="BJ9:BJ72" si="31">SUM((BF10&lt;0)*(BF9&gt;0))*A9</f>
        <v>0</v>
      </c>
      <c r="BK9">
        <f>IF(BJ9&gt;0,BI9,0)</f>
        <v>0</v>
      </c>
      <c r="BM9">
        <f>20*LOG(J9*F9*C9)</f>
        <v>23.470880071477019</v>
      </c>
      <c r="BN9">
        <f t="shared" ref="BN9:BN72" si="32">(H9+D9)*180/Pi</f>
        <v>-3.3521005470112356E-3</v>
      </c>
      <c r="BQ9" s="56">
        <f>20*LOG(BA9*7)</f>
        <v>77.575174360351497</v>
      </c>
      <c r="BR9" s="56"/>
      <c r="BS9" s="56"/>
      <c r="BT9" s="56" t="s">
        <v>44</v>
      </c>
      <c r="BU9" s="56" t="s">
        <v>68</v>
      </c>
      <c r="BV9" s="56" t="s">
        <v>69</v>
      </c>
      <c r="BW9" s="56"/>
      <c r="BY9" s="56"/>
      <c r="BZ9" s="56"/>
      <c r="CA9" s="56"/>
      <c r="CC9" s="56"/>
    </row>
    <row r="10" spans="1:81" x14ac:dyDescent="0.25">
      <c r="A10">
        <v>2</v>
      </c>
      <c r="B10">
        <f t="shared" ref="B10:B73" si="33">A10/1000</f>
        <v>2E-3</v>
      </c>
      <c r="C10">
        <f t="shared" si="0"/>
        <v>1.0000000001375744</v>
      </c>
      <c r="D10">
        <f t="shared" si="1"/>
        <v>1.658760919047865E-5</v>
      </c>
      <c r="F10">
        <f t="shared" si="2"/>
        <v>0.99415200362595235</v>
      </c>
      <c r="G10">
        <f t="shared" si="3"/>
        <v>-1.3359800681429928E-4</v>
      </c>
      <c r="H10">
        <f t="shared" si="4"/>
        <v>-1.3359800681429928E-4</v>
      </c>
      <c r="J10">
        <f t="shared" si="5"/>
        <v>15</v>
      </c>
      <c r="M10">
        <f t="shared" si="6"/>
        <v>747.05198585154415</v>
      </c>
      <c r="N10">
        <f t="shared" si="7"/>
        <v>-1.5707963250000001</v>
      </c>
      <c r="O10">
        <f t="shared" si="8"/>
        <v>1.0000001308040536</v>
      </c>
      <c r="P10">
        <f t="shared" si="9"/>
        <v>5.1147637155907839E-4</v>
      </c>
      <c r="Q10">
        <f t="shared" si="10"/>
        <v>1.0000000937007247</v>
      </c>
      <c r="R10">
        <f t="shared" si="11"/>
        <v>4.3289887375744132E-4</v>
      </c>
      <c r="S10">
        <f t="shared" si="12"/>
        <v>0.99999999986676813</v>
      </c>
      <c r="T10">
        <f t="shared" si="13"/>
        <v>-1.6323715407950107E-5</v>
      </c>
      <c r="U10">
        <f t="shared" si="14"/>
        <v>0.99999999991892441</v>
      </c>
      <c r="V10">
        <f t="shared" si="15"/>
        <v>-1.2733852683822933E-5</v>
      </c>
      <c r="X10">
        <f t="shared" ref="X10:X73" si="34">20*LOG(C10*J10*O10*Q10*F10*M10*S10*U10)</f>
        <v>80.937899464129231</v>
      </c>
      <c r="Y10">
        <f t="shared" si="16"/>
        <v>-89.954260362072034</v>
      </c>
      <c r="Z10">
        <f t="shared" ref="Z10:Z73" si="35">Y10+180</f>
        <v>90.045739637927966</v>
      </c>
      <c r="AC10">
        <v>1</v>
      </c>
      <c r="AD10">
        <f t="shared" si="17"/>
        <v>5.1147641616119998E-4</v>
      </c>
      <c r="AE10">
        <f t="shared" si="18"/>
        <v>-7.7128826383697635E-13</v>
      </c>
      <c r="AF10">
        <f t="shared" si="19"/>
        <v>6.0569906291999993E-8</v>
      </c>
      <c r="AG10">
        <f t="shared" ref="AG10:AG73" si="36">AC10*AE10/(AE10^2+AF10^2)+AD10*AF10/(AE10^2+AF10^2)</f>
        <v>8234.1643553391241</v>
      </c>
      <c r="AH10">
        <f t="shared" ref="AH10:AH73" si="37">AD10*AE10/(AE10^2+AF10^2)-AC10*AF10/(AE10^2+AF10^2)</f>
        <v>-16509848.992171764</v>
      </c>
      <c r="AJ10">
        <f t="shared" si="20"/>
        <v>22100</v>
      </c>
      <c r="AK10">
        <f t="shared" si="21"/>
        <v>0.36075411054774004</v>
      </c>
      <c r="AL10">
        <v>1</v>
      </c>
      <c r="AM10">
        <f t="shared" si="22"/>
        <v>4.3289890079940005E-4</v>
      </c>
      <c r="AN10">
        <f t="shared" ref="AN10:AN73" si="38">AJ10*AL10/(AL10^2+AM10^2)+AK10*AM10/(AL10^2+AM10^2)</f>
        <v>22099.996014598575</v>
      </c>
      <c r="AO10">
        <f t="shared" ref="AO10:AO73" si="39">AK10*AL10/(AL10^2+AM10^2)-AJ10*AM10/(AL10^2+AM10^2)</f>
        <v>-9.2063098718431053</v>
      </c>
      <c r="AQ10">
        <f t="shared" si="23"/>
        <v>9999.8400025599585</v>
      </c>
      <c r="AR10">
        <f t="shared" si="24"/>
        <v>-39.999360010239833</v>
      </c>
      <c r="AT10">
        <f t="shared" ref="AT10:AT21" si="40">-AR10*AH10+AG10*AQ10</f>
        <v>-578043067.44440019</v>
      </c>
      <c r="AU10">
        <f t="shared" ref="AU10:AU21" si="41">AQ10*AH10+AG10*AR10</f>
        <v>-165096177749.44788</v>
      </c>
      <c r="AV10">
        <f t="shared" ref="AV10:AV73" si="42">ATAN2(AT10,AU10)</f>
        <v>-1.5742975629428928</v>
      </c>
      <c r="AW10">
        <f t="shared" si="25"/>
        <v>221033681.68487161</v>
      </c>
      <c r="AX10">
        <f t="shared" si="26"/>
        <v>-106226346.28799641</v>
      </c>
      <c r="AY10">
        <f>ATAN2(AW10,AX10)</f>
        <v>-0.4479985353927346</v>
      </c>
      <c r="BA10">
        <f t="shared" si="27"/>
        <v>673.22190635720199</v>
      </c>
      <c r="BB10">
        <f t="shared" ref="BB10:BB73" si="43">20*LOG(BA10)</f>
        <v>56.563164785863663</v>
      </c>
      <c r="BC10">
        <f t="shared" ref="BC10:BC73" si="44">AV10-AY10</f>
        <v>-1.1262990275501581</v>
      </c>
      <c r="BD10">
        <f t="shared" si="28"/>
        <v>-244.53218082205166</v>
      </c>
      <c r="BF10">
        <f t="shared" si="29"/>
        <v>80.034045810826782</v>
      </c>
      <c r="BG10">
        <f t="shared" si="30"/>
        <v>-64.538885024002312</v>
      </c>
      <c r="BH10">
        <f t="shared" ref="BH10:BH73" si="45">IF(BG10&gt;180,BG10-180,BG10+180)</f>
        <v>115.46111497599769</v>
      </c>
      <c r="BI10">
        <f t="shared" ref="BI10:BI73" si="46">IF(BH10&gt;180,BH10-360,BH10)</f>
        <v>115.46111497599769</v>
      </c>
      <c r="BJ10">
        <f t="shared" si="31"/>
        <v>0</v>
      </c>
      <c r="BK10">
        <f t="shared" ref="BK10:BK73" si="47">IF(BJ10&gt;0,BI10,0)</f>
        <v>0</v>
      </c>
      <c r="BM10">
        <f t="shared" ref="BM10:BM73" si="48">20*LOG(J10*F10*C10)</f>
        <v>23.470881024963113</v>
      </c>
      <c r="BN10">
        <f t="shared" si="32"/>
        <v>-6.7042019506531863E-3</v>
      </c>
      <c r="BQ10" s="56">
        <f t="shared" ref="BQ10:BQ73" si="49">20*LOG(BA10*7)</f>
        <v>73.465125586148801</v>
      </c>
      <c r="BR10" s="57"/>
      <c r="BS10" s="57"/>
      <c r="BT10" s="57">
        <v>100</v>
      </c>
      <c r="BU10" s="57">
        <v>35.359299999999998</v>
      </c>
      <c r="BV10" s="57">
        <v>-267.66769999999997</v>
      </c>
      <c r="BW10" s="61"/>
      <c r="BY10" s="57"/>
      <c r="BZ10" s="57"/>
      <c r="CA10" s="57"/>
      <c r="CC10" s="57"/>
    </row>
    <row r="11" spans="1:81" x14ac:dyDescent="0.25">
      <c r="A11">
        <v>3</v>
      </c>
      <c r="B11">
        <f t="shared" si="33"/>
        <v>3.0000000000000001E-3</v>
      </c>
      <c r="C11">
        <f t="shared" si="0"/>
        <v>1.0000000003095424</v>
      </c>
      <c r="D11">
        <f t="shared" si="1"/>
        <v>2.4881413782865435E-5</v>
      </c>
      <c r="F11">
        <f t="shared" si="2"/>
        <v>0.99415218534200378</v>
      </c>
      <c r="G11">
        <f t="shared" si="3"/>
        <v>-2.0039704759617329E-4</v>
      </c>
      <c r="H11">
        <f t="shared" si="4"/>
        <v>-2.0039704759617329E-4</v>
      </c>
      <c r="J11">
        <f t="shared" si="5"/>
        <v>15</v>
      </c>
      <c r="M11">
        <f t="shared" si="6"/>
        <v>498.03465723436278</v>
      </c>
      <c r="N11">
        <f t="shared" si="7"/>
        <v>-1.5707963250000001</v>
      </c>
      <c r="O11">
        <f t="shared" si="8"/>
        <v>1.0000002943090964</v>
      </c>
      <c r="P11">
        <f t="shared" si="9"/>
        <v>7.6721447370966904E-4</v>
      </c>
      <c r="Q11">
        <f t="shared" si="10"/>
        <v>1.0000002108266184</v>
      </c>
      <c r="R11">
        <f t="shared" si="11"/>
        <v>6.4934825993250218E-4</v>
      </c>
      <c r="S11">
        <f t="shared" si="12"/>
        <v>0.99999999970022824</v>
      </c>
      <c r="T11">
        <f t="shared" si="13"/>
        <v>-2.4485573109206614E-5</v>
      </c>
      <c r="U11">
        <f t="shared" si="14"/>
        <v>0.99999999981758014</v>
      </c>
      <c r="V11">
        <f t="shared" si="15"/>
        <v>-1.9100779024443898E-5</v>
      </c>
      <c r="X11">
        <f t="shared" si="34"/>
        <v>77.41607830736136</v>
      </c>
      <c r="Y11">
        <f t="shared" si="16"/>
        <v>-89.931390552946084</v>
      </c>
      <c r="Z11">
        <f t="shared" si="35"/>
        <v>90.068609447053916</v>
      </c>
      <c r="AC11">
        <v>1</v>
      </c>
      <c r="AD11">
        <f t="shared" si="17"/>
        <v>7.6721462424180007E-4</v>
      </c>
      <c r="AE11">
        <f t="shared" si="18"/>
        <v>-1.7353985936331967E-12</v>
      </c>
      <c r="AF11">
        <f t="shared" si="19"/>
        <v>9.0854859438000002E-8</v>
      </c>
      <c r="AG11">
        <f t="shared" si="36"/>
        <v>8234.1643536701486</v>
      </c>
      <c r="AH11">
        <f t="shared" si="37"/>
        <v>-11006566.08215837</v>
      </c>
      <c r="AJ11">
        <f t="shared" si="20"/>
        <v>22100</v>
      </c>
      <c r="AK11">
        <f t="shared" si="21"/>
        <v>0.54113116582161003</v>
      </c>
      <c r="AL11">
        <v>1</v>
      </c>
      <c r="AM11">
        <f t="shared" si="22"/>
        <v>6.4934835119910008E-4</v>
      </c>
      <c r="AN11">
        <f t="shared" si="38"/>
        <v>22099.991032848895</v>
      </c>
      <c r="AO11">
        <f t="shared" si="39"/>
        <v>-13.809461572873719</v>
      </c>
      <c r="AQ11">
        <f t="shared" si="23"/>
        <v>9999.6400129595349</v>
      </c>
      <c r="AR11">
        <f t="shared" si="24"/>
        <v>-59.997840077757203</v>
      </c>
      <c r="AT11">
        <f t="shared" si="40"/>
        <v>-578031512.25835943</v>
      </c>
      <c r="AU11">
        <f t="shared" si="41"/>
        <v>-110062192632.51016</v>
      </c>
      <c r="AV11">
        <f t="shared" si="42"/>
        <v>-1.5760481411017664</v>
      </c>
      <c r="AW11">
        <f t="shared" si="25"/>
        <v>221028751.8018288</v>
      </c>
      <c r="AX11">
        <f t="shared" si="26"/>
        <v>-71630917.606499925</v>
      </c>
      <c r="AY11">
        <f t="shared" ref="AY11:AY74" si="50">ATAN2(AW11,AX11)</f>
        <v>-0.31339923696958516</v>
      </c>
      <c r="BA11">
        <f t="shared" si="27"/>
        <v>473.70592165958459</v>
      </c>
      <c r="BB11">
        <f t="shared" si="43"/>
        <v>53.51017627501119</v>
      </c>
      <c r="BC11">
        <f t="shared" si="44"/>
        <v>-1.2626489041321811</v>
      </c>
      <c r="BD11">
        <f t="shared" si="28"/>
        <v>-252.34445329625805</v>
      </c>
      <c r="BF11">
        <f t="shared" si="29"/>
        <v>76.981058889117989</v>
      </c>
      <c r="BG11">
        <f t="shared" si="30"/>
        <v>-72.354509601325603</v>
      </c>
      <c r="BH11">
        <f t="shared" si="45"/>
        <v>107.6454903986744</v>
      </c>
      <c r="BI11">
        <f t="shared" si="46"/>
        <v>107.6454903986744</v>
      </c>
      <c r="BJ11">
        <f t="shared" si="31"/>
        <v>0</v>
      </c>
      <c r="BK11">
        <f t="shared" si="47"/>
        <v>0</v>
      </c>
      <c r="BM11">
        <f t="shared" si="48"/>
        <v>23.470882614106799</v>
      </c>
      <c r="BN11">
        <f t="shared" si="32"/>
        <v>-1.0056305067557187E-2</v>
      </c>
      <c r="BQ11" s="56">
        <f t="shared" si="49"/>
        <v>70.412137075296329</v>
      </c>
      <c r="BR11" s="58"/>
      <c r="BS11" s="58"/>
      <c r="BT11" s="58">
        <v>102.32899999999999</v>
      </c>
      <c r="BU11" s="58">
        <v>34.936799999999998</v>
      </c>
      <c r="BV11" s="58">
        <v>-265.91489999999999</v>
      </c>
      <c r="BW11" s="61"/>
      <c r="BY11" s="58"/>
      <c r="BZ11" s="58"/>
      <c r="CA11" s="58"/>
      <c r="CC11" s="58"/>
    </row>
    <row r="12" spans="1:81" x14ac:dyDescent="0.25">
      <c r="A12">
        <v>4</v>
      </c>
      <c r="B12">
        <f t="shared" si="33"/>
        <v>4.0000000000000001E-3</v>
      </c>
      <c r="C12">
        <f t="shared" si="0"/>
        <v>1.0000000005502976</v>
      </c>
      <c r="D12">
        <f t="shared" si="1"/>
        <v>3.3175218371829178E-5</v>
      </c>
      <c r="F12">
        <f t="shared" si="2"/>
        <v>0.99415243974458045</v>
      </c>
      <c r="G12">
        <f t="shared" si="3"/>
        <v>-2.6719613322774647E-4</v>
      </c>
      <c r="H12">
        <f t="shared" si="4"/>
        <v>-2.6719613322774647E-4</v>
      </c>
      <c r="J12">
        <f t="shared" si="5"/>
        <v>15</v>
      </c>
      <c r="M12">
        <f t="shared" si="6"/>
        <v>373.52599292577207</v>
      </c>
      <c r="N12">
        <f t="shared" si="7"/>
        <v>-1.5707963250000001</v>
      </c>
      <c r="O12">
        <f t="shared" si="8"/>
        <v>1.0000005232161118</v>
      </c>
      <c r="P12">
        <f t="shared" si="9"/>
        <v>1.0229524755055951E-3</v>
      </c>
      <c r="Q12">
        <f t="shared" si="10"/>
        <v>1.0000003748028463</v>
      </c>
      <c r="R12">
        <f t="shared" si="11"/>
        <v>8.6579758526320321E-4</v>
      </c>
      <c r="S12">
        <f t="shared" si="12"/>
        <v>0.99999999946707274</v>
      </c>
      <c r="T12">
        <f t="shared" si="13"/>
        <v>-3.2647430807200861E-5</v>
      </c>
      <c r="U12">
        <f t="shared" si="14"/>
        <v>0.99999999967569808</v>
      </c>
      <c r="V12">
        <f t="shared" si="15"/>
        <v>-2.5467705363516252E-5</v>
      </c>
      <c r="X12">
        <f t="shared" si="34"/>
        <v>74.917309209278685</v>
      </c>
      <c r="Y12">
        <f t="shared" si="16"/>
        <v>-89.908520755625773</v>
      </c>
      <c r="Z12">
        <f t="shared" si="35"/>
        <v>90.091479244374227</v>
      </c>
      <c r="AC12">
        <v>1</v>
      </c>
      <c r="AD12">
        <f t="shared" si="17"/>
        <v>1.0229528323224E-3</v>
      </c>
      <c r="AE12">
        <f t="shared" si="18"/>
        <v>-3.0851530553479054E-12</v>
      </c>
      <c r="AF12">
        <f t="shared" si="19"/>
        <v>1.2113981258399999E-7</v>
      </c>
      <c r="AG12">
        <f t="shared" si="36"/>
        <v>8234.1643513335894</v>
      </c>
      <c r="AH12">
        <f t="shared" si="37"/>
        <v>-8254924.6533648372</v>
      </c>
      <c r="AJ12">
        <f t="shared" si="20"/>
        <v>22100</v>
      </c>
      <c r="AK12">
        <f t="shared" si="21"/>
        <v>0.72150822109548007</v>
      </c>
      <c r="AL12">
        <v>1</v>
      </c>
      <c r="AM12">
        <f t="shared" si="22"/>
        <v>8.6579780159880011E-4</v>
      </c>
      <c r="AN12">
        <f t="shared" si="38"/>
        <v>22099.984058403268</v>
      </c>
      <c r="AO12">
        <f t="shared" si="39"/>
        <v>-18.412609392038597</v>
      </c>
      <c r="AQ12">
        <f t="shared" si="23"/>
        <v>9999.3600409573774</v>
      </c>
      <c r="AR12">
        <f t="shared" si="24"/>
        <v>-79.994880327659018</v>
      </c>
      <c r="AT12">
        <f t="shared" si="40"/>
        <v>-578015335.77436149</v>
      </c>
      <c r="AU12">
        <f t="shared" si="41"/>
        <v>-82544622410.962158</v>
      </c>
      <c r="AV12">
        <f t="shared" si="42"/>
        <v>-1.577798671364641</v>
      </c>
      <c r="AW12">
        <f t="shared" si="25"/>
        <v>221021850.29723677</v>
      </c>
      <c r="AX12">
        <f t="shared" si="26"/>
        <v>-54577167.836499199</v>
      </c>
      <c r="AY12">
        <f t="shared" si="50"/>
        <v>-0.24208820418680552</v>
      </c>
      <c r="BA12">
        <f t="shared" si="27"/>
        <v>362.58651981441079</v>
      </c>
      <c r="BB12">
        <f t="shared" si="43"/>
        <v>51.188233078530033</v>
      </c>
      <c r="BC12">
        <f t="shared" si="44"/>
        <v>-1.3357104671778355</v>
      </c>
      <c r="BD12">
        <f t="shared" si="28"/>
        <v>-256.53057250818637</v>
      </c>
      <c r="BF12">
        <f t="shared" si="29"/>
        <v>74.659117917438437</v>
      </c>
      <c r="BG12">
        <f t="shared" si="30"/>
        <v>-76.543980918940719</v>
      </c>
      <c r="BH12">
        <f t="shared" si="45"/>
        <v>103.45601908105928</v>
      </c>
      <c r="BI12">
        <f t="shared" si="46"/>
        <v>103.45601908105928</v>
      </c>
      <c r="BJ12">
        <f t="shared" si="31"/>
        <v>0</v>
      </c>
      <c r="BK12">
        <f t="shared" si="47"/>
        <v>0</v>
      </c>
      <c r="BM12">
        <f t="shared" si="48"/>
        <v>23.470884838908397</v>
      </c>
      <c r="BN12">
        <f t="shared" si="32"/>
        <v>-1.3408410754355792E-2</v>
      </c>
      <c r="BQ12" s="56">
        <f t="shared" si="49"/>
        <v>68.090193878815171</v>
      </c>
      <c r="BR12" s="57"/>
      <c r="BS12" s="57"/>
      <c r="BT12" s="57">
        <v>104.71299999999999</v>
      </c>
      <c r="BU12" s="57">
        <v>34.190800000000003</v>
      </c>
      <c r="BV12" s="57">
        <v>-264.93219999999997</v>
      </c>
      <c r="BW12" s="61"/>
      <c r="BY12" s="57"/>
      <c r="BZ12" s="57"/>
      <c r="CA12" s="57"/>
      <c r="CC12" s="57"/>
    </row>
    <row r="13" spans="1:81" x14ac:dyDescent="0.25">
      <c r="A13">
        <v>5</v>
      </c>
      <c r="B13">
        <f t="shared" si="33"/>
        <v>5.0000000000000001E-3</v>
      </c>
      <c r="C13">
        <f t="shared" si="0"/>
        <v>1.00000000085984</v>
      </c>
      <c r="D13">
        <f t="shared" si="1"/>
        <v>4.1469022956228856E-5</v>
      </c>
      <c r="F13">
        <f t="shared" si="2"/>
        <v>0.99415276683378684</v>
      </c>
      <c r="G13">
        <f t="shared" si="3"/>
        <v>-3.3399527865896853E-4</v>
      </c>
      <c r="H13">
        <f t="shared" si="4"/>
        <v>-3.3399527865896853E-4</v>
      </c>
      <c r="J13">
        <f t="shared" si="5"/>
        <v>15</v>
      </c>
      <c r="M13">
        <f t="shared" si="6"/>
        <v>298.82079434061768</v>
      </c>
      <c r="N13">
        <f t="shared" si="7"/>
        <v>-1.5707963250000001</v>
      </c>
      <c r="O13">
        <f t="shared" si="8"/>
        <v>1.0000008175250543</v>
      </c>
      <c r="P13">
        <f t="shared" si="9"/>
        <v>1.278690343495424E-3</v>
      </c>
      <c r="Q13">
        <f t="shared" si="10"/>
        <v>1.0000005856293857</v>
      </c>
      <c r="R13">
        <f t="shared" si="11"/>
        <v>1.0822468294681444E-3</v>
      </c>
      <c r="S13">
        <f t="shared" si="12"/>
        <v>0.99999999916730098</v>
      </c>
      <c r="T13">
        <f t="shared" si="13"/>
        <v>-4.0809288500845435E-5</v>
      </c>
      <c r="U13">
        <f t="shared" si="14"/>
        <v>0.99999999949327822</v>
      </c>
      <c r="V13">
        <f t="shared" si="15"/>
        <v>-3.1834631700523806E-5</v>
      </c>
      <c r="X13">
        <f t="shared" si="34"/>
        <v>72.979116192937681</v>
      </c>
      <c r="Y13">
        <f t="shared" si="16"/>
        <v>-89.885650974046328</v>
      </c>
      <c r="Z13">
        <f t="shared" si="35"/>
        <v>90.114349025953672</v>
      </c>
      <c r="AC13">
        <v>1</v>
      </c>
      <c r="AD13">
        <f t="shared" si="17"/>
        <v>1.2786910404029999E-3</v>
      </c>
      <c r="AE13">
        <f t="shared" si="18"/>
        <v>-4.8205516489811019E-12</v>
      </c>
      <c r="AF13">
        <f t="shared" si="19"/>
        <v>1.5142476572999998E-7</v>
      </c>
      <c r="AG13">
        <f t="shared" si="36"/>
        <v>8234.1643483294374</v>
      </c>
      <c r="AH13">
        <f t="shared" si="37"/>
        <v>-6603939.8170592412</v>
      </c>
      <c r="AJ13">
        <f t="shared" si="20"/>
        <v>22100</v>
      </c>
      <c r="AK13">
        <f t="shared" si="21"/>
        <v>0.90188527636935012</v>
      </c>
      <c r="AL13">
        <v>1</v>
      </c>
      <c r="AM13">
        <f t="shared" si="22"/>
        <v>1.0822472519985001E-3</v>
      </c>
      <c r="AN13">
        <f t="shared" si="38"/>
        <v>22099.975091265609</v>
      </c>
      <c r="AO13">
        <f t="shared" si="39"/>
        <v>-23.015752035388157</v>
      </c>
      <c r="AQ13">
        <f t="shared" si="23"/>
        <v>9999.0000999900003</v>
      </c>
      <c r="AR13">
        <f t="shared" si="24"/>
        <v>-99.990000999900005</v>
      </c>
      <c r="AT13">
        <f t="shared" si="40"/>
        <v>-577994538.76875293</v>
      </c>
      <c r="AU13">
        <f t="shared" si="41"/>
        <v>-66033618225.20472</v>
      </c>
      <c r="AV13">
        <f t="shared" si="42"/>
        <v>-1.5795491377697668</v>
      </c>
      <c r="AW13">
        <f t="shared" si="25"/>
        <v>221012977.50271589</v>
      </c>
      <c r="AX13">
        <f t="shared" si="26"/>
        <v>-44540056.472989812</v>
      </c>
      <c r="AY13">
        <f t="shared" si="50"/>
        <v>-0.19886328461868302</v>
      </c>
      <c r="BA13">
        <f t="shared" si="27"/>
        <v>292.8999611647846</v>
      </c>
      <c r="BB13">
        <f t="shared" si="43"/>
        <v>49.334386281981523</v>
      </c>
      <c r="BC13">
        <f t="shared" si="44"/>
        <v>-1.3806858531510837</v>
      </c>
      <c r="BD13">
        <f t="shared" si="28"/>
        <v>-259.10747230936994</v>
      </c>
      <c r="BF13">
        <f t="shared" si="29"/>
        <v>72.805273981349842</v>
      </c>
      <c r="BG13">
        <f t="shared" si="30"/>
        <v>-79.124232829237599</v>
      </c>
      <c r="BH13">
        <f t="shared" si="45"/>
        <v>100.8757671707624</v>
      </c>
      <c r="BI13">
        <f t="shared" si="46"/>
        <v>100.8757671707624</v>
      </c>
      <c r="BJ13">
        <f t="shared" si="31"/>
        <v>0</v>
      </c>
      <c r="BK13">
        <f t="shared" si="47"/>
        <v>0</v>
      </c>
      <c r="BM13">
        <f t="shared" si="48"/>
        <v>23.470887699368316</v>
      </c>
      <c r="BN13">
        <f t="shared" si="32"/>
        <v>-1.6760519867683399E-2</v>
      </c>
      <c r="BQ13" s="56">
        <f t="shared" si="49"/>
        <v>66.236347082266661</v>
      </c>
      <c r="BR13" s="58"/>
      <c r="BS13" s="58"/>
      <c r="BT13" s="58">
        <v>107.152</v>
      </c>
      <c r="BU13" s="58">
        <v>34.477699999999999</v>
      </c>
      <c r="BV13" s="58">
        <v>-262.3057</v>
      </c>
      <c r="BW13" s="61"/>
      <c r="BY13" s="58"/>
      <c r="BZ13" s="58"/>
      <c r="CA13" s="58"/>
      <c r="CC13" s="58"/>
    </row>
    <row r="14" spans="1:81" x14ac:dyDescent="0.25">
      <c r="A14">
        <v>6</v>
      </c>
      <c r="B14">
        <f t="shared" si="33"/>
        <v>6.0000000000000001E-3</v>
      </c>
      <c r="C14">
        <f t="shared" si="0"/>
        <v>1.0000000012381693</v>
      </c>
      <c r="D14">
        <f t="shared" si="1"/>
        <v>4.9762827534923462E-5</v>
      </c>
      <c r="F14">
        <f t="shared" si="2"/>
        <v>0.9941531666097575</v>
      </c>
      <c r="G14">
        <f t="shared" si="3"/>
        <v>-4.0079449883983191E-4</v>
      </c>
      <c r="H14">
        <f t="shared" si="4"/>
        <v>-4.0079449883983191E-4</v>
      </c>
      <c r="J14">
        <f t="shared" si="5"/>
        <v>15</v>
      </c>
      <c r="M14">
        <f t="shared" si="6"/>
        <v>249.01732861718139</v>
      </c>
      <c r="N14">
        <f t="shared" si="7"/>
        <v>-1.5707963250000001</v>
      </c>
      <c r="O14">
        <f t="shared" si="8"/>
        <v>1.0000011772358663</v>
      </c>
      <c r="P14">
        <f t="shared" si="9"/>
        <v>1.5344280442278284E-3</v>
      </c>
      <c r="Q14">
        <f t="shared" si="10"/>
        <v>1.0000008433062069</v>
      </c>
      <c r="R14">
        <f t="shared" si="11"/>
        <v>1.2986959722659712E-3</v>
      </c>
      <c r="S14">
        <f t="shared" si="12"/>
        <v>0.99999999880091339</v>
      </c>
      <c r="T14">
        <f t="shared" si="13"/>
        <v>-4.8971146189052904E-5</v>
      </c>
      <c r="U14">
        <f t="shared" si="14"/>
        <v>0.99999999927032057</v>
      </c>
      <c r="V14">
        <f t="shared" si="15"/>
        <v>-3.8201558034950343E-5</v>
      </c>
      <c r="X14">
        <f t="shared" si="34"/>
        <v>71.395500125541119</v>
      </c>
      <c r="Y14">
        <f t="shared" si="16"/>
        <v>-89.86278121214292</v>
      </c>
      <c r="Z14">
        <f t="shared" si="35"/>
        <v>90.13721878785708</v>
      </c>
      <c r="AC14">
        <v>1</v>
      </c>
      <c r="AD14">
        <f t="shared" si="17"/>
        <v>1.5344292484836001E-3</v>
      </c>
      <c r="AE14">
        <f t="shared" si="18"/>
        <v>-6.941594374532787E-12</v>
      </c>
      <c r="AF14">
        <f t="shared" si="19"/>
        <v>1.81709718876E-7</v>
      </c>
      <c r="AG14">
        <f t="shared" si="36"/>
        <v>8234.1643446576982</v>
      </c>
      <c r="AH14">
        <f t="shared" si="37"/>
        <v>-5503283.2769976156</v>
      </c>
      <c r="AJ14">
        <f t="shared" si="20"/>
        <v>22100</v>
      </c>
      <c r="AK14">
        <f t="shared" si="21"/>
        <v>1.0822623316432201</v>
      </c>
      <c r="AL14">
        <v>1</v>
      </c>
      <c r="AM14">
        <f t="shared" si="22"/>
        <v>1.2986967023982002E-3</v>
      </c>
      <c r="AN14">
        <f t="shared" si="38"/>
        <v>22099.96413144096</v>
      </c>
      <c r="AO14">
        <f t="shared" si="39"/>
        <v>-27.618888208977662</v>
      </c>
      <c r="AQ14">
        <f t="shared" si="23"/>
        <v>9998.5602073301452</v>
      </c>
      <c r="AR14">
        <f t="shared" si="24"/>
        <v>-119.98272248796174</v>
      </c>
      <c r="AT14">
        <f t="shared" si="40"/>
        <v>-577969122.2395345</v>
      </c>
      <c r="AU14">
        <f t="shared" si="41"/>
        <v>-55025897140.509285</v>
      </c>
      <c r="AV14">
        <f t="shared" si="42"/>
        <v>-1.5812995243584649</v>
      </c>
      <c r="AW14">
        <f t="shared" si="25"/>
        <v>221002133.84456676</v>
      </c>
      <c r="AX14">
        <f t="shared" si="26"/>
        <v>-38011228.791867167</v>
      </c>
      <c r="AY14">
        <f t="shared" si="50"/>
        <v>-0.17032833375311424</v>
      </c>
      <c r="BA14">
        <f t="shared" si="27"/>
        <v>245.39409151205311</v>
      </c>
      <c r="BB14">
        <f t="shared" si="43"/>
        <v>47.797282035415208</v>
      </c>
      <c r="BC14">
        <f t="shared" si="44"/>
        <v>-1.4109711906053506</v>
      </c>
      <c r="BD14">
        <f t="shared" si="28"/>
        <v>-260.84269432861169</v>
      </c>
      <c r="BF14">
        <f t="shared" si="29"/>
        <v>71.26817323090232</v>
      </c>
      <c r="BG14">
        <f t="shared" si="30"/>
        <v>-80.862806961875833</v>
      </c>
      <c r="BH14">
        <f t="shared" si="45"/>
        <v>99.137193038124167</v>
      </c>
      <c r="BI14">
        <f t="shared" si="46"/>
        <v>99.137193038124167</v>
      </c>
      <c r="BJ14">
        <f t="shared" si="31"/>
        <v>0</v>
      </c>
      <c r="BK14">
        <f t="shared" si="47"/>
        <v>0</v>
      </c>
      <c r="BM14">
        <f t="shared" si="48"/>
        <v>23.470891195487113</v>
      </c>
      <c r="BN14">
        <f t="shared" si="32"/>
        <v>-2.0112633264176855E-2</v>
      </c>
      <c r="BQ14" s="56">
        <f t="shared" si="49"/>
        <v>64.699242835700346</v>
      </c>
      <c r="BR14" s="58"/>
      <c r="BS14" s="58"/>
      <c r="BT14" s="58">
        <v>109.648</v>
      </c>
      <c r="BU14" s="58">
        <v>34.114400000000003</v>
      </c>
      <c r="BV14" s="58">
        <v>-262.76620000000003</v>
      </c>
      <c r="BW14" s="61"/>
      <c r="BY14" s="58"/>
      <c r="BZ14" s="58"/>
      <c r="CA14" s="58"/>
      <c r="CC14" s="58"/>
    </row>
    <row r="15" spans="1:81" x14ac:dyDescent="0.25">
      <c r="A15">
        <v>7</v>
      </c>
      <c r="B15">
        <f t="shared" si="33"/>
        <v>7.0000000000000001E-3</v>
      </c>
      <c r="C15">
        <f t="shared" si="0"/>
        <v>1.0000000016852861</v>
      </c>
      <c r="D15">
        <f t="shared" si="1"/>
        <v>5.8056632106771976E-5</v>
      </c>
      <c r="F15">
        <f t="shared" si="2"/>
        <v>0.99415363907265664</v>
      </c>
      <c r="G15">
        <f t="shared" si="3"/>
        <v>-4.6759380872038274E-4</v>
      </c>
      <c r="H15">
        <f t="shared" si="4"/>
        <v>-4.6759380872038274E-4</v>
      </c>
      <c r="J15">
        <f t="shared" si="5"/>
        <v>15</v>
      </c>
      <c r="M15">
        <f t="shared" si="6"/>
        <v>213.44342452901265</v>
      </c>
      <c r="N15">
        <f t="shared" si="7"/>
        <v>-1.5707963250000001</v>
      </c>
      <c r="O15">
        <f t="shared" si="8"/>
        <v>1.0000016023484775</v>
      </c>
      <c r="P15">
        <f t="shared" si="9"/>
        <v>1.7901655442516126E-3</v>
      </c>
      <c r="Q15">
        <f t="shared" si="10"/>
        <v>1.0000011478332733</v>
      </c>
      <c r="R15">
        <f t="shared" si="11"/>
        <v>1.5151449933753862E-3</v>
      </c>
      <c r="S15">
        <f t="shared" si="12"/>
        <v>0.99999999836790998</v>
      </c>
      <c r="T15">
        <f t="shared" si="13"/>
        <v>-5.7133003870735861E-5</v>
      </c>
      <c r="U15">
        <f t="shared" si="14"/>
        <v>0.99999999900682512</v>
      </c>
      <c r="V15">
        <f t="shared" si="15"/>
        <v>-4.4568484366279681E-5</v>
      </c>
      <c r="X15">
        <f t="shared" si="34"/>
        <v>70.056574796219437</v>
      </c>
      <c r="Y15">
        <f t="shared" si="16"/>
        <v>-89.839911473850762</v>
      </c>
      <c r="Z15">
        <f t="shared" si="35"/>
        <v>90.160088526149238</v>
      </c>
      <c r="AC15">
        <v>1</v>
      </c>
      <c r="AD15">
        <f t="shared" si="17"/>
        <v>1.7901674565642001E-3</v>
      </c>
      <c r="AE15">
        <f t="shared" si="18"/>
        <v>-9.4482812320029604E-12</v>
      </c>
      <c r="AF15">
        <f t="shared" si="19"/>
        <v>2.11994672022E-7</v>
      </c>
      <c r="AG15">
        <f t="shared" si="36"/>
        <v>8234.1643403183698</v>
      </c>
      <c r="AH15">
        <f t="shared" si="37"/>
        <v>-4717100.0490754042</v>
      </c>
      <c r="AJ15">
        <f t="shared" si="20"/>
        <v>22100</v>
      </c>
      <c r="AK15">
        <f t="shared" si="21"/>
        <v>1.2626393869170902</v>
      </c>
      <c r="AL15">
        <v>1</v>
      </c>
      <c r="AM15">
        <f t="shared" si="22"/>
        <v>1.5151461527979002E-3</v>
      </c>
      <c r="AN15">
        <f t="shared" si="38"/>
        <v>22099.951178935487</v>
      </c>
      <c r="AO15">
        <f t="shared" si="39"/>
        <v>-32.222016618868423</v>
      </c>
      <c r="AQ15">
        <f t="shared" si="23"/>
        <v>9998.0403840847193</v>
      </c>
      <c r="AR15">
        <f t="shared" si="24"/>
        <v>-139.97256537718607</v>
      </c>
      <c r="AT15">
        <f t="shared" si="40"/>
        <v>-577939087.4062413</v>
      </c>
      <c r="AU15">
        <f t="shared" si="41"/>
        <v>-47162909343.530357</v>
      </c>
      <c r="AV15">
        <f t="shared" si="42"/>
        <v>-1.5830498151758943</v>
      </c>
      <c r="AW15">
        <f t="shared" si="25"/>
        <v>220989319.84371933</v>
      </c>
      <c r="AX15">
        <f t="shared" si="26"/>
        <v>-33487097.438650738</v>
      </c>
      <c r="AY15">
        <f t="shared" si="50"/>
        <v>-0.15038853455355583</v>
      </c>
      <c r="BA15">
        <f t="shared" si="27"/>
        <v>211.02413374036158</v>
      </c>
      <c r="BB15">
        <f t="shared" si="43"/>
        <v>46.486642523101374</v>
      </c>
      <c r="BC15">
        <f t="shared" si="44"/>
        <v>-1.4326612806223384</v>
      </c>
      <c r="BD15">
        <f t="shared" si="28"/>
        <v>-262.08544494526393</v>
      </c>
      <c r="BF15">
        <f t="shared" si="29"/>
        <v>69.957537850366833</v>
      </c>
      <c r="BG15">
        <f t="shared" si="30"/>
        <v>-82.108909697064419</v>
      </c>
      <c r="BH15">
        <f t="shared" si="45"/>
        <v>97.891090302935581</v>
      </c>
      <c r="BI15">
        <f t="shared" si="46"/>
        <v>97.891090302935581</v>
      </c>
      <c r="BJ15">
        <f t="shared" si="31"/>
        <v>0</v>
      </c>
      <c r="BK15">
        <f t="shared" si="47"/>
        <v>0</v>
      </c>
      <c r="BM15">
        <f t="shared" si="48"/>
        <v>23.47089532726546</v>
      </c>
      <c r="BN15">
        <f t="shared" si="32"/>
        <v>-2.346475180047608E-2</v>
      </c>
      <c r="BQ15" s="56">
        <f t="shared" si="49"/>
        <v>63.388603323386512</v>
      </c>
      <c r="BR15" s="58"/>
      <c r="BS15" s="58"/>
      <c r="BT15" s="58">
        <v>112.202</v>
      </c>
      <c r="BU15" s="58">
        <v>34.297699999999999</v>
      </c>
      <c r="BV15" s="58">
        <v>-267.01279999999997</v>
      </c>
      <c r="BW15" s="61"/>
      <c r="BY15" s="58"/>
      <c r="BZ15" s="58"/>
      <c r="CA15" s="58"/>
      <c r="CC15" s="58"/>
    </row>
    <row r="16" spans="1:81" x14ac:dyDescent="0.25">
      <c r="A16">
        <v>8</v>
      </c>
      <c r="B16">
        <f t="shared" si="33"/>
        <v>8.0000000000000002E-3</v>
      </c>
      <c r="C16">
        <f t="shared" si="0"/>
        <v>1.0000000022011901</v>
      </c>
      <c r="D16">
        <f t="shared" si="1"/>
        <v>6.6350436670633382E-5</v>
      </c>
      <c r="F16">
        <f t="shared" si="2"/>
        <v>0.99415418422267865</v>
      </c>
      <c r="G16">
        <f t="shared" si="3"/>
        <v>-5.3439322325073114E-4</v>
      </c>
      <c r="H16">
        <f t="shared" si="4"/>
        <v>-5.3439322325073114E-4</v>
      </c>
      <c r="J16">
        <f t="shared" si="5"/>
        <v>15</v>
      </c>
      <c r="M16">
        <f t="shared" si="6"/>
        <v>186.76299646288604</v>
      </c>
      <c r="N16">
        <f t="shared" si="7"/>
        <v>-1.5707963250000001</v>
      </c>
      <c r="O16">
        <f t="shared" si="8"/>
        <v>1.0000020928628042</v>
      </c>
      <c r="P16">
        <f t="shared" si="9"/>
        <v>2.0459028101157376E-3</v>
      </c>
      <c r="Q16">
        <f t="shared" si="10"/>
        <v>1.0000014992105426</v>
      </c>
      <c r="R16">
        <f t="shared" si="11"/>
        <v>1.7315938725151604E-3</v>
      </c>
      <c r="S16">
        <f t="shared" si="12"/>
        <v>0.99999999786829052</v>
      </c>
      <c r="T16">
        <f t="shared" si="13"/>
        <v>-6.5294861544806879E-5</v>
      </c>
      <c r="U16">
        <f t="shared" si="14"/>
        <v>0.9999999987027921</v>
      </c>
      <c r="V16">
        <f t="shared" si="15"/>
        <v>-5.0935410693995589E-5</v>
      </c>
      <c r="X16">
        <f t="shared" si="34"/>
        <v>68.896747929689525</v>
      </c>
      <c r="Y16">
        <f t="shared" si="16"/>
        <v>-89.817041763105038</v>
      </c>
      <c r="Z16">
        <f t="shared" si="35"/>
        <v>90.182958236894962</v>
      </c>
      <c r="AC16">
        <v>1</v>
      </c>
      <c r="AD16">
        <f t="shared" si="17"/>
        <v>2.0459056646447999E-3</v>
      </c>
      <c r="AE16">
        <f t="shared" si="18"/>
        <v>-1.2340612221391622E-11</v>
      </c>
      <c r="AF16">
        <f t="shared" si="19"/>
        <v>2.4227962516799997E-7</v>
      </c>
      <c r="AG16">
        <f t="shared" si="36"/>
        <v>8234.1643353114523</v>
      </c>
      <c r="AH16">
        <f t="shared" si="37"/>
        <v>-4127462.6412403248</v>
      </c>
      <c r="AJ16">
        <f t="shared" si="20"/>
        <v>22100</v>
      </c>
      <c r="AK16">
        <f t="shared" si="21"/>
        <v>1.4430164421909601</v>
      </c>
      <c r="AL16">
        <v>1</v>
      </c>
      <c r="AM16">
        <f t="shared" si="22"/>
        <v>1.7315956031976002E-3</v>
      </c>
      <c r="AN16">
        <f t="shared" si="38"/>
        <v>22099.936233756467</v>
      </c>
      <c r="AO16">
        <f t="shared" si="39"/>
        <v>-36.825135971129065</v>
      </c>
      <c r="AQ16">
        <f t="shared" si="23"/>
        <v>9997.4406551922712</v>
      </c>
      <c r="AR16">
        <f t="shared" si="24"/>
        <v>-159.95905048307634</v>
      </c>
      <c r="AT16">
        <f t="shared" si="40"/>
        <v>-577904435.70979571</v>
      </c>
      <c r="AU16">
        <f t="shared" si="41"/>
        <v>-41265379941.431892</v>
      </c>
      <c r="AV16">
        <f t="shared" si="42"/>
        <v>-1.5847999942718183</v>
      </c>
      <c r="AW16">
        <f t="shared" si="25"/>
        <v>220974536.11567035</v>
      </c>
      <c r="AX16">
        <f t="shared" si="26"/>
        <v>-30215862.826373771</v>
      </c>
      <c r="AY16">
        <f t="shared" si="50"/>
        <v>-0.13589632092018397</v>
      </c>
      <c r="BA16">
        <f t="shared" si="27"/>
        <v>185.03912380831815</v>
      </c>
      <c r="BB16">
        <f t="shared" si="43"/>
        <v>45.345271266185819</v>
      </c>
      <c r="BC16">
        <f t="shared" si="44"/>
        <v>-1.4489036733516343</v>
      </c>
      <c r="BD16">
        <f t="shared" si="28"/>
        <v>-263.01606549891</v>
      </c>
      <c r="BF16">
        <f t="shared" si="29"/>
        <v>68.816171360889967</v>
      </c>
      <c r="BG16">
        <f t="shared" si="30"/>
        <v>-83.042882375243195</v>
      </c>
      <c r="BH16">
        <f t="shared" si="45"/>
        <v>96.957117624756805</v>
      </c>
      <c r="BI16">
        <f t="shared" si="46"/>
        <v>96.957117624756805</v>
      </c>
      <c r="BJ16">
        <f t="shared" si="31"/>
        <v>0</v>
      </c>
      <c r="BK16">
        <f t="shared" si="47"/>
        <v>0</v>
      </c>
      <c r="BM16">
        <f t="shared" si="48"/>
        <v>23.470900094704142</v>
      </c>
      <c r="BN16">
        <f t="shared" si="32"/>
        <v>-2.6816876333224673E-2</v>
      </c>
      <c r="BQ16" s="56">
        <f t="shared" si="49"/>
        <v>62.247232066470957</v>
      </c>
      <c r="BR16" s="59"/>
      <c r="BS16" s="59"/>
      <c r="BT16" s="59">
        <v>114.815</v>
      </c>
      <c r="BU16" s="59">
        <v>33.346499999999999</v>
      </c>
      <c r="BV16" s="59">
        <v>-266.20479999999998</v>
      </c>
      <c r="BW16" s="61"/>
      <c r="BY16" s="59"/>
      <c r="BZ16" s="59"/>
      <c r="CA16" s="59"/>
      <c r="CC16" s="59"/>
    </row>
    <row r="17" spans="1:81" x14ac:dyDescent="0.25">
      <c r="A17">
        <v>9</v>
      </c>
      <c r="B17">
        <f t="shared" si="33"/>
        <v>8.9999999999999993E-3</v>
      </c>
      <c r="C17">
        <f t="shared" si="0"/>
        <v>1.0000000027858813</v>
      </c>
      <c r="D17">
        <f t="shared" si="1"/>
        <v>7.4644241225366666E-5</v>
      </c>
      <c r="F17">
        <f t="shared" si="2"/>
        <v>0.99415480206004758</v>
      </c>
      <c r="G17">
        <f t="shared" si="3"/>
        <v>-6.0119275738106256E-4</v>
      </c>
      <c r="H17">
        <f t="shared" si="4"/>
        <v>-6.0119275738106256E-4</v>
      </c>
      <c r="J17">
        <f t="shared" si="5"/>
        <v>15</v>
      </c>
      <c r="M17">
        <f t="shared" si="6"/>
        <v>166.01155241145426</v>
      </c>
      <c r="N17">
        <f t="shared" si="7"/>
        <v>-1.5707963250000001</v>
      </c>
      <c r="O17">
        <f t="shared" si="8"/>
        <v>1.0000026487787503</v>
      </c>
      <c r="P17">
        <f t="shared" si="9"/>
        <v>2.3016398083693483E-3</v>
      </c>
      <c r="Q17">
        <f t="shared" si="10"/>
        <v>1.0000018974379652</v>
      </c>
      <c r="R17">
        <f t="shared" si="11"/>
        <v>1.9480425894041447E-3</v>
      </c>
      <c r="S17">
        <f t="shared" si="12"/>
        <v>0.99999999730205524</v>
      </c>
      <c r="T17">
        <f t="shared" si="13"/>
        <v>-7.345671921017855E-5</v>
      </c>
      <c r="U17">
        <f t="shared" si="14"/>
        <v>0.99999999835822106</v>
      </c>
      <c r="V17">
        <f t="shared" si="15"/>
        <v>-5.7302337017581893E-5</v>
      </c>
      <c r="X17">
        <f t="shared" si="34"/>
        <v>67.873711163497347</v>
      </c>
      <c r="Y17">
        <f t="shared" si="16"/>
        <v>-89.79417208384092</v>
      </c>
      <c r="Z17">
        <f t="shared" si="35"/>
        <v>90.20582791615908</v>
      </c>
      <c r="AC17">
        <v>1</v>
      </c>
      <c r="AD17">
        <f t="shared" si="17"/>
        <v>2.3016438727254001E-3</v>
      </c>
      <c r="AE17">
        <f t="shared" si="18"/>
        <v>-1.5618587342698771E-11</v>
      </c>
      <c r="AF17">
        <f t="shared" si="19"/>
        <v>2.7256457831399997E-7</v>
      </c>
      <c r="AG17">
        <f t="shared" si="36"/>
        <v>8234.1643296369475</v>
      </c>
      <c r="AH17">
        <f t="shared" si="37"/>
        <v>-3668855.7801300003</v>
      </c>
      <c r="AJ17">
        <f t="shared" si="20"/>
        <v>22100</v>
      </c>
      <c r="AK17">
        <f t="shared" si="21"/>
        <v>1.6233934974648303</v>
      </c>
      <c r="AL17">
        <v>1</v>
      </c>
      <c r="AM17">
        <f t="shared" si="22"/>
        <v>1.9480450535973E-3</v>
      </c>
      <c r="AN17">
        <f t="shared" si="38"/>
        <v>22099.919295912303</v>
      </c>
      <c r="AO17">
        <f t="shared" si="39"/>
        <v>-41.428244971836662</v>
      </c>
      <c r="AQ17">
        <f t="shared" si="23"/>
        <v>9996.7610494199889</v>
      </c>
      <c r="AR17">
        <f t="shared" si="24"/>
        <v>-179.94169888955977</v>
      </c>
      <c r="AT17">
        <f t="shared" si="40"/>
        <v>-577865168.81233525</v>
      </c>
      <c r="AU17">
        <f t="shared" si="41"/>
        <v>-36678156228.261383</v>
      </c>
      <c r="AV17">
        <f t="shared" si="42"/>
        <v>-1.5865500457013708</v>
      </c>
      <c r="AW17">
        <f t="shared" si="25"/>
        <v>220957783.37040964</v>
      </c>
      <c r="AX17">
        <f t="shared" si="26"/>
        <v>-27779853.268842634</v>
      </c>
      <c r="AY17">
        <f t="shared" si="50"/>
        <v>-0.12506849154480573</v>
      </c>
      <c r="BA17">
        <f t="shared" si="27"/>
        <v>164.72008140861138</v>
      </c>
      <c r="BB17">
        <f t="shared" si="43"/>
        <v>44.334930964975356</v>
      </c>
      <c r="BC17">
        <f t="shared" si="44"/>
        <v>-1.4614815541565651</v>
      </c>
      <c r="BD17">
        <f t="shared" si="28"/>
        <v>-263.7367249850746</v>
      </c>
      <c r="BF17">
        <f t="shared" si="29"/>
        <v>67.805836462779439</v>
      </c>
      <c r="BG17">
        <f t="shared" si="30"/>
        <v>-83.766893992793655</v>
      </c>
      <c r="BH17">
        <f t="shared" si="45"/>
        <v>96.233106007206345</v>
      </c>
      <c r="BI17">
        <f t="shared" si="46"/>
        <v>96.233106007206345</v>
      </c>
      <c r="BJ17">
        <f t="shared" si="31"/>
        <v>0</v>
      </c>
      <c r="BK17">
        <f t="shared" si="47"/>
        <v>0</v>
      </c>
      <c r="BM17">
        <f t="shared" si="48"/>
        <v>23.470905497804079</v>
      </c>
      <c r="BN17">
        <f t="shared" si="32"/>
        <v>-3.0169007719070537E-2</v>
      </c>
      <c r="BQ17" s="56">
        <f t="shared" si="49"/>
        <v>61.236891765260495</v>
      </c>
      <c r="BR17" s="59"/>
      <c r="BS17" s="59"/>
      <c r="BT17" s="59">
        <v>117.49</v>
      </c>
      <c r="BU17" s="59">
        <v>33.0246</v>
      </c>
      <c r="BV17" s="59">
        <v>-264.9049</v>
      </c>
      <c r="BW17" s="61"/>
      <c r="BY17" s="59"/>
      <c r="BZ17" s="59"/>
      <c r="CA17" s="59"/>
      <c r="CC17" s="59"/>
    </row>
    <row r="18" spans="1:81" x14ac:dyDescent="0.25">
      <c r="A18">
        <v>10</v>
      </c>
      <c r="B18">
        <f t="shared" si="33"/>
        <v>0.01</v>
      </c>
      <c r="C18">
        <f t="shared" si="0"/>
        <v>1.0000000034393597</v>
      </c>
      <c r="D18">
        <f t="shared" si="1"/>
        <v>8.2938045769830821E-5</v>
      </c>
      <c r="F18">
        <f t="shared" si="2"/>
        <v>0.99415549258501745</v>
      </c>
      <c r="G18">
        <f t="shared" si="3"/>
        <v>-6.6799242606164751E-4</v>
      </c>
      <c r="H18">
        <f t="shared" si="4"/>
        <v>-6.6799242606164751E-4</v>
      </c>
      <c r="J18">
        <f t="shared" si="5"/>
        <v>15</v>
      </c>
      <c r="M18">
        <f t="shared" si="6"/>
        <v>149.41039717030884</v>
      </c>
      <c r="N18">
        <f t="shared" si="7"/>
        <v>-1.5707963250000001</v>
      </c>
      <c r="O18">
        <f t="shared" si="8"/>
        <v>1.0000032700962069</v>
      </c>
      <c r="P18">
        <f t="shared" si="9"/>
        <v>2.5573765055618009E-3</v>
      </c>
      <c r="Q18">
        <f t="shared" si="10"/>
        <v>1.0000023425154854</v>
      </c>
      <c r="R18">
        <f t="shared" si="11"/>
        <v>2.1644911237612809E-3</v>
      </c>
      <c r="S18">
        <f t="shared" si="12"/>
        <v>0.99999999666920392</v>
      </c>
      <c r="T18">
        <f t="shared" si="13"/>
        <v>-8.1618576865763454E-5</v>
      </c>
      <c r="U18">
        <f t="shared" si="14"/>
        <v>0.99999999797311245</v>
      </c>
      <c r="V18">
        <f t="shared" si="15"/>
        <v>-6.3669263336522391E-5</v>
      </c>
      <c r="X18">
        <f t="shared" si="34"/>
        <v>66.958576644769096</v>
      </c>
      <c r="Y18">
        <f t="shared" si="16"/>
        <v>-89.771302439993534</v>
      </c>
      <c r="Z18">
        <f t="shared" si="35"/>
        <v>90.228697560006466</v>
      </c>
      <c r="AC18">
        <v>1</v>
      </c>
      <c r="AD18">
        <f t="shared" si="17"/>
        <v>2.5573820808059999E-3</v>
      </c>
      <c r="AE18">
        <f t="shared" si="18"/>
        <v>-1.9282206595924408E-11</v>
      </c>
      <c r="AF18">
        <f t="shared" si="19"/>
        <v>3.0284953145999996E-7</v>
      </c>
      <c r="AG18">
        <f t="shared" si="36"/>
        <v>8234.16432329485</v>
      </c>
      <c r="AH18">
        <f t="shared" si="37"/>
        <v>-3301970.3017270034</v>
      </c>
      <c r="AJ18">
        <f t="shared" si="20"/>
        <v>22100</v>
      </c>
      <c r="AK18">
        <f t="shared" si="21"/>
        <v>1.8037705527387002</v>
      </c>
      <c r="AL18">
        <v>1</v>
      </c>
      <c r="AM18">
        <f t="shared" si="22"/>
        <v>2.1644945039970003E-3</v>
      </c>
      <c r="AN18">
        <f t="shared" si="38"/>
        <v>22099.900365412519</v>
      </c>
      <c r="AO18">
        <f t="shared" si="39"/>
        <v>-46.031342327077994</v>
      </c>
      <c r="AQ18">
        <f t="shared" si="23"/>
        <v>9996.0015993602556</v>
      </c>
      <c r="AR18">
        <f t="shared" si="24"/>
        <v>-199.92003198720514</v>
      </c>
      <c r="AT18">
        <f t="shared" si="40"/>
        <v>-577821288.59701347</v>
      </c>
      <c r="AU18">
        <f t="shared" si="41"/>
        <v>-33008146591.498093</v>
      </c>
      <c r="AV18">
        <f t="shared" si="42"/>
        <v>-1.5882999535258218</v>
      </c>
      <c r="AW18">
        <f t="shared" si="25"/>
        <v>220939062.41233483</v>
      </c>
      <c r="AX18">
        <f t="shared" si="26"/>
        <v>-25928461.034505926</v>
      </c>
      <c r="AY18">
        <f t="shared" si="50"/>
        <v>-0.11682136571874951</v>
      </c>
      <c r="BA18">
        <f t="shared" si="27"/>
        <v>148.40377254071493</v>
      </c>
      <c r="BB18">
        <f t="shared" si="43"/>
        <v>43.428898823818443</v>
      </c>
      <c r="BC18">
        <f t="shared" si="44"/>
        <v>-1.4714785878070722</v>
      </c>
      <c r="BD18">
        <f t="shared" si="28"/>
        <v>-264.30951282155343</v>
      </c>
      <c r="BF18">
        <f t="shared" si="29"/>
        <v>66.899810360384748</v>
      </c>
      <c r="BG18">
        <f t="shared" si="30"/>
        <v>-84.343033968368076</v>
      </c>
      <c r="BH18">
        <f t="shared" si="45"/>
        <v>95.656966031631924</v>
      </c>
      <c r="BI18">
        <f t="shared" si="46"/>
        <v>95.656966031631924</v>
      </c>
      <c r="BJ18">
        <f t="shared" si="31"/>
        <v>0</v>
      </c>
      <c r="BK18">
        <f t="shared" si="47"/>
        <v>0</v>
      </c>
      <c r="BM18">
        <f t="shared" si="48"/>
        <v>23.470911536566298</v>
      </c>
      <c r="BN18">
        <f t="shared" si="32"/>
        <v>-3.352114681466644E-2</v>
      </c>
      <c r="BQ18" s="56">
        <f t="shared" si="49"/>
        <v>60.330859624103581</v>
      </c>
      <c r="BR18" s="59"/>
      <c r="BS18" s="59"/>
      <c r="BT18" s="59">
        <v>120.226</v>
      </c>
      <c r="BU18" s="59">
        <v>33.735999999999997</v>
      </c>
      <c r="BV18" s="59">
        <v>-269.98079999999999</v>
      </c>
      <c r="BW18" s="61"/>
      <c r="BY18" s="59"/>
      <c r="BZ18" s="59"/>
      <c r="CA18" s="59"/>
      <c r="CC18" s="59"/>
    </row>
    <row r="19" spans="1:81" x14ac:dyDescent="0.25">
      <c r="A19">
        <f>A10*10</f>
        <v>20</v>
      </c>
      <c r="B19">
        <f t="shared" si="33"/>
        <v>0.02</v>
      </c>
      <c r="C19">
        <f t="shared" si="0"/>
        <v>1.000000013757439</v>
      </c>
      <c r="D19">
        <f t="shared" si="1"/>
        <v>1.6587609039864657E-4</v>
      </c>
      <c r="F19">
        <f t="shared" si="2"/>
        <v>0.99416639573000898</v>
      </c>
      <c r="G19">
        <f t="shared" si="3"/>
        <v>-1.3359998022736924E-3</v>
      </c>
      <c r="H19">
        <f t="shared" si="4"/>
        <v>-1.3359998022736924E-3</v>
      </c>
      <c r="J19">
        <f t="shared" si="5"/>
        <v>15</v>
      </c>
      <c r="M19">
        <f t="shared" si="6"/>
        <v>74.70519858515442</v>
      </c>
      <c r="N19">
        <f t="shared" si="7"/>
        <v>-1.5707963250000001</v>
      </c>
      <c r="O19">
        <f t="shared" si="8"/>
        <v>1.000013080320667</v>
      </c>
      <c r="P19">
        <f t="shared" si="9"/>
        <v>5.1147195601834667E-3</v>
      </c>
      <c r="Q19">
        <f t="shared" si="10"/>
        <v>1.0000093700290169</v>
      </c>
      <c r="R19">
        <f t="shared" si="11"/>
        <v>4.328961966336288E-3</v>
      </c>
      <c r="S19">
        <f t="shared" si="12"/>
        <v>0.99999998667681611</v>
      </c>
      <c r="T19">
        <f t="shared" si="13"/>
        <v>-1.6323715264410758E-4</v>
      </c>
      <c r="U19">
        <f t="shared" si="14"/>
        <v>0.99999999189244992</v>
      </c>
      <c r="V19">
        <f t="shared" si="15"/>
        <v>-1.2733852615684304E-4</v>
      </c>
      <c r="X19">
        <f t="shared" si="34"/>
        <v>60.938218190923344</v>
      </c>
      <c r="Y19">
        <f t="shared" si="16"/>
        <v>-89.542608815165167</v>
      </c>
      <c r="Z19">
        <f t="shared" si="35"/>
        <v>90.457391184834833</v>
      </c>
      <c r="AC19">
        <v>1</v>
      </c>
      <c r="AD19">
        <f t="shared" si="17"/>
        <v>5.1147641616119998E-3</v>
      </c>
      <c r="AE19">
        <f t="shared" si="18"/>
        <v>-7.7128826383697631E-11</v>
      </c>
      <c r="AF19">
        <f t="shared" si="19"/>
        <v>6.0569906291999993E-7</v>
      </c>
      <c r="AG19">
        <f t="shared" si="36"/>
        <v>8234.1642231565002</v>
      </c>
      <c r="AH19">
        <f t="shared" si="37"/>
        <v>-1650985.937258255</v>
      </c>
      <c r="AJ19">
        <f t="shared" si="20"/>
        <v>22100</v>
      </c>
      <c r="AK19">
        <f t="shared" si="21"/>
        <v>3.6075411054774005</v>
      </c>
      <c r="AL19">
        <v>1</v>
      </c>
      <c r="AM19">
        <f t="shared" si="22"/>
        <v>4.3289890079940005E-3</v>
      </c>
      <c r="AN19">
        <f t="shared" si="38"/>
        <v>22099.601467251479</v>
      </c>
      <c r="AO19">
        <f t="shared" si="39"/>
        <v>-92.061390727302339</v>
      </c>
      <c r="AQ19">
        <f t="shared" si="23"/>
        <v>9984.0255591054301</v>
      </c>
      <c r="AR19">
        <f t="shared" si="24"/>
        <v>-399.36102236421721</v>
      </c>
      <c r="AT19">
        <f t="shared" si="40"/>
        <v>-577129325.75053596</v>
      </c>
      <c r="AU19">
        <f t="shared" si="41"/>
        <v>-16486774199.552526</v>
      </c>
      <c r="AV19">
        <f t="shared" si="42"/>
        <v>-1.6057876328841598</v>
      </c>
      <c r="AW19">
        <f t="shared" si="25"/>
        <v>220643845.36919135</v>
      </c>
      <c r="AX19">
        <f t="shared" si="26"/>
        <v>-20270014.465151958</v>
      </c>
      <c r="AY19">
        <f t="shared" si="50"/>
        <v>-9.1610429970574475E-2</v>
      </c>
      <c r="BA19">
        <f t="shared" si="27"/>
        <v>74.453452786231665</v>
      </c>
      <c r="BB19">
        <f t="shared" si="43"/>
        <v>37.437696860094789</v>
      </c>
      <c r="BC19">
        <f t="shared" si="44"/>
        <v>-1.5141772029135854</v>
      </c>
      <c r="BD19">
        <f t="shared" si="28"/>
        <v>-266.7559632610056</v>
      </c>
      <c r="BF19">
        <f t="shared" si="29"/>
        <v>60.908703746023832</v>
      </c>
      <c r="BG19">
        <f t="shared" si="30"/>
        <v>-86.823006411280872</v>
      </c>
      <c r="BH19">
        <f t="shared" si="45"/>
        <v>93.176993588719128</v>
      </c>
      <c r="BI19">
        <f t="shared" si="46"/>
        <v>93.176993588719128</v>
      </c>
      <c r="BJ19">
        <f t="shared" si="31"/>
        <v>0</v>
      </c>
      <c r="BK19">
        <f t="shared" si="47"/>
        <v>0</v>
      </c>
      <c r="BM19">
        <f t="shared" si="48"/>
        <v>23.471006885929047</v>
      </c>
      <c r="BN19">
        <f t="shared" si="32"/>
        <v>-6.7043150275230057E-2</v>
      </c>
      <c r="BQ19" s="56">
        <f t="shared" si="49"/>
        <v>54.339657660379928</v>
      </c>
      <c r="BR19" s="59"/>
      <c r="BS19" s="59"/>
      <c r="BT19" s="59">
        <v>123.027</v>
      </c>
      <c r="BU19" s="59">
        <v>32.764899999999997</v>
      </c>
      <c r="BV19" s="59">
        <v>-265.73410000000001</v>
      </c>
      <c r="BW19" s="61"/>
      <c r="BY19" s="59"/>
      <c r="BZ19" s="59"/>
      <c r="CA19" s="59"/>
      <c r="CC19" s="59"/>
    </row>
    <row r="20" spans="1:81" x14ac:dyDescent="0.25">
      <c r="A20">
        <f t="shared" ref="A20:A36" si="51">A11*10</f>
        <v>30</v>
      </c>
      <c r="B20">
        <f t="shared" si="33"/>
        <v>0.03</v>
      </c>
      <c r="C20">
        <f t="shared" si="0"/>
        <v>1.0000000309542372</v>
      </c>
      <c r="D20">
        <f t="shared" si="1"/>
        <v>2.4881413274543225E-4</v>
      </c>
      <c r="F20">
        <f t="shared" si="2"/>
        <v>0.99418456813636635</v>
      </c>
      <c r="G20">
        <f t="shared" si="3"/>
        <v>-2.0040370798570378E-3</v>
      </c>
      <c r="H20">
        <f t="shared" si="4"/>
        <v>-2.0040370798570378E-3</v>
      </c>
      <c r="J20">
        <f t="shared" si="5"/>
        <v>15</v>
      </c>
      <c r="M20">
        <f t="shared" si="6"/>
        <v>49.803465723436283</v>
      </c>
      <c r="N20">
        <f t="shared" si="7"/>
        <v>-1.5707963250000001</v>
      </c>
      <c r="O20">
        <f t="shared" si="8"/>
        <v>1.0000294304809059</v>
      </c>
      <c r="P20">
        <f t="shared" si="9"/>
        <v>7.6719957155500541E-3</v>
      </c>
      <c r="Q20">
        <f t="shared" si="10"/>
        <v>1.0000210824418254</v>
      </c>
      <c r="R20">
        <f t="shared" si="11"/>
        <v>6.4933922476789275E-3</v>
      </c>
      <c r="S20">
        <f t="shared" si="12"/>
        <v>0.9999999700228368</v>
      </c>
      <c r="T20">
        <f t="shared" si="13"/>
        <v>-2.4485572624761314E-4</v>
      </c>
      <c r="U20">
        <f t="shared" si="14"/>
        <v>0.99999998175801263</v>
      </c>
      <c r="V20">
        <f t="shared" si="15"/>
        <v>-1.910077879447602E-4</v>
      </c>
      <c r="X20">
        <f t="shared" si="34"/>
        <v>57.416795438607622</v>
      </c>
      <c r="Y20">
        <f t="shared" si="16"/>
        <v>-89.313923060538571</v>
      </c>
      <c r="Z20">
        <f t="shared" si="35"/>
        <v>90.686076939461429</v>
      </c>
      <c r="AC20">
        <v>1</v>
      </c>
      <c r="AD20">
        <f t="shared" si="17"/>
        <v>7.6721462424180001E-3</v>
      </c>
      <c r="AE20">
        <f t="shared" si="18"/>
        <v>-1.7353985936331968E-10</v>
      </c>
      <c r="AF20">
        <f t="shared" si="19"/>
        <v>9.0854859438E-7</v>
      </c>
      <c r="AG20">
        <f t="shared" si="36"/>
        <v>8234.1640562592565</v>
      </c>
      <c r="AH20">
        <f t="shared" si="37"/>
        <v>-1100658.1652774229</v>
      </c>
      <c r="AJ20">
        <f t="shared" si="20"/>
        <v>22100</v>
      </c>
      <c r="AK20">
        <f t="shared" si="21"/>
        <v>5.4113116582161007</v>
      </c>
      <c r="AL20">
        <v>1</v>
      </c>
      <c r="AM20">
        <f t="shared" si="22"/>
        <v>6.4934835119910012E-3</v>
      </c>
      <c r="AN20">
        <f t="shared" si="38"/>
        <v>22099.103322320279</v>
      </c>
      <c r="AO20">
        <f t="shared" si="39"/>
        <v>-138.08885139505617</v>
      </c>
      <c r="AQ20">
        <f t="shared" si="23"/>
        <v>9964.1291351135915</v>
      </c>
      <c r="AR20">
        <f t="shared" si="24"/>
        <v>-597.8477481068154</v>
      </c>
      <c r="AT20">
        <f t="shared" si="40"/>
        <v>-575979731.57020831</v>
      </c>
      <c r="AU20">
        <f t="shared" si="41"/>
        <v>-10972022868.880016</v>
      </c>
      <c r="AV20">
        <f t="shared" si="42"/>
        <v>-1.623243493988499</v>
      </c>
      <c r="AW20">
        <f t="shared" si="25"/>
        <v>220153387.70994383</v>
      </c>
      <c r="AX20">
        <f t="shared" si="26"/>
        <v>-21604704.705155022</v>
      </c>
      <c r="AY20">
        <f t="shared" si="50"/>
        <v>-9.7821562965534042E-2</v>
      </c>
      <c r="BA20">
        <f t="shared" si="27"/>
        <v>49.668117117220426</v>
      </c>
      <c r="BB20">
        <f t="shared" si="43"/>
        <v>33.921553930284681</v>
      </c>
      <c r="BC20">
        <f t="shared" si="44"/>
        <v>-1.5254219310229649</v>
      </c>
      <c r="BD20">
        <f t="shared" si="28"/>
        <v>-267.40023872418141</v>
      </c>
      <c r="BF20">
        <f t="shared" si="29"/>
        <v>57.392719733847926</v>
      </c>
      <c r="BG20">
        <f t="shared" si="30"/>
        <v>-87.500805591270321</v>
      </c>
      <c r="BH20">
        <f t="shared" si="45"/>
        <v>92.499194408729679</v>
      </c>
      <c r="BI20">
        <f t="shared" si="46"/>
        <v>92.499194408729679</v>
      </c>
      <c r="BJ20">
        <f t="shared" si="31"/>
        <v>0</v>
      </c>
      <c r="BK20">
        <f t="shared" si="47"/>
        <v>0</v>
      </c>
      <c r="BM20">
        <f t="shared" si="48"/>
        <v>23.471165803563245</v>
      </c>
      <c r="BN20">
        <f t="shared" si="32"/>
        <v>-0.10056686708892351</v>
      </c>
      <c r="BQ20" s="56">
        <f t="shared" si="49"/>
        <v>50.823514730569812</v>
      </c>
      <c r="BR20" s="59"/>
      <c r="BS20" s="59"/>
      <c r="BT20" s="59">
        <v>125.893</v>
      </c>
      <c r="BU20" s="59">
        <v>32.247199999999999</v>
      </c>
      <c r="BV20" s="59">
        <v>-266.37110000000001</v>
      </c>
      <c r="BW20" s="61"/>
      <c r="BY20" s="59"/>
      <c r="BZ20" s="59"/>
      <c r="CA20" s="59"/>
      <c r="CC20" s="59"/>
    </row>
    <row r="21" spans="1:81" x14ac:dyDescent="0.25">
      <c r="A21">
        <f t="shared" si="51"/>
        <v>40</v>
      </c>
      <c r="B21">
        <f t="shared" si="33"/>
        <v>0.04</v>
      </c>
      <c r="C21">
        <f t="shared" si="0"/>
        <v>1.0000000550297543</v>
      </c>
      <c r="D21">
        <f t="shared" si="1"/>
        <v>3.3175217166917306E-4</v>
      </c>
      <c r="F21">
        <f t="shared" si="2"/>
        <v>0.99421001055119629</v>
      </c>
      <c r="G21">
        <f t="shared" si="3"/>
        <v>-2.6721192121737531E-3</v>
      </c>
      <c r="H21">
        <f t="shared" si="4"/>
        <v>-2.6721192121737531E-3</v>
      </c>
      <c r="J21">
        <f t="shared" si="5"/>
        <v>15</v>
      </c>
      <c r="M21">
        <f t="shared" si="6"/>
        <v>37.35259929257721</v>
      </c>
      <c r="N21">
        <f t="shared" si="7"/>
        <v>-1.5707963250000001</v>
      </c>
      <c r="O21">
        <f t="shared" si="8"/>
        <v>1.0000523202561531</v>
      </c>
      <c r="P21">
        <f t="shared" si="9"/>
        <v>1.0229171528596488E-2</v>
      </c>
      <c r="Q21">
        <f t="shared" si="10"/>
        <v>1.0000374795893028</v>
      </c>
      <c r="R21">
        <f t="shared" si="11"/>
        <v>8.657761690023304E-3</v>
      </c>
      <c r="S21">
        <f t="shared" si="12"/>
        <v>0.99999994670726733</v>
      </c>
      <c r="T21">
        <f t="shared" si="13"/>
        <v>-3.2647429658886116E-4</v>
      </c>
      <c r="U21">
        <f t="shared" si="14"/>
        <v>0.9999999675698007</v>
      </c>
      <c r="V21">
        <f t="shared" si="15"/>
        <v>-2.5467704818407227E-4</v>
      </c>
      <c r="X21">
        <f t="shared" si="34"/>
        <v>54.918584099216481</v>
      </c>
      <c r="Y21">
        <f t="shared" si="16"/>
        <v>-89.08524911082867</v>
      </c>
      <c r="Z21">
        <f t="shared" si="35"/>
        <v>90.91475088917133</v>
      </c>
      <c r="AC21">
        <v>1</v>
      </c>
      <c r="AD21">
        <f t="shared" si="17"/>
        <v>1.0229528323224E-2</v>
      </c>
      <c r="AE21">
        <f t="shared" si="18"/>
        <v>-3.0851530553479052E-10</v>
      </c>
      <c r="AF21">
        <f t="shared" si="19"/>
        <v>1.2113981258399999E-6</v>
      </c>
      <c r="AG21">
        <f t="shared" si="36"/>
        <v>8234.1638226031264</v>
      </c>
      <c r="AH21">
        <f t="shared" si="37"/>
        <v>-825494.54141853843</v>
      </c>
      <c r="AJ21">
        <f t="shared" si="20"/>
        <v>22100</v>
      </c>
      <c r="AK21">
        <f t="shared" si="21"/>
        <v>7.215082210954801</v>
      </c>
      <c r="AL21">
        <v>1</v>
      </c>
      <c r="AM21">
        <f t="shared" si="22"/>
        <v>8.6579780159880011E-3</v>
      </c>
      <c r="AN21">
        <f t="shared" si="38"/>
        <v>22098.405958621948</v>
      </c>
      <c r="AO21">
        <f t="shared" si="39"/>
        <v>-184.1124307671723</v>
      </c>
      <c r="AQ21">
        <f t="shared" si="23"/>
        <v>9936.4069952305254</v>
      </c>
      <c r="AR21">
        <f t="shared" si="24"/>
        <v>-794.91255961844195</v>
      </c>
      <c r="AT21">
        <f t="shared" si="40"/>
        <v>-574377975.86327457</v>
      </c>
      <c r="AU21">
        <f t="shared" si="41"/>
        <v>-8208995176.1163235</v>
      </c>
      <c r="AV21">
        <f t="shared" si="42"/>
        <v>-1.6406518180267213</v>
      </c>
      <c r="AW21">
        <f t="shared" si="25"/>
        <v>219470025.88775921</v>
      </c>
      <c r="AX21">
        <f t="shared" si="26"/>
        <v>-24658476.979465835</v>
      </c>
      <c r="AY21">
        <f t="shared" si="50"/>
        <v>-0.11188542236334878</v>
      </c>
      <c r="BA21">
        <f t="shared" si="27"/>
        <v>37.26072202126737</v>
      </c>
      <c r="BB21">
        <f t="shared" si="43"/>
        <v>31.425025324040821</v>
      </c>
      <c r="BC21">
        <f t="shared" si="44"/>
        <v>-1.5287663956633726</v>
      </c>
      <c r="BD21">
        <f t="shared" si="28"/>
        <v>-267.59186243302645</v>
      </c>
      <c r="BF21">
        <f t="shared" si="29"/>
        <v>54.896413616554241</v>
      </c>
      <c r="BG21">
        <f t="shared" si="30"/>
        <v>-87.725955587112125</v>
      </c>
      <c r="BH21">
        <f t="shared" si="45"/>
        <v>92.274044412887875</v>
      </c>
      <c r="BI21">
        <f t="shared" si="46"/>
        <v>92.274044412887875</v>
      </c>
      <c r="BJ21">
        <f t="shared" si="31"/>
        <v>0</v>
      </c>
      <c r="BK21">
        <f t="shared" si="47"/>
        <v>0</v>
      </c>
      <c r="BM21">
        <f t="shared" si="48"/>
        <v>23.471388292513428</v>
      </c>
      <c r="BN21">
        <f t="shared" si="32"/>
        <v>-0.13409315408565919</v>
      </c>
      <c r="BQ21" s="56">
        <f t="shared" si="49"/>
        <v>48.326986124325956</v>
      </c>
      <c r="BR21" s="59"/>
      <c r="BS21" s="59"/>
      <c r="BT21" s="59">
        <v>128.82499999999999</v>
      </c>
      <c r="BU21" s="59">
        <v>32.3142</v>
      </c>
      <c r="BV21" s="59">
        <v>-268.05959999999999</v>
      </c>
      <c r="BW21" s="61"/>
      <c r="BY21" s="59"/>
      <c r="BZ21" s="59"/>
      <c r="CA21" s="59"/>
      <c r="CC21" s="59"/>
    </row>
    <row r="22" spans="1:81" x14ac:dyDescent="0.25">
      <c r="A22">
        <f t="shared" si="51"/>
        <v>50</v>
      </c>
      <c r="B22">
        <f t="shared" si="33"/>
        <v>0.05</v>
      </c>
      <c r="C22">
        <f t="shared" si="0"/>
        <v>1.0000000859839897</v>
      </c>
      <c r="D22">
        <f t="shared" si="1"/>
        <v>4.1469020602885452E-4</v>
      </c>
      <c r="F22">
        <f t="shared" si="2"/>
        <v>0.99424272402054703</v>
      </c>
      <c r="G22">
        <f t="shared" si="3"/>
        <v>-3.34026115579804E-3</v>
      </c>
      <c r="H22">
        <f t="shared" si="4"/>
        <v>-3.34026115579804E-3</v>
      </c>
      <c r="J22">
        <f t="shared" si="5"/>
        <v>15</v>
      </c>
      <c r="M22">
        <f t="shared" si="6"/>
        <v>29.882079434061765</v>
      </c>
      <c r="N22">
        <f t="shared" si="7"/>
        <v>-1.5707963250000001</v>
      </c>
      <c r="O22">
        <f t="shared" si="8"/>
        <v>1.0000817491973748</v>
      </c>
      <c r="P22">
        <f t="shared" si="9"/>
        <v>1.2786213564131203E-2</v>
      </c>
      <c r="Q22">
        <f t="shared" si="10"/>
        <v>1.0000585612410136</v>
      </c>
      <c r="R22">
        <f t="shared" si="11"/>
        <v>1.0822050019023425E-2</v>
      </c>
      <c r="S22">
        <f t="shared" si="12"/>
        <v>0.9999999167301088</v>
      </c>
      <c r="T22">
        <f t="shared" si="13"/>
        <v>-4.0809286258043268E-4</v>
      </c>
      <c r="U22">
        <f t="shared" si="14"/>
        <v>0.999999949327815</v>
      </c>
      <c r="V22">
        <f t="shared" si="15"/>
        <v>-3.1834630635857756E-4</v>
      </c>
      <c r="X22">
        <f t="shared" si="34"/>
        <v>52.981108188266916</v>
      </c>
      <c r="Y22">
        <f t="shared" si="16"/>
        <v>-88.856590900287344</v>
      </c>
      <c r="Z22">
        <f t="shared" si="35"/>
        <v>91.143409099712656</v>
      </c>
      <c r="AC22">
        <v>1</v>
      </c>
      <c r="AD22">
        <f t="shared" si="17"/>
        <v>1.2786910404029999E-2</v>
      </c>
      <c r="AE22">
        <f t="shared" si="18"/>
        <v>-4.8205516489811012E-10</v>
      </c>
      <c r="AF22">
        <f t="shared" si="19"/>
        <v>1.5142476573E-6</v>
      </c>
      <c r="AG22">
        <f t="shared" si="36"/>
        <v>8234.1635221881224</v>
      </c>
      <c r="AH22">
        <f t="shared" si="37"/>
        <v>-660396.57680839684</v>
      </c>
      <c r="AJ22">
        <f t="shared" si="20"/>
        <v>22100</v>
      </c>
      <c r="AK22">
        <f t="shared" si="21"/>
        <v>9.0188527636935003</v>
      </c>
      <c r="AL22">
        <v>1</v>
      </c>
      <c r="AM22">
        <f t="shared" si="22"/>
        <v>1.0822472519985001E-2</v>
      </c>
      <c r="AN22">
        <f t="shared" si="38"/>
        <v>22097.509415355238</v>
      </c>
      <c r="AO22">
        <f t="shared" si="39"/>
        <v>-230.13083564409843</v>
      </c>
      <c r="AQ22">
        <f t="shared" si="23"/>
        <v>9900.9900990099013</v>
      </c>
      <c r="AR22">
        <f t="shared" si="24"/>
        <v>-990.09900990099004</v>
      </c>
      <c r="AT22">
        <f t="shared" ref="AT22:AT85" si="52">-AR22*AH22+AG22*AQ22</f>
        <v>-572331625.33318377</v>
      </c>
      <c r="AU22">
        <f t="shared" ref="AU22:AU85" si="53">AQ22*AH22+AG22*AR22</f>
        <v>-6546732605.5506506</v>
      </c>
      <c r="AV22">
        <f t="shared" si="42"/>
        <v>-1.6579971120282859</v>
      </c>
      <c r="AW22">
        <f t="shared" si="25"/>
        <v>218596992.05404586</v>
      </c>
      <c r="AX22">
        <f t="shared" si="26"/>
        <v>-28367564.469011154</v>
      </c>
      <c r="AY22">
        <f t="shared" si="50"/>
        <v>-0.1290498671845349</v>
      </c>
      <c r="BA22">
        <f t="shared" si="27"/>
        <v>29.813109606902184</v>
      </c>
      <c r="BB22">
        <f t="shared" si="43"/>
        <v>29.488145535202097</v>
      </c>
      <c r="BC22">
        <f t="shared" si="44"/>
        <v>-1.5289472448437511</v>
      </c>
      <c r="BD22">
        <f t="shared" si="28"/>
        <v>-267.60222432780239</v>
      </c>
      <c r="BF22">
        <f t="shared" si="29"/>
        <v>52.959819892244255</v>
      </c>
      <c r="BG22">
        <f t="shared" si="30"/>
        <v>-87.76984719608177</v>
      </c>
      <c r="BH22">
        <f t="shared" si="45"/>
        <v>92.23015280391823</v>
      </c>
      <c r="BI22">
        <f t="shared" si="46"/>
        <v>92.23015280391823</v>
      </c>
      <c r="BJ22">
        <f t="shared" si="31"/>
        <v>0</v>
      </c>
      <c r="BK22">
        <f t="shared" si="47"/>
        <v>0</v>
      </c>
      <c r="BM22">
        <f t="shared" si="48"/>
        <v>23.471674357042161</v>
      </c>
      <c r="BN22">
        <f t="shared" si="32"/>
        <v>-0.16762286827939113</v>
      </c>
      <c r="BQ22" s="56">
        <f t="shared" si="49"/>
        <v>46.390106335487232</v>
      </c>
      <c r="BR22" s="59"/>
      <c r="BS22" s="59"/>
      <c r="BT22" s="59">
        <v>131.82599999999999</v>
      </c>
      <c r="BU22" s="59">
        <v>32.155799999999999</v>
      </c>
      <c r="BV22" s="59">
        <v>-263.3605</v>
      </c>
      <c r="BW22" s="61"/>
      <c r="BY22" s="59"/>
      <c r="BZ22" s="59"/>
      <c r="CA22" s="59"/>
      <c r="CC22" s="59"/>
    </row>
    <row r="23" spans="1:81" x14ac:dyDescent="0.25">
      <c r="A23">
        <f t="shared" si="51"/>
        <v>60</v>
      </c>
      <c r="B23">
        <f t="shared" si="33"/>
        <v>0.06</v>
      </c>
      <c r="C23">
        <f t="shared" si="0"/>
        <v>1.0000001238169427</v>
      </c>
      <c r="D23">
        <f t="shared" si="1"/>
        <v>4.9762823468346251E-4</v>
      </c>
      <c r="F23">
        <f t="shared" si="2"/>
        <v>0.99428270988950862</v>
      </c>
      <c r="G23">
        <f t="shared" si="3"/>
        <v>-4.008477871587663E-3</v>
      </c>
      <c r="H23">
        <f t="shared" si="4"/>
        <v>-4.008477871587663E-3</v>
      </c>
      <c r="J23">
        <f t="shared" si="5"/>
        <v>15</v>
      </c>
      <c r="M23">
        <f t="shared" si="6"/>
        <v>24.901732861718141</v>
      </c>
      <c r="N23">
        <f t="shared" si="7"/>
        <v>-1.5707963250000001</v>
      </c>
      <c r="O23">
        <f t="shared" si="8"/>
        <v>1.0001177167273161</v>
      </c>
      <c r="P23">
        <f t="shared" si="9"/>
        <v>1.5343088397458253E-2</v>
      </c>
      <c r="Q23">
        <f t="shared" si="10"/>
        <v>1.0000843271007112</v>
      </c>
      <c r="R23">
        <f t="shared" si="11"/>
        <v>1.2986236964892404E-2</v>
      </c>
      <c r="S23">
        <f t="shared" si="12"/>
        <v>0.99999988009136342</v>
      </c>
      <c r="T23">
        <f t="shared" si="13"/>
        <v>-4.8971142313490937E-4</v>
      </c>
      <c r="U23">
        <f t="shared" si="14"/>
        <v>0.99999992703205609</v>
      </c>
      <c r="V23">
        <f t="shared" si="15"/>
        <v>-3.8201556195207464E-4</v>
      </c>
      <c r="X23">
        <f t="shared" si="34"/>
        <v>51.398368563270829</v>
      </c>
      <c r="Y23">
        <f t="shared" si="16"/>
        <v>-88.627952362549379</v>
      </c>
      <c r="Z23">
        <f t="shared" si="35"/>
        <v>91.372047637450621</v>
      </c>
      <c r="AC23">
        <v>1</v>
      </c>
      <c r="AD23">
        <f t="shared" si="17"/>
        <v>1.5344292484836E-2</v>
      </c>
      <c r="AE23">
        <f t="shared" si="18"/>
        <v>-6.9415943745327871E-10</v>
      </c>
      <c r="AF23">
        <f t="shared" si="19"/>
        <v>1.81709718876E-6</v>
      </c>
      <c r="AG23">
        <f t="shared" si="36"/>
        <v>8234.1631550142574</v>
      </c>
      <c r="AH23">
        <f t="shared" si="37"/>
        <v>-550331.44182258879</v>
      </c>
      <c r="AJ23">
        <f t="shared" si="20"/>
        <v>22100</v>
      </c>
      <c r="AK23">
        <f t="shared" si="21"/>
        <v>10.822623316432201</v>
      </c>
      <c r="AL23">
        <v>1</v>
      </c>
      <c r="AM23">
        <f t="shared" si="22"/>
        <v>1.2986967023982002E-2</v>
      </c>
      <c r="AN23">
        <f t="shared" si="38"/>
        <v>22096.413742909095</v>
      </c>
      <c r="AO23">
        <f t="shared" si="39"/>
        <v>-276.142773310991</v>
      </c>
      <c r="AQ23">
        <f t="shared" si="23"/>
        <v>9858.0441640378558</v>
      </c>
      <c r="AR23">
        <f t="shared" si="24"/>
        <v>-1182.9652996845425</v>
      </c>
      <c r="AT23">
        <f t="shared" si="52"/>
        <v>-569850254.96546125</v>
      </c>
      <c r="AU23">
        <f t="shared" si="53"/>
        <v>-5434932387.6300325</v>
      </c>
      <c r="AV23">
        <f t="shared" si="42"/>
        <v>-1.6752641799777288</v>
      </c>
      <c r="AW23">
        <f t="shared" si="25"/>
        <v>217538376.20597893</v>
      </c>
      <c r="AX23">
        <f t="shared" si="26"/>
        <v>-32370230.450875286</v>
      </c>
      <c r="AY23">
        <f t="shared" si="50"/>
        <v>-0.14771848630491319</v>
      </c>
      <c r="BA23">
        <f t="shared" si="27"/>
        <v>24.847161379280756</v>
      </c>
      <c r="BB23">
        <f t="shared" si="43"/>
        <v>27.905535613715955</v>
      </c>
      <c r="BC23">
        <f t="shared" si="44"/>
        <v>-1.5275456936728156</v>
      </c>
      <c r="BD23">
        <f t="shared" si="28"/>
        <v>-267.52192136084443</v>
      </c>
      <c r="BF23">
        <f t="shared" si="29"/>
        <v>51.377559616346232</v>
      </c>
      <c r="BG23">
        <f t="shared" si="30"/>
        <v>-87.723078227773911</v>
      </c>
      <c r="BH23">
        <f t="shared" si="45"/>
        <v>92.276921772226089</v>
      </c>
      <c r="BI23">
        <f t="shared" si="46"/>
        <v>92.276921772226089</v>
      </c>
      <c r="BJ23">
        <f t="shared" si="31"/>
        <v>0</v>
      </c>
      <c r="BK23">
        <f t="shared" si="47"/>
        <v>0</v>
      </c>
      <c r="BM23">
        <f t="shared" si="48"/>
        <v>23.472024002630263</v>
      </c>
      <c r="BN23">
        <f t="shared" si="32"/>
        <v>-0.20115686692950341</v>
      </c>
      <c r="BQ23" s="56">
        <f t="shared" si="49"/>
        <v>44.807496414001093</v>
      </c>
      <c r="BR23" s="58"/>
      <c r="BS23" s="58"/>
      <c r="BT23" s="58">
        <v>134.89599999999999</v>
      </c>
      <c r="BU23" s="58">
        <v>32.875300000000003</v>
      </c>
      <c r="BV23" s="58">
        <v>-269.46539999999999</v>
      </c>
      <c r="BW23" s="61"/>
      <c r="BY23" s="58"/>
      <c r="BZ23" s="58"/>
      <c r="CA23" s="58"/>
      <c r="CC23" s="58"/>
    </row>
    <row r="24" spans="1:81" x14ac:dyDescent="0.25">
      <c r="A24">
        <f t="shared" si="51"/>
        <v>70</v>
      </c>
      <c r="B24">
        <f t="shared" si="33"/>
        <v>7.0000000000000007E-2</v>
      </c>
      <c r="C24">
        <f t="shared" si="0"/>
        <v>1.0000001685286128</v>
      </c>
      <c r="D24">
        <f t="shared" si="1"/>
        <v>5.8056625649198317E-4</v>
      </c>
      <c r="F24">
        <f t="shared" si="2"/>
        <v>0.9943299698023399</v>
      </c>
      <c r="G24">
        <f t="shared" si="3"/>
        <v>-4.6767843257559923E-3</v>
      </c>
      <c r="H24">
        <f t="shared" si="4"/>
        <v>-4.6767843257559923E-3</v>
      </c>
      <c r="J24">
        <f t="shared" si="5"/>
        <v>15</v>
      </c>
      <c r="M24">
        <f t="shared" si="6"/>
        <v>21.344342452901262</v>
      </c>
      <c r="N24">
        <f t="shared" si="7"/>
        <v>-1.5707963250000001</v>
      </c>
      <c r="O24">
        <f t="shared" si="8"/>
        <v>1.0001602221405599</v>
      </c>
      <c r="P24">
        <f t="shared" si="9"/>
        <v>1.7899762616997349E-2</v>
      </c>
      <c r="Q24">
        <f t="shared" si="10"/>
        <v>1.0001147768063592</v>
      </c>
      <c r="R24">
        <f t="shared" si="11"/>
        <v>1.5150302263541063E-2</v>
      </c>
      <c r="S24">
        <f t="shared" si="12"/>
        <v>0.99999983679103299</v>
      </c>
      <c r="T24">
        <f t="shared" si="13"/>
        <v>-5.713299771648733E-4</v>
      </c>
      <c r="U24">
        <f t="shared" si="14"/>
        <v>0.99999990068252476</v>
      </c>
      <c r="V24">
        <f t="shared" si="15"/>
        <v>-4.4568481444836222E-4</v>
      </c>
      <c r="X24">
        <f t="shared" si="34"/>
        <v>50.060479001518459</v>
      </c>
      <c r="Y24">
        <f t="shared" si="16"/>
        <v>-88.39933743047844</v>
      </c>
      <c r="Z24">
        <f t="shared" si="35"/>
        <v>91.60066256952156</v>
      </c>
      <c r="AC24">
        <v>1</v>
      </c>
      <c r="AD24">
        <f t="shared" si="17"/>
        <v>1.7901674565642001E-2</v>
      </c>
      <c r="AE24">
        <f t="shared" si="18"/>
        <v>-9.4482812320029606E-10</v>
      </c>
      <c r="AF24">
        <f t="shared" si="19"/>
        <v>2.1199467202199997E-6</v>
      </c>
      <c r="AG24">
        <f t="shared" si="36"/>
        <v>8234.1627210815532</v>
      </c>
      <c r="AH24">
        <f t="shared" si="37"/>
        <v>-471713.63805064547</v>
      </c>
      <c r="AJ24">
        <f t="shared" si="20"/>
        <v>22100</v>
      </c>
      <c r="AK24">
        <f t="shared" si="21"/>
        <v>12.626393869170901</v>
      </c>
      <c r="AL24">
        <v>1</v>
      </c>
      <c r="AM24">
        <f t="shared" si="22"/>
        <v>1.5151461527979001E-2</v>
      </c>
      <c r="AN24">
        <f t="shared" si="38"/>
        <v>22095.119002855587</v>
      </c>
      <c r="AO24">
        <f t="shared" si="39"/>
        <v>-322.14695165871331</v>
      </c>
      <c r="AQ24">
        <f t="shared" si="23"/>
        <v>9807.7677520596299</v>
      </c>
      <c r="AR24">
        <f t="shared" si="24"/>
        <v>-1373.0874852883483</v>
      </c>
      <c r="AT24">
        <f t="shared" si="52"/>
        <v>-566945337.44614363</v>
      </c>
      <c r="AU24">
        <f t="shared" si="53"/>
        <v>-4637764033.2639942</v>
      </c>
      <c r="AV24">
        <f t="shared" si="42"/>
        <v>-1.6924381904744188</v>
      </c>
      <c r="AW24">
        <f t="shared" si="25"/>
        <v>216299078.95040241</v>
      </c>
      <c r="AX24">
        <f t="shared" si="26"/>
        <v>-36505655.629809514</v>
      </c>
      <c r="AY24">
        <f t="shared" si="50"/>
        <v>-0.16719832946708291</v>
      </c>
      <c r="BA24">
        <f t="shared" si="27"/>
        <v>21.29982802875368</v>
      </c>
      <c r="BB24">
        <f t="shared" si="43"/>
        <v>26.56752194063877</v>
      </c>
      <c r="BC24">
        <f t="shared" si="44"/>
        <v>-1.5252398610073359</v>
      </c>
      <c r="BD24">
        <f t="shared" si="28"/>
        <v>-267.38980688069807</v>
      </c>
      <c r="BF24">
        <f t="shared" si="29"/>
        <v>50.039959176615895</v>
      </c>
      <c r="BG24">
        <f t="shared" si="30"/>
        <v>-87.624502888300285</v>
      </c>
      <c r="BH24">
        <f t="shared" si="45"/>
        <v>92.375497111699715</v>
      </c>
      <c r="BI24">
        <f t="shared" si="46"/>
        <v>92.375497111699715</v>
      </c>
      <c r="BJ24">
        <f t="shared" si="31"/>
        <v>0</v>
      </c>
      <c r="BK24">
        <f t="shared" si="47"/>
        <v>0</v>
      </c>
      <c r="BM24">
        <f t="shared" si="48"/>
        <v>23.472437235977125</v>
      </c>
      <c r="BN24">
        <f t="shared" si="32"/>
        <v>-0.23469600760223372</v>
      </c>
      <c r="BQ24" s="56">
        <f t="shared" si="49"/>
        <v>43.469482740923908</v>
      </c>
      <c r="BR24" s="58"/>
      <c r="BS24" s="58"/>
      <c r="BT24" s="58">
        <v>138.03800000000001</v>
      </c>
      <c r="BU24" s="58">
        <v>32.538699999999999</v>
      </c>
      <c r="BV24" s="58">
        <v>-267.95069999999998</v>
      </c>
      <c r="BW24" s="61"/>
      <c r="BY24" s="58"/>
      <c r="BZ24" s="58"/>
      <c r="CA24" s="58"/>
      <c r="CC24" s="58"/>
    </row>
    <row r="25" spans="1:81" x14ac:dyDescent="0.25">
      <c r="A25">
        <f t="shared" si="51"/>
        <v>80</v>
      </c>
      <c r="B25">
        <f t="shared" si="33"/>
        <v>0.08</v>
      </c>
      <c r="C25">
        <f t="shared" si="0"/>
        <v>1.0000002201189988</v>
      </c>
      <c r="D25">
        <f t="shared" si="1"/>
        <v>6.635042703134037E-4</v>
      </c>
      <c r="F25">
        <f t="shared" si="2"/>
        <v>0.99438450570262515</v>
      </c>
      <c r="G25">
        <f t="shared" si="3"/>
        <v>-5.3451954909448226E-3</v>
      </c>
      <c r="H25">
        <f t="shared" si="4"/>
        <v>-5.3451954909448226E-3</v>
      </c>
      <c r="J25">
        <f t="shared" si="5"/>
        <v>15</v>
      </c>
      <c r="M25">
        <f t="shared" si="6"/>
        <v>18.676299646288605</v>
      </c>
      <c r="N25">
        <f t="shared" si="7"/>
        <v>-1.5707963250000001</v>
      </c>
      <c r="O25">
        <f t="shared" si="8"/>
        <v>1.0002092646035941</v>
      </c>
      <c r="P25">
        <f t="shared" si="9"/>
        <v>2.0456202826901335E-2</v>
      </c>
      <c r="Q25">
        <f t="shared" si="10"/>
        <v>1.0001499099301572</v>
      </c>
      <c r="R25">
        <f t="shared" si="11"/>
        <v>1.7314225657715687E-2</v>
      </c>
      <c r="S25">
        <f t="shared" si="12"/>
        <v>0.99999978682912027</v>
      </c>
      <c r="T25">
        <f t="shared" si="13"/>
        <v>-6.5294852358290683E-4</v>
      </c>
      <c r="U25">
        <f t="shared" si="14"/>
        <v>0.99999987027922188</v>
      </c>
      <c r="V25">
        <f t="shared" si="15"/>
        <v>-5.0935406333123896E-4</v>
      </c>
      <c r="X25">
        <f t="shared" si="34"/>
        <v>48.901847213739806</v>
      </c>
      <c r="Y25">
        <f t="shared" si="16"/>
        <v>-88.170750036013459</v>
      </c>
      <c r="Z25">
        <f t="shared" si="35"/>
        <v>91.829249963986541</v>
      </c>
      <c r="AC25">
        <v>1</v>
      </c>
      <c r="AD25">
        <f t="shared" si="17"/>
        <v>2.0459056646447999E-2</v>
      </c>
      <c r="AE25">
        <f t="shared" si="18"/>
        <v>-1.2340612221391621E-9</v>
      </c>
      <c r="AF25">
        <f t="shared" si="19"/>
        <v>2.4227962516799997E-6</v>
      </c>
      <c r="AG25">
        <f t="shared" si="36"/>
        <v>8234.1622203900242</v>
      </c>
      <c r="AH25">
        <f t="shared" si="37"/>
        <v>-412750.41628732608</v>
      </c>
      <c r="AJ25">
        <f t="shared" si="20"/>
        <v>22100</v>
      </c>
      <c r="AK25">
        <f t="shared" si="21"/>
        <v>14.430164421909602</v>
      </c>
      <c r="AL25">
        <v>1</v>
      </c>
      <c r="AM25">
        <f t="shared" si="22"/>
        <v>1.7315956031976002E-2</v>
      </c>
      <c r="AN25">
        <f t="shared" si="38"/>
        <v>22093.625267941236</v>
      </c>
      <c r="AO25">
        <f t="shared" si="39"/>
        <v>-368.14207930471485</v>
      </c>
      <c r="AQ25">
        <f t="shared" si="23"/>
        <v>9750.3900156006239</v>
      </c>
      <c r="AR25">
        <f t="shared" si="24"/>
        <v>-1560.0624024960998</v>
      </c>
      <c r="AT25">
        <f t="shared" si="52"/>
        <v>-563630112.96394444</v>
      </c>
      <c r="AU25">
        <f t="shared" si="53"/>
        <v>-4037323344.7990298</v>
      </c>
      <c r="AV25">
        <f t="shared" si="42"/>
        <v>-1.7095047402177277</v>
      </c>
      <c r="AW25">
        <f t="shared" si="25"/>
        <v>214884755.88843137</v>
      </c>
      <c r="AX25">
        <f t="shared" si="26"/>
        <v>-40688712.341637269</v>
      </c>
      <c r="AY25">
        <f t="shared" si="50"/>
        <v>-0.18713579429463831</v>
      </c>
      <c r="BA25">
        <f t="shared" si="27"/>
        <v>18.639319493814888</v>
      </c>
      <c r="BB25">
        <f t="shared" si="43"/>
        <v>25.40860105147943</v>
      </c>
      <c r="BC25">
        <f t="shared" si="44"/>
        <v>-1.5223689459230894</v>
      </c>
      <c r="BD25">
        <f t="shared" si="28"/>
        <v>-267.2253155628423</v>
      </c>
      <c r="BF25">
        <f t="shared" si="29"/>
        <v>48.881515116480429</v>
      </c>
      <c r="BG25">
        <f t="shared" si="30"/>
        <v>-87.493556711074461</v>
      </c>
      <c r="BH25">
        <f t="shared" si="45"/>
        <v>92.506443288925539</v>
      </c>
      <c r="BI25">
        <f t="shared" si="46"/>
        <v>92.506443288925539</v>
      </c>
      <c r="BJ25">
        <f t="shared" si="31"/>
        <v>0</v>
      </c>
      <c r="BK25">
        <f t="shared" si="47"/>
        <v>0</v>
      </c>
      <c r="BM25">
        <f t="shared" si="48"/>
        <v>23.472914065000992</v>
      </c>
      <c r="BN25">
        <f t="shared" si="32"/>
        <v>-0.26824114823214124</v>
      </c>
      <c r="BQ25" s="56">
        <f t="shared" si="49"/>
        <v>42.310561851764568</v>
      </c>
      <c r="BR25" s="58"/>
      <c r="BS25" s="58"/>
      <c r="BT25" s="58">
        <v>141.25399999999999</v>
      </c>
      <c r="BU25" s="58">
        <v>32.377000000000002</v>
      </c>
      <c r="BV25" s="58">
        <v>-263.11430000000001</v>
      </c>
      <c r="BW25" s="61"/>
      <c r="BY25" s="58"/>
      <c r="BZ25" s="58"/>
      <c r="CA25" s="58"/>
      <c r="CC25" s="58"/>
    </row>
    <row r="26" spans="1:81" x14ac:dyDescent="0.25">
      <c r="A26">
        <f t="shared" si="51"/>
        <v>90</v>
      </c>
      <c r="B26">
        <f t="shared" si="33"/>
        <v>0.09</v>
      </c>
      <c r="C26">
        <f t="shared" si="0"/>
        <v>1.0000002785880997</v>
      </c>
      <c r="D26">
        <f t="shared" si="1"/>
        <v>7.4644227500671146E-4</v>
      </c>
      <c r="F26">
        <f t="shared" si="2"/>
        <v>0.99444631983345821</v>
      </c>
      <c r="G26">
        <f t="shared" si="3"/>
        <v>-6.0137263472981048E-3</v>
      </c>
      <c r="H26">
        <f t="shared" si="4"/>
        <v>-6.0137263472981048E-3</v>
      </c>
      <c r="J26">
        <f t="shared" si="5"/>
        <v>15</v>
      </c>
      <c r="M26">
        <f t="shared" si="6"/>
        <v>16.601155241145428</v>
      </c>
      <c r="N26">
        <f t="shared" si="7"/>
        <v>-1.5707963250000001</v>
      </c>
      <c r="O26">
        <f t="shared" si="8"/>
        <v>1.0002648431548944</v>
      </c>
      <c r="P26">
        <f t="shared" si="9"/>
        <v>2.3012375649670572E-2</v>
      </c>
      <c r="Q26">
        <f t="shared" si="10"/>
        <v>1.0001897259785688</v>
      </c>
      <c r="R26">
        <f t="shared" si="11"/>
        <v>1.9477986898134854E-2</v>
      </c>
      <c r="S26">
        <f t="shared" si="12"/>
        <v>0.99999973020562827</v>
      </c>
      <c r="T26">
        <f t="shared" si="13"/>
        <v>-7.3456706130159313E-4</v>
      </c>
      <c r="U26">
        <f t="shared" si="14"/>
        <v>0.9999998358221488</v>
      </c>
      <c r="V26">
        <f t="shared" si="15"/>
        <v>-5.7302330808450374E-4</v>
      </c>
      <c r="X26">
        <f t="shared" si="34"/>
        <v>47.880164821350121</v>
      </c>
      <c r="Y26">
        <f t="shared" si="16"/>
        <v>-87.942194110015166</v>
      </c>
      <c r="Z26">
        <f t="shared" si="35"/>
        <v>92.057805889984834</v>
      </c>
      <c r="AC26">
        <v>1</v>
      </c>
      <c r="AD26">
        <f t="shared" si="17"/>
        <v>2.3016438727254E-2</v>
      </c>
      <c r="AE26">
        <f t="shared" si="18"/>
        <v>-1.5618587342698767E-9</v>
      </c>
      <c r="AF26">
        <f t="shared" si="19"/>
        <v>2.7256457831400001E-6</v>
      </c>
      <c r="AG26">
        <f t="shared" si="36"/>
        <v>8234.1616529396979</v>
      </c>
      <c r="AH26">
        <f t="shared" si="37"/>
        <v>-366890.24919637997</v>
      </c>
      <c r="AJ26">
        <f t="shared" si="20"/>
        <v>22100</v>
      </c>
      <c r="AK26">
        <f t="shared" si="21"/>
        <v>16.233934974648303</v>
      </c>
      <c r="AL26">
        <v>1</v>
      </c>
      <c r="AM26">
        <f t="shared" si="22"/>
        <v>1.9480450535973002E-2</v>
      </c>
      <c r="AN26">
        <f t="shared" si="38"/>
        <v>22091.932622076845</v>
      </c>
      <c r="AO26">
        <f t="shared" si="39"/>
        <v>-414.12686571376804</v>
      </c>
      <c r="AQ26">
        <f t="shared" si="23"/>
        <v>9686.1681518791174</v>
      </c>
      <c r="AR26">
        <f t="shared" si="24"/>
        <v>-1743.510267338241</v>
      </c>
      <c r="AT26">
        <f t="shared" si="52"/>
        <v>-559919442.10004556</v>
      </c>
      <c r="AU26">
        <f t="shared" si="53"/>
        <v>-3568116992.3857918</v>
      </c>
      <c r="AV26">
        <f t="shared" si="42"/>
        <v>-1.7264499126845081</v>
      </c>
      <c r="AW26">
        <f t="shared" si="25"/>
        <v>213301754.77575338</v>
      </c>
      <c r="AX26">
        <f t="shared" si="26"/>
        <v>-44868262.755973026</v>
      </c>
      <c r="AY26">
        <f t="shared" si="50"/>
        <v>-0.20732845892408922</v>
      </c>
      <c r="BA26">
        <f t="shared" si="27"/>
        <v>16.570108423222866</v>
      </c>
      <c r="BB26">
        <f t="shared" si="43"/>
        <v>24.386507002971342</v>
      </c>
      <c r="BC26">
        <f t="shared" si="44"/>
        <v>-1.519121453760419</v>
      </c>
      <c r="BD26">
        <f t="shared" si="28"/>
        <v>-267.0392479677069</v>
      </c>
      <c r="BF26">
        <f t="shared" si="29"/>
        <v>47.859961501810773</v>
      </c>
      <c r="BG26">
        <f t="shared" si="30"/>
        <v>-87.341041114890515</v>
      </c>
      <c r="BH26">
        <f t="shared" si="45"/>
        <v>92.658958885109485</v>
      </c>
      <c r="BI26">
        <f t="shared" si="46"/>
        <v>92.658958885109485</v>
      </c>
      <c r="BJ26">
        <f t="shared" si="31"/>
        <v>0</v>
      </c>
      <c r="BK26">
        <f t="shared" si="47"/>
        <v>0</v>
      </c>
      <c r="BM26">
        <f t="shared" si="48"/>
        <v>23.47345449883943</v>
      </c>
      <c r="BN26">
        <f t="shared" si="32"/>
        <v>-0.30179314718362699</v>
      </c>
      <c r="BQ26" s="56">
        <f t="shared" si="49"/>
        <v>41.288467803256481</v>
      </c>
      <c r="BR26" s="58"/>
      <c r="BS26" s="58"/>
      <c r="BT26" s="58">
        <v>144.54400000000001</v>
      </c>
      <c r="BU26" s="58">
        <v>31.499099999999999</v>
      </c>
      <c r="BV26" s="58">
        <v>-266.2885</v>
      </c>
      <c r="BW26" s="61"/>
      <c r="BY26" s="58"/>
      <c r="BZ26" s="58"/>
      <c r="CA26" s="58"/>
      <c r="CC26" s="58"/>
    </row>
    <row r="27" spans="1:81" x14ac:dyDescent="0.25">
      <c r="A27">
        <f t="shared" si="51"/>
        <v>100</v>
      </c>
      <c r="B27">
        <f t="shared" si="33"/>
        <v>0.1</v>
      </c>
      <c r="C27">
        <f t="shared" si="0"/>
        <v>1.0000003439359142</v>
      </c>
      <c r="D27">
        <f t="shared" si="1"/>
        <v>8.2938026943089481E-4</v>
      </c>
      <c r="F27">
        <f t="shared" si="2"/>
        <v>0.99451541473765614</v>
      </c>
      <c r="G27">
        <f t="shared" si="3"/>
        <v>-6.6823918835367743E-3</v>
      </c>
      <c r="H27">
        <f t="shared" si="4"/>
        <v>-6.6823918835367743E-3</v>
      </c>
      <c r="J27">
        <f t="shared" si="5"/>
        <v>15</v>
      </c>
      <c r="M27">
        <f t="shared" si="6"/>
        <v>14.941039717030883</v>
      </c>
      <c r="N27">
        <f t="shared" si="7"/>
        <v>-1.5707963250000001</v>
      </c>
      <c r="O27">
        <f t="shared" si="8"/>
        <v>1.0003269567050179</v>
      </c>
      <c r="P27">
        <f t="shared" si="9"/>
        <v>2.5568247728763736E-2</v>
      </c>
      <c r="Q27">
        <f t="shared" si="10"/>
        <v>1.0002342243923585</v>
      </c>
      <c r="R27">
        <f t="shared" si="11"/>
        <v>2.1641565744625134E-2</v>
      </c>
      <c r="S27">
        <f t="shared" si="12"/>
        <v>0.9999996669205603</v>
      </c>
      <c r="T27">
        <f t="shared" si="13"/>
        <v>-8.161855892335158E-4</v>
      </c>
      <c r="U27">
        <f t="shared" si="14"/>
        <v>0.99999979731130639</v>
      </c>
      <c r="V27">
        <f t="shared" si="15"/>
        <v>-6.3669254819195603E-4</v>
      </c>
      <c r="X27">
        <f t="shared" si="34"/>
        <v>46.966543953204607</v>
      </c>
      <c r="Y27">
        <f t="shared" si="16"/>
        <v>-87.713673582113074</v>
      </c>
      <c r="Z27">
        <f t="shared" si="35"/>
        <v>92.286326417886926</v>
      </c>
      <c r="AC27">
        <v>1</v>
      </c>
      <c r="AD27">
        <f t="shared" si="17"/>
        <v>2.5573820808059998E-2</v>
      </c>
      <c r="AE27">
        <f t="shared" si="18"/>
        <v>-1.9282206595924405E-9</v>
      </c>
      <c r="AF27">
        <f t="shared" si="19"/>
        <v>3.0284953146000001E-6</v>
      </c>
      <c r="AG27">
        <f t="shared" si="36"/>
        <v>8234.1610187306032</v>
      </c>
      <c r="AH27">
        <f t="shared" si="37"/>
        <v>-330202.22037605214</v>
      </c>
      <c r="AJ27">
        <f t="shared" si="20"/>
        <v>22100</v>
      </c>
      <c r="AK27">
        <f t="shared" si="21"/>
        <v>18.037705527387001</v>
      </c>
      <c r="AL27">
        <v>1</v>
      </c>
      <c r="AM27">
        <f t="shared" si="22"/>
        <v>2.1644945039970002E-2</v>
      </c>
      <c r="AN27">
        <f t="shared" si="38"/>
        <v>22090.041160325673</v>
      </c>
      <c r="AO27">
        <f t="shared" si="39"/>
        <v>-460.10002131853736</v>
      </c>
      <c r="AQ27">
        <f t="shared" si="23"/>
        <v>9615.3846153846152</v>
      </c>
      <c r="AR27">
        <f t="shared" si="24"/>
        <v>-1923.0769230769231</v>
      </c>
      <c r="AT27">
        <f t="shared" si="52"/>
        <v>-555829644.77384448</v>
      </c>
      <c r="AU27">
        <f t="shared" si="53"/>
        <v>-3190856274.8057523</v>
      </c>
      <c r="AV27">
        <f t="shared" si="42"/>
        <v>-1.7432603314642054</v>
      </c>
      <c r="AW27">
        <f t="shared" si="25"/>
        <v>211557046.72658241</v>
      </c>
      <c r="AX27">
        <f t="shared" si="26"/>
        <v>-49010507.938967302</v>
      </c>
      <c r="AY27">
        <f t="shared" si="50"/>
        <v>-0.22764980767005652</v>
      </c>
      <c r="BA27">
        <f t="shared" si="27"/>
        <v>14.914843940759846</v>
      </c>
      <c r="BB27">
        <f t="shared" si="43"/>
        <v>23.472374270929208</v>
      </c>
      <c r="BC27">
        <f t="shared" si="44"/>
        <v>-1.5156105237941488</v>
      </c>
      <c r="BD27">
        <f t="shared" si="28"/>
        <v>-266.83808649824374</v>
      </c>
      <c r="BF27">
        <f t="shared" si="29"/>
        <v>46.946432818779002</v>
      </c>
      <c r="BG27">
        <f t="shared" si="30"/>
        <v>-87.173439361556248</v>
      </c>
      <c r="BH27">
        <f t="shared" si="45"/>
        <v>92.826560638443752</v>
      </c>
      <c r="BI27">
        <f t="shared" si="46"/>
        <v>92.826560638443752</v>
      </c>
      <c r="BJ27">
        <f t="shared" si="31"/>
        <v>0</v>
      </c>
      <c r="BK27">
        <f t="shared" si="47"/>
        <v>0</v>
      </c>
      <c r="BM27">
        <f t="shared" si="48"/>
        <v>23.474058547849793</v>
      </c>
      <c r="BN27">
        <f t="shared" si="32"/>
        <v>-0.33535286331251712</v>
      </c>
      <c r="BQ27" s="56">
        <f t="shared" si="49"/>
        <v>40.374335071214347</v>
      </c>
      <c r="BR27" s="58"/>
      <c r="BS27" s="58"/>
      <c r="BT27" s="58">
        <v>147.911</v>
      </c>
      <c r="BU27" s="58">
        <v>31.4819</v>
      </c>
      <c r="BV27" s="58">
        <v>-266.34629999999999</v>
      </c>
      <c r="BW27" s="61"/>
      <c r="BY27" s="58"/>
      <c r="BZ27" s="58"/>
      <c r="CA27" s="58"/>
      <c r="CC27" s="58"/>
    </row>
    <row r="28" spans="1:81" x14ac:dyDescent="0.25">
      <c r="A28">
        <f t="shared" si="51"/>
        <v>200</v>
      </c>
      <c r="B28">
        <f t="shared" si="33"/>
        <v>0.2</v>
      </c>
      <c r="C28">
        <f t="shared" si="0"/>
        <v>1.0000013757429473</v>
      </c>
      <c r="D28">
        <f t="shared" si="1"/>
        <v>1.6587593978490416E-3</v>
      </c>
      <c r="F28">
        <f t="shared" si="2"/>
        <v>0.99560758060602139</v>
      </c>
      <c r="G28">
        <f t="shared" si="3"/>
        <v>-1.3379760449725286E-2</v>
      </c>
      <c r="H28">
        <f t="shared" si="4"/>
        <v>-1.3379760449725286E-2</v>
      </c>
      <c r="J28">
        <f t="shared" si="5"/>
        <v>15</v>
      </c>
      <c r="M28">
        <f t="shared" si="6"/>
        <v>7.4705198585154413</v>
      </c>
      <c r="N28">
        <f t="shared" si="7"/>
        <v>-1.5707963250000001</v>
      </c>
      <c r="O28">
        <f t="shared" si="8"/>
        <v>1.0013071862534948</v>
      </c>
      <c r="P28">
        <f t="shared" si="9"/>
        <v>5.1103109366622032E-2</v>
      </c>
      <c r="Q28">
        <f t="shared" si="10"/>
        <v>1.0009365687110914</v>
      </c>
      <c r="R28">
        <f t="shared" si="11"/>
        <v>4.3262878483745777E-2</v>
      </c>
      <c r="S28">
        <f t="shared" si="12"/>
        <v>0.99999866768423873</v>
      </c>
      <c r="T28">
        <f t="shared" si="13"/>
        <v>-1.6323700910498655E-3</v>
      </c>
      <c r="U28">
        <f t="shared" si="14"/>
        <v>0.99999918924596509</v>
      </c>
      <c r="V28">
        <f t="shared" si="15"/>
        <v>-1.2733845801827898E-3</v>
      </c>
      <c r="X28">
        <f t="shared" si="34"/>
        <v>40.970076687391924</v>
      </c>
      <c r="Y28">
        <f t="shared" si="16"/>
        <v>-85.431278532273552</v>
      </c>
      <c r="Z28">
        <f t="shared" si="35"/>
        <v>94.568721467726448</v>
      </c>
      <c r="AC28">
        <v>1</v>
      </c>
      <c r="AD28">
        <f t="shared" si="17"/>
        <v>5.1147641616119996E-2</v>
      </c>
      <c r="AE28">
        <f t="shared" si="18"/>
        <v>-7.712882638369762E-9</v>
      </c>
      <c r="AF28">
        <f t="shared" si="19"/>
        <v>6.0569906292000001E-6</v>
      </c>
      <c r="AG28">
        <f t="shared" si="36"/>
        <v>8234.1510049157587</v>
      </c>
      <c r="AH28">
        <f t="shared" si="37"/>
        <v>-165108.97411977913</v>
      </c>
      <c r="AJ28">
        <f t="shared" si="20"/>
        <v>22100</v>
      </c>
      <c r="AK28">
        <f t="shared" si="21"/>
        <v>36.075411054774001</v>
      </c>
      <c r="AL28">
        <v>1</v>
      </c>
      <c r="AM28">
        <f t="shared" si="22"/>
        <v>4.3289890079940004E-2</v>
      </c>
      <c r="AN28">
        <f t="shared" si="38"/>
        <v>22060.220525607027</v>
      </c>
      <c r="AO28">
        <f t="shared" si="39"/>
        <v>-918.90911063799047</v>
      </c>
      <c r="AQ28">
        <f t="shared" si="23"/>
        <v>8620.689655172413</v>
      </c>
      <c r="AR28">
        <f t="shared" si="24"/>
        <v>-3448.2758620689651</v>
      </c>
      <c r="AT28">
        <f t="shared" si="52"/>
        <v>-498357229.68099898</v>
      </c>
      <c r="AU28">
        <f t="shared" si="53"/>
        <v>-1451746849.3253915</v>
      </c>
      <c r="AV28">
        <f t="shared" si="42"/>
        <v>-1.901472979120822</v>
      </c>
      <c r="AW28">
        <f t="shared" si="25"/>
        <v>187043235.77866599</v>
      </c>
      <c r="AX28">
        <f t="shared" si="26"/>
        <v>-85045087.678587049</v>
      </c>
      <c r="AY28">
        <f t="shared" si="50"/>
        <v>-0.42674018715098194</v>
      </c>
      <c r="BA28">
        <f t="shared" si="27"/>
        <v>7.4702147168439588</v>
      </c>
      <c r="BB28">
        <f t="shared" si="43"/>
        <v>17.466661698959488</v>
      </c>
      <c r="BC28">
        <f t="shared" si="44"/>
        <v>-1.4747327919698401</v>
      </c>
      <c r="BD28">
        <f t="shared" si="28"/>
        <v>-264.49596498596696</v>
      </c>
      <c r="BF28">
        <f t="shared" si="29"/>
        <v>40.950262723398261</v>
      </c>
      <c r="BG28">
        <f t="shared" si="30"/>
        <v>-85.167528878675256</v>
      </c>
      <c r="BH28">
        <f t="shared" si="45"/>
        <v>94.832471121324744</v>
      </c>
      <c r="BI28">
        <f t="shared" si="46"/>
        <v>94.832471121324744</v>
      </c>
      <c r="BJ28">
        <f t="shared" si="31"/>
        <v>0</v>
      </c>
      <c r="BK28">
        <f t="shared" si="47"/>
        <v>0</v>
      </c>
      <c r="BM28">
        <f t="shared" si="48"/>
        <v>23.483601024438769</v>
      </c>
      <c r="BN28">
        <f t="shared" si="32"/>
        <v>-0.67156389270828087</v>
      </c>
      <c r="BQ28" s="56">
        <f t="shared" si="49"/>
        <v>34.368622499244623</v>
      </c>
      <c r="BR28" s="58"/>
      <c r="BS28" s="58"/>
      <c r="BT28" s="58">
        <v>151.35599999999999</v>
      </c>
      <c r="BU28" s="58">
        <v>31.0519</v>
      </c>
      <c r="BV28" s="58">
        <v>-267.0283</v>
      </c>
      <c r="BW28" s="61"/>
      <c r="BY28" s="58"/>
      <c r="BZ28" s="58"/>
      <c r="CA28" s="58"/>
      <c r="CC28" s="58"/>
    </row>
    <row r="29" spans="1:81" x14ac:dyDescent="0.25">
      <c r="A29">
        <f t="shared" si="51"/>
        <v>300</v>
      </c>
      <c r="B29">
        <f t="shared" si="33"/>
        <v>0.3</v>
      </c>
      <c r="C29">
        <f t="shared" si="0"/>
        <v>1.0000030954189696</v>
      </c>
      <c r="D29">
        <f t="shared" si="1"/>
        <v>2.4881362442511104E-3</v>
      </c>
      <c r="F29">
        <f t="shared" si="2"/>
        <v>0.99743285934526871</v>
      </c>
      <c r="G29">
        <f t="shared" si="3"/>
        <v>-2.0107189941174979E-2</v>
      </c>
      <c r="H29">
        <f t="shared" si="4"/>
        <v>-2.0107189941174979E-2</v>
      </c>
      <c r="J29">
        <f t="shared" si="5"/>
        <v>15</v>
      </c>
      <c r="M29">
        <f t="shared" si="6"/>
        <v>4.9803465723436275</v>
      </c>
      <c r="N29">
        <f t="shared" si="7"/>
        <v>-1.5707963250000001</v>
      </c>
      <c r="O29">
        <f t="shared" si="8"/>
        <v>1.0029387732042794</v>
      </c>
      <c r="P29">
        <f t="shared" si="9"/>
        <v>7.657145965103522E-2</v>
      </c>
      <c r="Q29">
        <f t="shared" si="10"/>
        <v>1.002106048685492</v>
      </c>
      <c r="R29">
        <f t="shared" si="11"/>
        <v>6.4843798703009589E-2</v>
      </c>
      <c r="S29">
        <f t="shared" si="12"/>
        <v>0.99999700229702582</v>
      </c>
      <c r="T29">
        <f t="shared" si="13"/>
        <v>-2.4485524180405758E-3</v>
      </c>
      <c r="U29">
        <f t="shared" si="14"/>
        <v>0.99999817580619432</v>
      </c>
      <c r="V29">
        <f t="shared" si="15"/>
        <v>-1.9100755797738904E-3</v>
      </c>
      <c r="X29">
        <f t="shared" si="34"/>
        <v>37.488437020771663</v>
      </c>
      <c r="Y29">
        <f t="shared" si="16"/>
        <v>-83.156730934331932</v>
      </c>
      <c r="Z29">
        <f t="shared" si="35"/>
        <v>96.843269065668068</v>
      </c>
      <c r="AC29">
        <v>1</v>
      </c>
      <c r="AD29">
        <f t="shared" si="17"/>
        <v>7.6721462424180001E-2</v>
      </c>
      <c r="AE29">
        <f t="shared" si="18"/>
        <v>-1.7353985936331964E-8</v>
      </c>
      <c r="AF29">
        <f t="shared" si="19"/>
        <v>9.0854859437999989E-6</v>
      </c>
      <c r="AG29">
        <f t="shared" si="36"/>
        <v>8234.1343152784739</v>
      </c>
      <c r="AH29">
        <f t="shared" si="37"/>
        <v>-110081.38708679748</v>
      </c>
      <c r="AJ29">
        <f t="shared" si="20"/>
        <v>22100</v>
      </c>
      <c r="AK29">
        <f t="shared" si="21"/>
        <v>54.113116582161005</v>
      </c>
      <c r="AL29">
        <v>1</v>
      </c>
      <c r="AM29">
        <f t="shared" si="22"/>
        <v>6.4934835119910009E-2</v>
      </c>
      <c r="AN29">
        <f t="shared" si="38"/>
        <v>22010.704966595091</v>
      </c>
      <c r="AO29">
        <f t="shared" si="39"/>
        <v>-1375.1483812966756</v>
      </c>
      <c r="AQ29">
        <f t="shared" si="23"/>
        <v>7352.9411764705892</v>
      </c>
      <c r="AR29">
        <f t="shared" si="24"/>
        <v>-4411.7647058823532</v>
      </c>
      <c r="AT29">
        <f t="shared" si="52"/>
        <v>-425108073.06470597</v>
      </c>
      <c r="AU29">
        <f t="shared" si="53"/>
        <v>-845749027.02915132</v>
      </c>
      <c r="AV29">
        <f t="shared" si="42"/>
        <v>-2.0365544429942193</v>
      </c>
      <c r="AW29">
        <f t="shared" si="25"/>
        <v>155814095.15678105</v>
      </c>
      <c r="AX29">
        <f t="shared" si="26"/>
        <v>-107920943.693262</v>
      </c>
      <c r="AY29">
        <f t="shared" si="50"/>
        <v>-0.60576002537200113</v>
      </c>
      <c r="BA29">
        <f t="shared" si="27"/>
        <v>4.9941071185100405</v>
      </c>
      <c r="BB29">
        <f t="shared" si="43"/>
        <v>13.969157065788769</v>
      </c>
      <c r="BC29">
        <f t="shared" si="44"/>
        <v>-1.4307944176222183</v>
      </c>
      <c r="BD29">
        <f t="shared" si="28"/>
        <v>-261.9784815743057</v>
      </c>
      <c r="BF29">
        <f t="shared" si="29"/>
        <v>37.46868256291549</v>
      </c>
      <c r="BG29">
        <f t="shared" si="30"/>
        <v>-82.987978991307344</v>
      </c>
      <c r="BH29">
        <f t="shared" si="45"/>
        <v>97.012021008692656</v>
      </c>
      <c r="BI29">
        <f t="shared" si="46"/>
        <v>97.012021008692656</v>
      </c>
      <c r="BJ29">
        <f t="shared" si="31"/>
        <v>0</v>
      </c>
      <c r="BK29">
        <f t="shared" si="47"/>
        <v>0</v>
      </c>
      <c r="BM29">
        <f t="shared" si="48"/>
        <v>23.499525497126719</v>
      </c>
      <c r="BN29">
        <f t="shared" si="32"/>
        <v>-1.0094974170016269</v>
      </c>
      <c r="BQ29" s="56">
        <f t="shared" si="49"/>
        <v>30.871117866073906</v>
      </c>
      <c r="BR29" s="58"/>
      <c r="BS29" s="58"/>
      <c r="BT29" s="58">
        <v>154.88200000000001</v>
      </c>
      <c r="BU29" s="58">
        <v>31.248699999999999</v>
      </c>
      <c r="BV29" s="58">
        <v>-260.69729999999998</v>
      </c>
      <c r="BW29" s="61"/>
      <c r="BY29" s="58"/>
      <c r="BZ29" s="58"/>
      <c r="CA29" s="58"/>
      <c r="CC29" s="58"/>
    </row>
    <row r="30" spans="1:81" x14ac:dyDescent="0.25">
      <c r="A30">
        <f t="shared" si="51"/>
        <v>400</v>
      </c>
      <c r="B30">
        <f t="shared" si="33"/>
        <v>0.4</v>
      </c>
      <c r="C30">
        <f t="shared" si="0"/>
        <v>1.0000055029604329</v>
      </c>
      <c r="D30">
        <f t="shared" si="1"/>
        <v>3.3175096676526083E-3</v>
      </c>
      <c r="F30">
        <f t="shared" si="2"/>
        <v>0.99999880446842004</v>
      </c>
      <c r="G30">
        <f t="shared" si="3"/>
        <v>-2.6879981273708227E-2</v>
      </c>
      <c r="H30">
        <f t="shared" si="4"/>
        <v>-2.6879981273708227E-2</v>
      </c>
      <c r="J30">
        <f t="shared" si="5"/>
        <v>15</v>
      </c>
      <c r="M30">
        <f t="shared" si="6"/>
        <v>3.7352599292577207</v>
      </c>
      <c r="N30">
        <f t="shared" si="7"/>
        <v>-1.5707963250000001</v>
      </c>
      <c r="O30">
        <f t="shared" si="8"/>
        <v>1.0052185458752561</v>
      </c>
      <c r="P30">
        <f t="shared" si="9"/>
        <v>0.10194068990281159</v>
      </c>
      <c r="Q30">
        <f t="shared" si="10"/>
        <v>1.0037410315078952</v>
      </c>
      <c r="R30">
        <f t="shared" si="11"/>
        <v>8.6364412285138317E-2</v>
      </c>
      <c r="S30">
        <f t="shared" si="12"/>
        <v>0.99999467076890602</v>
      </c>
      <c r="T30">
        <f t="shared" si="13"/>
        <v>-3.2647314828145582E-3</v>
      </c>
      <c r="U30">
        <f t="shared" si="14"/>
        <v>0.99999675699569202</v>
      </c>
      <c r="V30">
        <f t="shared" si="15"/>
        <v>-2.5467650307716681E-3</v>
      </c>
      <c r="X30">
        <f t="shared" si="34"/>
        <v>35.045848123015531</v>
      </c>
      <c r="Y30">
        <f t="shared" si="16"/>
        <v>-80.893916774252858</v>
      </c>
      <c r="Z30">
        <f t="shared" si="35"/>
        <v>99.106083225747142</v>
      </c>
      <c r="AC30">
        <v>1</v>
      </c>
      <c r="AD30">
        <f t="shared" si="17"/>
        <v>0.10229528323223999</v>
      </c>
      <c r="AE30">
        <f t="shared" si="18"/>
        <v>-3.0851530553479048E-8</v>
      </c>
      <c r="AF30">
        <f t="shared" si="19"/>
        <v>1.21139812584E-5</v>
      </c>
      <c r="AG30">
        <f t="shared" si="36"/>
        <v>8234.110949899934</v>
      </c>
      <c r="AH30">
        <f t="shared" si="37"/>
        <v>-82570.214827760428</v>
      </c>
      <c r="AJ30">
        <f t="shared" si="20"/>
        <v>22100</v>
      </c>
      <c r="AK30">
        <f t="shared" si="21"/>
        <v>72.150822109548002</v>
      </c>
      <c r="AL30">
        <v>1</v>
      </c>
      <c r="AM30">
        <f t="shared" si="22"/>
        <v>8.6579780159880007E-2</v>
      </c>
      <c r="AN30">
        <f t="shared" si="38"/>
        <v>21941.770014369857</v>
      </c>
      <c r="AO30">
        <f t="shared" si="39"/>
        <v>-1827.5628020532413</v>
      </c>
      <c r="AQ30">
        <f t="shared" si="23"/>
        <v>6097.5609756097556</v>
      </c>
      <c r="AR30">
        <f t="shared" si="24"/>
        <v>-4878.0487804878048</v>
      </c>
      <c r="AT30">
        <f t="shared" si="52"/>
        <v>-352573542.14822197</v>
      </c>
      <c r="AU30">
        <f t="shared" si="53"/>
        <v>-543643314.5590266</v>
      </c>
      <c r="AV30">
        <f t="shared" si="42"/>
        <v>-2.1461433441464095</v>
      </c>
      <c r="AW30">
        <f t="shared" si="25"/>
        <v>124913756.0873536</v>
      </c>
      <c r="AX30">
        <f t="shared" si="26"/>
        <v>-118705395.12157403</v>
      </c>
      <c r="AY30">
        <f t="shared" si="50"/>
        <v>-0.7599197989212193</v>
      </c>
      <c r="BA30">
        <f t="shared" si="27"/>
        <v>3.7602165712815321</v>
      </c>
      <c r="BB30">
        <f t="shared" si="43"/>
        <v>11.504257180488683</v>
      </c>
      <c r="BC30">
        <f t="shared" si="44"/>
        <v>-1.3862235452251901</v>
      </c>
      <c r="BD30">
        <f t="shared" si="28"/>
        <v>-259.42475869382179</v>
      </c>
      <c r="BF30">
        <f t="shared" si="29"/>
        <v>35.026119775316225</v>
      </c>
      <c r="BG30">
        <f t="shared" si="30"/>
        <v>-80.774788873288273</v>
      </c>
      <c r="BH30">
        <f t="shared" si="45"/>
        <v>99.225211126711727</v>
      </c>
      <c r="BI30">
        <f t="shared" si="46"/>
        <v>99.225211126711727</v>
      </c>
      <c r="BJ30">
        <f t="shared" si="31"/>
        <v>0</v>
      </c>
      <c r="BK30">
        <f t="shared" si="47"/>
        <v>0</v>
      </c>
      <c r="BM30">
        <f t="shared" si="48"/>
        <v>23.521862594827539</v>
      </c>
      <c r="BN30">
        <f t="shared" si="32"/>
        <v>-1.3500301794664598</v>
      </c>
      <c r="BQ30" s="56">
        <f t="shared" si="49"/>
        <v>28.406217980773821</v>
      </c>
      <c r="BR30" s="58"/>
      <c r="BS30" s="58"/>
      <c r="BT30" s="58">
        <v>158.489</v>
      </c>
      <c r="BU30" s="58">
        <v>31.003699999999998</v>
      </c>
      <c r="BV30" s="58">
        <v>-259.86900000000003</v>
      </c>
      <c r="BW30" s="61"/>
      <c r="BY30" s="58"/>
      <c r="BZ30" s="58"/>
      <c r="CA30" s="58"/>
      <c r="CC30" s="58"/>
    </row>
    <row r="31" spans="1:81" x14ac:dyDescent="0.25">
      <c r="A31">
        <f t="shared" si="51"/>
        <v>500</v>
      </c>
      <c r="B31">
        <f t="shared" si="33"/>
        <v>0.5</v>
      </c>
      <c r="C31">
        <f t="shared" si="0"/>
        <v>1.0000085983623686</v>
      </c>
      <c r="D31">
        <f t="shared" si="1"/>
        <v>4.1468785270972969E-3</v>
      </c>
      <c r="F31">
        <f t="shared" si="2"/>
        <v>1.0033160918642765</v>
      </c>
      <c r="G31">
        <f t="shared" si="3"/>
        <v>-3.3713764292739902E-2</v>
      </c>
      <c r="H31">
        <f t="shared" si="4"/>
        <v>-3.3713764292739902E-2</v>
      </c>
      <c r="J31">
        <f t="shared" si="5"/>
        <v>15</v>
      </c>
      <c r="M31">
        <f t="shared" si="6"/>
        <v>2.9882079434061768</v>
      </c>
      <c r="N31">
        <f t="shared" si="7"/>
        <v>-1.5707963250000001</v>
      </c>
      <c r="O31">
        <f t="shared" si="8"/>
        <v>1.0081421069313934</v>
      </c>
      <c r="P31">
        <f t="shared" si="9"/>
        <v>0.12717895381754032</v>
      </c>
      <c r="Q31">
        <f t="shared" si="10"/>
        <v>1.0058392471685438</v>
      </c>
      <c r="R31">
        <f t="shared" si="11"/>
        <v>0.10780513928656174</v>
      </c>
      <c r="S31">
        <f t="shared" si="12"/>
        <v>0.99999167311385784</v>
      </c>
      <c r="T31">
        <f t="shared" si="13"/>
        <v>-4.0809061980068024E-3</v>
      </c>
      <c r="U31">
        <f t="shared" si="14"/>
        <v>0.99999493281963392</v>
      </c>
      <c r="V31">
        <f t="shared" si="15"/>
        <v>-3.1834524169900677E-3</v>
      </c>
      <c r="X31">
        <f t="shared" si="34"/>
        <v>33.179762033858381</v>
      </c>
      <c r="Y31">
        <f t="shared" si="16"/>
        <v>-78.646678056678255</v>
      </c>
      <c r="Z31">
        <f t="shared" si="35"/>
        <v>101.35332194332175</v>
      </c>
      <c r="AC31">
        <v>1</v>
      </c>
      <c r="AD31">
        <f t="shared" si="17"/>
        <v>0.1278691040403</v>
      </c>
      <c r="AE31">
        <f t="shared" si="18"/>
        <v>-4.8205516489811016E-8</v>
      </c>
      <c r="AF31">
        <f t="shared" si="19"/>
        <v>1.5142476573E-5</v>
      </c>
      <c r="AG31">
        <f t="shared" si="36"/>
        <v>8234.0809088938022</v>
      </c>
      <c r="AH31">
        <f t="shared" si="37"/>
        <v>-66065.608442598066</v>
      </c>
      <c r="AJ31">
        <f t="shared" si="20"/>
        <v>22100</v>
      </c>
      <c r="AK31">
        <f t="shared" si="21"/>
        <v>90.188527636935007</v>
      </c>
      <c r="AL31">
        <v>1</v>
      </c>
      <c r="AM31">
        <f t="shared" si="22"/>
        <v>0.10822472519985001</v>
      </c>
      <c r="AN31">
        <f t="shared" si="38"/>
        <v>21853.796050522811</v>
      </c>
      <c r="AO31">
        <f t="shared" si="39"/>
        <v>-2274.9325445044633</v>
      </c>
      <c r="AQ31">
        <f t="shared" si="23"/>
        <v>5000</v>
      </c>
      <c r="AR31">
        <f t="shared" si="24"/>
        <v>-5000</v>
      </c>
      <c r="AT31">
        <f t="shared" si="52"/>
        <v>-289157637.66852134</v>
      </c>
      <c r="AU31">
        <f t="shared" si="53"/>
        <v>-371498446.75745934</v>
      </c>
      <c r="AV31">
        <f t="shared" si="42"/>
        <v>-2.2321989887917946</v>
      </c>
      <c r="AW31">
        <f t="shared" si="25"/>
        <v>97931616.93562299</v>
      </c>
      <c r="AX31">
        <f t="shared" si="26"/>
        <v>-121067686.01269674</v>
      </c>
      <c r="AY31">
        <f t="shared" si="50"/>
        <v>-0.89065223758153633</v>
      </c>
      <c r="BA31">
        <f t="shared" si="27"/>
        <v>3.023220385039572</v>
      </c>
      <c r="BB31">
        <f t="shared" si="43"/>
        <v>9.609396145791969</v>
      </c>
      <c r="BC31">
        <f t="shared" si="44"/>
        <v>-1.3415467512102581</v>
      </c>
      <c r="BD31">
        <f t="shared" si="28"/>
        <v>-256.86496695166591</v>
      </c>
      <c r="BF31">
        <f t="shared" si="29"/>
        <v>33.160051567248054</v>
      </c>
      <c r="BG31">
        <f t="shared" si="30"/>
        <v>-78.559024721318366</v>
      </c>
      <c r="BH31">
        <f t="shared" si="45"/>
        <v>101.44097527868163</v>
      </c>
      <c r="BI31">
        <f t="shared" si="46"/>
        <v>101.44097527868163</v>
      </c>
      <c r="BJ31">
        <f t="shared" si="31"/>
        <v>0</v>
      </c>
      <c r="BK31">
        <f t="shared" si="47"/>
        <v>0</v>
      </c>
      <c r="BM31">
        <f t="shared" si="48"/>
        <v>23.550655421456081</v>
      </c>
      <c r="BN31">
        <f t="shared" si="32"/>
        <v>-1.6940577696524943</v>
      </c>
      <c r="BQ31" s="56">
        <f t="shared" si="49"/>
        <v>26.511356946077104</v>
      </c>
      <c r="BR31" s="58"/>
      <c r="BS31" s="58"/>
      <c r="BT31" s="58">
        <v>162.18100000000001</v>
      </c>
      <c r="BU31" s="58">
        <v>30.429300000000001</v>
      </c>
      <c r="BV31" s="58">
        <v>-262.39859999999999</v>
      </c>
      <c r="BW31" s="61"/>
      <c r="BY31" s="58"/>
      <c r="BZ31" s="58"/>
      <c r="CA31" s="58"/>
      <c r="CC31" s="58"/>
    </row>
    <row r="32" spans="1:81" x14ac:dyDescent="0.25">
      <c r="A32">
        <f t="shared" si="51"/>
        <v>600</v>
      </c>
      <c r="B32">
        <f t="shared" si="33"/>
        <v>0.6</v>
      </c>
      <c r="C32">
        <f t="shared" si="0"/>
        <v>1.0000123816183897</v>
      </c>
      <c r="D32">
        <f t="shared" si="1"/>
        <v>4.9762416816666087E-3</v>
      </c>
      <c r="F32">
        <f t="shared" si="2"/>
        <v>1.0073986226998604</v>
      </c>
      <c r="G32">
        <f t="shared" si="3"/>
        <v>-4.0624614836894862E-2</v>
      </c>
      <c r="H32">
        <f t="shared" si="4"/>
        <v>-4.0624614836894862E-2</v>
      </c>
      <c r="J32">
        <f t="shared" si="5"/>
        <v>15</v>
      </c>
      <c r="M32">
        <f t="shared" si="6"/>
        <v>2.4901732861718138</v>
      </c>
      <c r="N32">
        <f t="shared" si="7"/>
        <v>-1.5707963250000001</v>
      </c>
      <c r="O32">
        <f t="shared" si="8"/>
        <v>1.0117038752451328</v>
      </c>
      <c r="P32">
        <f t="shared" si="9"/>
        <v>0.15225539875918215</v>
      </c>
      <c r="Q32">
        <f t="shared" si="10"/>
        <v>1.0083978040675217</v>
      </c>
      <c r="R32">
        <f t="shared" si="11"/>
        <v>0.12914683812134117</v>
      </c>
      <c r="S32">
        <f t="shared" si="12"/>
        <v>0.99998800934985255</v>
      </c>
      <c r="T32">
        <f t="shared" si="13"/>
        <v>-4.8970754762870652E-3</v>
      </c>
      <c r="U32">
        <f t="shared" si="14"/>
        <v>0.99999270328467527</v>
      </c>
      <c r="V32">
        <f t="shared" si="15"/>
        <v>-3.820137222253077E-3</v>
      </c>
      <c r="X32">
        <f t="shared" si="34"/>
        <v>31.684089744696053</v>
      </c>
      <c r="Y32">
        <f t="shared" si="16"/>
        <v>-76.418800290732818</v>
      </c>
      <c r="Z32">
        <f t="shared" si="35"/>
        <v>103.58119970926718</v>
      </c>
      <c r="AC32">
        <v>1</v>
      </c>
      <c r="AD32">
        <f t="shared" si="17"/>
        <v>0.15344292484836</v>
      </c>
      <c r="AE32">
        <f t="shared" si="18"/>
        <v>-6.9415943745327858E-8</v>
      </c>
      <c r="AF32">
        <f t="shared" si="19"/>
        <v>1.8170971887599998E-5</v>
      </c>
      <c r="AG32">
        <f t="shared" si="36"/>
        <v>8234.044192406207</v>
      </c>
      <c r="AH32">
        <f t="shared" si="37"/>
        <v>-55064.284956120253</v>
      </c>
      <c r="AJ32">
        <f t="shared" si="20"/>
        <v>22100</v>
      </c>
      <c r="AK32">
        <f t="shared" si="21"/>
        <v>108.22623316432201</v>
      </c>
      <c r="AL32">
        <v>1</v>
      </c>
      <c r="AM32">
        <f t="shared" si="22"/>
        <v>0.12986967023982002</v>
      </c>
      <c r="AN32">
        <f t="shared" si="38"/>
        <v>21747.26311128823</v>
      </c>
      <c r="AO32">
        <f t="shared" si="39"/>
        <v>-2716.0836557172825</v>
      </c>
      <c r="AQ32">
        <f t="shared" si="23"/>
        <v>4098.3606557377052</v>
      </c>
      <c r="AR32">
        <f t="shared" si="24"/>
        <v>-4918.0327868852464</v>
      </c>
      <c r="AT32">
        <f t="shared" si="52"/>
        <v>-237061876.04482827</v>
      </c>
      <c r="AU32">
        <f t="shared" si="53"/>
        <v>-266168598.30740863</v>
      </c>
      <c r="AV32">
        <f t="shared" si="42"/>
        <v>-2.2984191158561611</v>
      </c>
      <c r="AW32">
        <f t="shared" si="25"/>
        <v>75807497.236689776</v>
      </c>
      <c r="AX32">
        <f t="shared" si="26"/>
        <v>-118439709.62339972</v>
      </c>
      <c r="AY32">
        <f t="shared" si="50"/>
        <v>-1.00144670059033</v>
      </c>
      <c r="BA32">
        <f t="shared" si="27"/>
        <v>2.5346720038090567</v>
      </c>
      <c r="BB32">
        <f t="shared" si="43"/>
        <v>8.0784353589728788</v>
      </c>
      <c r="BC32">
        <f t="shared" si="44"/>
        <v>-1.2969724152658311</v>
      </c>
      <c r="BD32">
        <f t="shared" si="28"/>
        <v>-254.31104562453365</v>
      </c>
      <c r="BF32">
        <f t="shared" si="29"/>
        <v>31.664395140016794</v>
      </c>
      <c r="BG32">
        <f t="shared" si="30"/>
        <v>-76.353546955169577</v>
      </c>
      <c r="BH32">
        <f t="shared" si="45"/>
        <v>103.64645304483042</v>
      </c>
      <c r="BI32">
        <f t="shared" si="46"/>
        <v>103.64645304483042</v>
      </c>
      <c r="BJ32">
        <f t="shared" si="31"/>
        <v>0</v>
      </c>
      <c r="BK32">
        <f t="shared" si="47"/>
        <v>0</v>
      </c>
      <c r="BM32">
        <f t="shared" si="48"/>
        <v>23.585959781043915</v>
      </c>
      <c r="BN32">
        <f t="shared" si="32"/>
        <v>-2.0425013306359387</v>
      </c>
      <c r="BQ32" s="56">
        <f t="shared" si="49"/>
        <v>24.980396159258017</v>
      </c>
      <c r="BR32" s="58"/>
      <c r="BS32" s="58"/>
      <c r="BT32" s="58">
        <v>165.959</v>
      </c>
      <c r="BU32" s="58">
        <v>29.9194</v>
      </c>
      <c r="BV32" s="58">
        <v>-264.8295</v>
      </c>
      <c r="BW32" s="61"/>
      <c r="BY32" s="58"/>
      <c r="BZ32" s="58"/>
      <c r="CA32" s="58"/>
      <c r="CC32" s="58"/>
    </row>
    <row r="33" spans="1:81" x14ac:dyDescent="0.25">
      <c r="A33">
        <f t="shared" si="51"/>
        <v>700</v>
      </c>
      <c r="B33">
        <f t="shared" si="33"/>
        <v>0.7</v>
      </c>
      <c r="C33">
        <f t="shared" si="0"/>
        <v>1.0000168527206887</v>
      </c>
      <c r="D33">
        <f t="shared" si="1"/>
        <v>5.8055979904890658E-3</v>
      </c>
      <c r="F33">
        <f t="shared" si="2"/>
        <v>1.0122636585286913</v>
      </c>
      <c r="G33">
        <f t="shared" si="3"/>
        <v>-4.7629178387529579E-2</v>
      </c>
      <c r="H33">
        <f t="shared" si="4"/>
        <v>-4.7629178387529579E-2</v>
      </c>
      <c r="J33">
        <f t="shared" si="5"/>
        <v>15</v>
      </c>
      <c r="M33">
        <f t="shared" si="6"/>
        <v>2.1344342452901262</v>
      </c>
      <c r="N33">
        <f t="shared" si="7"/>
        <v>-1.5707963250000001</v>
      </c>
      <c r="O33">
        <f t="shared" si="8"/>
        <v>1.0158971381126218</v>
      </c>
      <c r="P33">
        <f t="shared" si="9"/>
        <v>0.17714037852981079</v>
      </c>
      <c r="Q33">
        <f t="shared" si="10"/>
        <v>1.0114132086557812</v>
      </c>
      <c r="R33">
        <f t="shared" si="11"/>
        <v>0.15037090380573861</v>
      </c>
      <c r="S33">
        <f t="shared" si="12"/>
        <v>0.9999836794988548</v>
      </c>
      <c r="T33">
        <f t="shared" si="13"/>
        <v>-5.7132382303685661E-3</v>
      </c>
      <c r="U33">
        <f t="shared" si="14"/>
        <v>0.99999006839895033</v>
      </c>
      <c r="V33">
        <f t="shared" si="15"/>
        <v>-4.456818930397238E-3</v>
      </c>
      <c r="X33">
        <f t="shared" si="34"/>
        <v>30.448839207503191</v>
      </c>
      <c r="Y33">
        <f t="shared" si="16"/>
        <v>-74.214001754812557</v>
      </c>
      <c r="Z33">
        <f t="shared" si="35"/>
        <v>105.78599824518744</v>
      </c>
      <c r="AC33">
        <v>1</v>
      </c>
      <c r="AD33">
        <f t="shared" si="17"/>
        <v>0.17901674565641998</v>
      </c>
      <c r="AE33">
        <f t="shared" si="18"/>
        <v>-9.4482812320029607E-8</v>
      </c>
      <c r="AF33">
        <f t="shared" si="19"/>
        <v>2.1199467202200001E-5</v>
      </c>
      <c r="AG33">
        <f t="shared" si="36"/>
        <v>8234.0008006157532</v>
      </c>
      <c r="AH33">
        <f t="shared" si="37"/>
        <v>-47207.694514531504</v>
      </c>
      <c r="AJ33">
        <f t="shared" si="20"/>
        <v>22100</v>
      </c>
      <c r="AK33">
        <f t="shared" si="21"/>
        <v>126.26393869170901</v>
      </c>
      <c r="AL33">
        <v>1</v>
      </c>
      <c r="AM33">
        <f t="shared" si="22"/>
        <v>0.15151461527979002</v>
      </c>
      <c r="AN33">
        <f t="shared" si="38"/>
        <v>21622.744436673871</v>
      </c>
      <c r="AO33">
        <f t="shared" si="39"/>
        <v>-3149.897865924152</v>
      </c>
      <c r="AQ33">
        <f t="shared" si="23"/>
        <v>3378.3783783783783</v>
      </c>
      <c r="AR33">
        <f t="shared" si="24"/>
        <v>-4729.72972972973</v>
      </c>
      <c r="AT33">
        <f t="shared" si="52"/>
        <v>-195462065.94502822</v>
      </c>
      <c r="AU33">
        <f t="shared" si="53"/>
        <v>-198430052.82227555</v>
      </c>
      <c r="AV33">
        <f t="shared" si="42"/>
        <v>-2.3486596080075581</v>
      </c>
      <c r="AW33">
        <f t="shared" si="25"/>
        <v>58188639.863184676</v>
      </c>
      <c r="AX33">
        <f t="shared" si="26"/>
        <v>-113216211.40838961</v>
      </c>
      <c r="AY33">
        <f t="shared" si="50"/>
        <v>-1.0960429397224434</v>
      </c>
      <c r="BA33">
        <f t="shared" si="27"/>
        <v>2.1880931431537989</v>
      </c>
      <c r="BB33">
        <f t="shared" si="43"/>
        <v>6.8013161036550578</v>
      </c>
      <c r="BC33">
        <f t="shared" si="44"/>
        <v>-1.2526166682851148</v>
      </c>
      <c r="BD33">
        <f t="shared" si="28"/>
        <v>-251.76964852248449</v>
      </c>
      <c r="BF33">
        <f t="shared" si="29"/>
        <v>30.429160573189037</v>
      </c>
      <c r="BG33">
        <f t="shared" si="30"/>
        <v>-74.165963166099189</v>
      </c>
      <c r="BH33">
        <f t="shared" si="45"/>
        <v>105.83403683390081</v>
      </c>
      <c r="BI33">
        <f t="shared" si="46"/>
        <v>105.83403683390081</v>
      </c>
      <c r="BJ33">
        <f t="shared" si="31"/>
        <v>0</v>
      </c>
      <c r="BK33">
        <f t="shared" si="47"/>
        <v>0</v>
      </c>
      <c r="BM33">
        <f t="shared" si="48"/>
        <v>23.627844469533983</v>
      </c>
      <c r="BN33">
        <f t="shared" si="32"/>
        <v>-2.3963146436146938</v>
      </c>
      <c r="BQ33" s="56">
        <f t="shared" si="49"/>
        <v>23.703276903940193</v>
      </c>
      <c r="BR33" s="58"/>
      <c r="BS33" s="58"/>
      <c r="BT33" s="58">
        <v>169.82400000000001</v>
      </c>
      <c r="BU33" s="58">
        <v>29.808900000000001</v>
      </c>
      <c r="BV33" s="58">
        <v>-267.72770000000003</v>
      </c>
      <c r="BW33" s="61"/>
      <c r="BY33" s="58"/>
      <c r="BZ33" s="58"/>
      <c r="CA33" s="58"/>
      <c r="CC33" s="58"/>
    </row>
    <row r="34" spans="1:81" x14ac:dyDescent="0.25">
      <c r="A34">
        <f t="shared" si="51"/>
        <v>800</v>
      </c>
      <c r="B34">
        <f t="shared" si="33"/>
        <v>0.8</v>
      </c>
      <c r="C34">
        <f t="shared" si="0"/>
        <v>1.00002201166004</v>
      </c>
      <c r="D34">
        <f t="shared" si="1"/>
        <v>6.6349463127496917E-3</v>
      </c>
      <c r="F34">
        <f t="shared" si="2"/>
        <v>1.0179319907888351</v>
      </c>
      <c r="G34">
        <f t="shared" si="3"/>
        <v>-5.4744802241541442E-2</v>
      </c>
      <c r="H34">
        <f t="shared" si="4"/>
        <v>-5.4744802241541442E-2</v>
      </c>
      <c r="J34">
        <f t="shared" si="5"/>
        <v>15</v>
      </c>
      <c r="M34">
        <f t="shared" si="6"/>
        <v>1.8676299646288603</v>
      </c>
      <c r="N34">
        <f t="shared" si="7"/>
        <v>-1.5707963250000001</v>
      </c>
      <c r="O34">
        <f t="shared" si="8"/>
        <v>1.020714112710438</v>
      </c>
      <c r="P34">
        <f t="shared" si="9"/>
        <v>0.20180564422195063</v>
      </c>
      <c r="Q34">
        <f t="shared" si="10"/>
        <v>1.0148813887987762</v>
      </c>
      <c r="R34">
        <f t="shared" si="11"/>
        <v>0.17145935906498871</v>
      </c>
      <c r="S34">
        <f t="shared" si="12"/>
        <v>0.99997868358682229</v>
      </c>
      <c r="T34">
        <f t="shared" si="13"/>
        <v>-6.5293933730166719E-3</v>
      </c>
      <c r="U34">
        <f t="shared" si="14"/>
        <v>0.99998702817207152</v>
      </c>
      <c r="V34">
        <f t="shared" si="15"/>
        <v>-5.0934970252741602E-3</v>
      </c>
      <c r="X34">
        <f t="shared" si="34"/>
        <v>29.408298630014919</v>
      </c>
      <c r="Y34">
        <f t="shared" si="16"/>
        <v>-72.035924914462015</v>
      </c>
      <c r="Z34">
        <f t="shared" si="35"/>
        <v>107.96407508553798</v>
      </c>
      <c r="AC34">
        <v>1</v>
      </c>
      <c r="AD34">
        <f t="shared" si="17"/>
        <v>0.20459056646447998</v>
      </c>
      <c r="AE34">
        <f t="shared" si="18"/>
        <v>-1.2340612221391619E-7</v>
      </c>
      <c r="AF34">
        <f t="shared" si="19"/>
        <v>2.4227962516800001E-5</v>
      </c>
      <c r="AG34">
        <f t="shared" si="36"/>
        <v>8233.950733733509</v>
      </c>
      <c r="AH34">
        <f t="shared" si="37"/>
        <v>-41316.562184559771</v>
      </c>
      <c r="AJ34">
        <f t="shared" si="20"/>
        <v>22100</v>
      </c>
      <c r="AK34">
        <f t="shared" si="21"/>
        <v>144.301644219096</v>
      </c>
      <c r="AL34">
        <v>1</v>
      </c>
      <c r="AM34">
        <f t="shared" si="22"/>
        <v>0.17315956031976001</v>
      </c>
      <c r="AN34">
        <f t="shared" si="38"/>
        <v>21480.898923794353</v>
      </c>
      <c r="AO34">
        <f t="shared" si="39"/>
        <v>-3575.3213686983404</v>
      </c>
      <c r="AQ34">
        <f t="shared" si="23"/>
        <v>2808.9887640449433</v>
      </c>
      <c r="AR34">
        <f t="shared" si="24"/>
        <v>-4494.3820224719093</v>
      </c>
      <c r="AT34">
        <f t="shared" si="52"/>
        <v>-162563339.2178711</v>
      </c>
      <c r="AU34">
        <f t="shared" si="53"/>
        <v>-153064279.09700388</v>
      </c>
      <c r="AV34">
        <f t="shared" si="42"/>
        <v>-2.3862811910495543</v>
      </c>
      <c r="AW34">
        <f t="shared" si="25"/>
        <v>44307548.784252062</v>
      </c>
      <c r="AX34">
        <f t="shared" si="26"/>
        <v>-106854310.68206835</v>
      </c>
      <c r="AY34">
        <f t="shared" si="50"/>
        <v>-1.1777215148050426</v>
      </c>
      <c r="BA34">
        <f t="shared" si="27"/>
        <v>1.9302442455274207</v>
      </c>
      <c r="BB34">
        <f t="shared" si="43"/>
        <v>5.7122453280661576</v>
      </c>
      <c r="BC34">
        <f t="shared" si="44"/>
        <v>-1.2085596762445117</v>
      </c>
      <c r="BD34">
        <f t="shared" si="28"/>
        <v>-249.24536881763208</v>
      </c>
      <c r="BF34">
        <f t="shared" si="29"/>
        <v>29.388636963013468</v>
      </c>
      <c r="BG34">
        <f t="shared" si="30"/>
        <v>-72.001860518484023</v>
      </c>
      <c r="BH34">
        <f t="shared" si="45"/>
        <v>107.99813948151598</v>
      </c>
      <c r="BI34">
        <f t="shared" si="46"/>
        <v>107.99813948151598</v>
      </c>
      <c r="BJ34">
        <f t="shared" si="31"/>
        <v>0</v>
      </c>
      <c r="BK34">
        <f t="shared" si="47"/>
        <v>0</v>
      </c>
      <c r="BM34">
        <f t="shared" si="48"/>
        <v>23.676391634947311</v>
      </c>
      <c r="BN34">
        <f t="shared" si="32"/>
        <v>-2.7564917008519596</v>
      </c>
      <c r="BQ34" s="56">
        <f t="shared" si="49"/>
        <v>22.614206128351295</v>
      </c>
      <c r="BR34" s="58"/>
      <c r="BS34" s="58"/>
      <c r="BT34" s="58">
        <v>173.78</v>
      </c>
      <c r="BU34" s="58">
        <v>30.070900000000002</v>
      </c>
      <c r="BV34" s="58">
        <v>-269.952</v>
      </c>
      <c r="BW34" s="61"/>
      <c r="BY34" s="58"/>
      <c r="BZ34" s="58"/>
      <c r="CA34" s="58"/>
      <c r="CC34" s="58"/>
    </row>
    <row r="35" spans="1:81" x14ac:dyDescent="0.25">
      <c r="A35">
        <f t="shared" si="51"/>
        <v>900</v>
      </c>
      <c r="B35">
        <f t="shared" si="33"/>
        <v>0.9</v>
      </c>
      <c r="C35">
        <f t="shared" si="0"/>
        <v>1.000027858425798</v>
      </c>
      <c r="D35">
        <f t="shared" si="1"/>
        <v>7.4642855076994296E-3</v>
      </c>
      <c r="F35">
        <f t="shared" si="2"/>
        <v>1.0244281474504704</v>
      </c>
      <c r="G35">
        <f t="shared" si="3"/>
        <v>-6.1989678353189165E-2</v>
      </c>
      <c r="H35">
        <f t="shared" si="4"/>
        <v>-6.1989678353189165E-2</v>
      </c>
      <c r="J35">
        <f t="shared" si="5"/>
        <v>15</v>
      </c>
      <c r="M35">
        <f t="shared" si="6"/>
        <v>1.6601155241145424</v>
      </c>
      <c r="N35">
        <f t="shared" si="7"/>
        <v>-1.5707963250000001</v>
      </c>
      <c r="O35">
        <f t="shared" si="8"/>
        <v>1.0261460155204734</v>
      </c>
      <c r="P35">
        <f t="shared" si="9"/>
        <v>0.22622451048258926</v>
      </c>
      <c r="Q35">
        <f t="shared" si="10"/>
        <v>1.0187977205061116</v>
      </c>
      <c r="R35">
        <f t="shared" si="11"/>
        <v>0.19239493727759135</v>
      </c>
      <c r="S35">
        <f t="shared" si="12"/>
        <v>0.99997302164370416</v>
      </c>
      <c r="T35">
        <f t="shared" si="13"/>
        <v>-7.3455398170575899E-3</v>
      </c>
      <c r="U35">
        <f t="shared" si="14"/>
        <v>0.99998358261513032</v>
      </c>
      <c r="V35">
        <f t="shared" si="15"/>
        <v>-5.7301709907530262E-3</v>
      </c>
      <c r="X35">
        <f t="shared" si="34"/>
        <v>28.520029042923074</v>
      </c>
      <c r="Y35">
        <f t="shared" si="16"/>
        <v>-69.888130328023763</v>
      </c>
      <c r="Z35">
        <f t="shared" si="35"/>
        <v>110.11186967197624</v>
      </c>
      <c r="AC35">
        <v>1</v>
      </c>
      <c r="AD35">
        <f t="shared" si="17"/>
        <v>0.23016438727254002</v>
      </c>
      <c r="AE35">
        <f t="shared" si="18"/>
        <v>-1.561858734269877E-7</v>
      </c>
      <c r="AF35">
        <f t="shared" si="19"/>
        <v>2.72564578314E-5</v>
      </c>
      <c r="AG35">
        <f t="shared" si="36"/>
        <v>8233.8939920030116</v>
      </c>
      <c r="AH35">
        <f t="shared" si="37"/>
        <v>-36735.735219832713</v>
      </c>
      <c r="AJ35">
        <f t="shared" si="20"/>
        <v>22100</v>
      </c>
      <c r="AK35">
        <f t="shared" si="21"/>
        <v>162.33934974648304</v>
      </c>
      <c r="AL35">
        <v>1</v>
      </c>
      <c r="AM35">
        <f t="shared" si="22"/>
        <v>0.19480450535973004</v>
      </c>
      <c r="AN35">
        <f t="shared" si="38"/>
        <v>21322.462665560382</v>
      </c>
      <c r="AO35">
        <f t="shared" si="39"/>
        <v>-3991.3724428693181</v>
      </c>
      <c r="AQ35">
        <f t="shared" si="23"/>
        <v>2358.4905660377358</v>
      </c>
      <c r="AR35">
        <f t="shared" si="24"/>
        <v>-4245.2830188679245</v>
      </c>
      <c r="AT35">
        <f t="shared" si="52"/>
        <v>-136534031.61249027</v>
      </c>
      <c r="AU35">
        <f t="shared" si="53"/>
        <v>-121596095.29584464</v>
      </c>
      <c r="AV35">
        <f t="shared" si="42"/>
        <v>-2.4139998097056199</v>
      </c>
      <c r="AW35">
        <f t="shared" si="25"/>
        <v>33380916.536965083</v>
      </c>
      <c r="AX35">
        <f t="shared" si="26"/>
        <v>-100172730.70084912</v>
      </c>
      <c r="AY35">
        <f t="shared" si="50"/>
        <v>-1.2491355632635115</v>
      </c>
      <c r="BA35">
        <f t="shared" si="27"/>
        <v>1.7315475724225542</v>
      </c>
      <c r="BB35">
        <f t="shared" si="43"/>
        <v>4.7686885565405674</v>
      </c>
      <c r="BC35">
        <f t="shared" si="44"/>
        <v>-1.1648642464421084</v>
      </c>
      <c r="BD35">
        <f t="shared" si="28"/>
        <v>-246.74180510308346</v>
      </c>
      <c r="BF35">
        <f t="shared" si="29"/>
        <v>28.500385764433279</v>
      </c>
      <c r="BG35">
        <f t="shared" si="30"/>
        <v>-69.865879992992603</v>
      </c>
      <c r="BH35">
        <f t="shared" si="45"/>
        <v>110.1341200070074</v>
      </c>
      <c r="BI35">
        <f t="shared" si="46"/>
        <v>110.1341200070074</v>
      </c>
      <c r="BJ35">
        <f t="shared" si="31"/>
        <v>0</v>
      </c>
      <c r="BK35">
        <f t="shared" si="47"/>
        <v>0</v>
      </c>
      <c r="BM35">
        <f t="shared" si="48"/>
        <v>23.731697207892712</v>
      </c>
      <c r="BN35">
        <f t="shared" si="32"/>
        <v>-3.1240748899091519</v>
      </c>
      <c r="BQ35" s="56">
        <f t="shared" si="49"/>
        <v>21.670649356825706</v>
      </c>
      <c r="BR35" s="58"/>
      <c r="BS35" s="58"/>
      <c r="BT35" s="58">
        <v>177.828</v>
      </c>
      <c r="BU35" s="58">
        <v>29.720099999999999</v>
      </c>
      <c r="BV35" s="58">
        <v>-271.56010000000003</v>
      </c>
      <c r="BW35" s="61"/>
      <c r="BY35" s="58"/>
      <c r="BZ35" s="58"/>
      <c r="CA35" s="58"/>
      <c r="CC35" s="58"/>
    </row>
    <row r="36" spans="1:81" x14ac:dyDescent="0.25">
      <c r="A36">
        <f t="shared" si="51"/>
        <v>1000</v>
      </c>
      <c r="B36">
        <f t="shared" si="33"/>
        <v>1</v>
      </c>
      <c r="C36">
        <f t="shared" si="0"/>
        <v>1.000034393005899</v>
      </c>
      <c r="D36">
        <f t="shared" si="1"/>
        <v>8.2936144346645538E-3</v>
      </c>
      <c r="F36">
        <f t="shared" si="2"/>
        <v>1.031780640204758</v>
      </c>
      <c r="G36">
        <f t="shared" si="3"/>
        <v>-6.9382999255865038E-2</v>
      </c>
      <c r="H36">
        <f t="shared" si="4"/>
        <v>-6.9382999255865038E-2</v>
      </c>
      <c r="J36">
        <f t="shared" si="5"/>
        <v>15</v>
      </c>
      <c r="M36">
        <f t="shared" si="6"/>
        <v>1.4941039717030884</v>
      </c>
      <c r="N36">
        <f t="shared" si="7"/>
        <v>-1.5707963250000001</v>
      </c>
      <c r="O36">
        <f t="shared" si="8"/>
        <v>1.03218313833945</v>
      </c>
      <c r="P36">
        <f t="shared" si="9"/>
        <v>0.2503719952936504</v>
      </c>
      <c r="Q36">
        <f t="shared" si="10"/>
        <v>1.0231570576301237</v>
      </c>
      <c r="R36">
        <f t="shared" si="11"/>
        <v>0.21316115642511843</v>
      </c>
      <c r="S36">
        <f t="shared" si="12"/>
        <v>0.99996669370344216</v>
      </c>
      <c r="T36">
        <f t="shared" si="13"/>
        <v>-8.161676475387054E-3</v>
      </c>
      <c r="U36">
        <f t="shared" si="14"/>
        <v>0.99997973174069632</v>
      </c>
      <c r="V36">
        <f t="shared" si="15"/>
        <v>-6.3668403107231056E-3</v>
      </c>
      <c r="X36">
        <f t="shared" si="34"/>
        <v>27.755003749735838</v>
      </c>
      <c r="Y36">
        <f t="shared" si="16"/>
        <v>-67.774093334454903</v>
      </c>
      <c r="Z36">
        <f t="shared" si="35"/>
        <v>112.2259066655451</v>
      </c>
      <c r="AC36">
        <v>1</v>
      </c>
      <c r="AD36">
        <f t="shared" si="17"/>
        <v>0.25573820808059999</v>
      </c>
      <c r="AE36">
        <f t="shared" si="18"/>
        <v>-1.9282206595924406E-7</v>
      </c>
      <c r="AF36">
        <f t="shared" si="19"/>
        <v>3.0284953146E-5</v>
      </c>
      <c r="AG36">
        <f t="shared" si="36"/>
        <v>8233.8305757002527</v>
      </c>
      <c r="AH36">
        <f t="shared" si="37"/>
        <v>-33072.121967428349</v>
      </c>
      <c r="AJ36">
        <f t="shared" si="20"/>
        <v>22100</v>
      </c>
      <c r="AK36">
        <f t="shared" si="21"/>
        <v>180.37705527387001</v>
      </c>
      <c r="AL36">
        <v>1</v>
      </c>
      <c r="AM36">
        <f t="shared" si="22"/>
        <v>0.21644945039970001</v>
      </c>
      <c r="AN36">
        <f t="shared" si="38"/>
        <v>21148.239771016633</v>
      </c>
      <c r="AO36">
        <f t="shared" si="39"/>
        <v>-4397.1478200837573</v>
      </c>
      <c r="AQ36">
        <f t="shared" si="23"/>
        <v>2000</v>
      </c>
      <c r="AR36">
        <f t="shared" si="24"/>
        <v>-4000</v>
      </c>
      <c r="AT36">
        <f t="shared" si="52"/>
        <v>-115820826.71831289</v>
      </c>
      <c r="AU36">
        <f t="shared" si="53"/>
        <v>-99079566.237657711</v>
      </c>
      <c r="AV36">
        <f t="shared" si="42"/>
        <v>-2.4339398896060596</v>
      </c>
      <c r="AW36">
        <f t="shared" si="25"/>
        <v>24744252.484828167</v>
      </c>
      <c r="AX36">
        <f t="shared" si="26"/>
        <v>-93603636.714703843</v>
      </c>
      <c r="AY36">
        <f t="shared" si="50"/>
        <v>-1.3123567336226394</v>
      </c>
      <c r="BA36">
        <f t="shared" si="27"/>
        <v>1.5742563543850649</v>
      </c>
      <c r="BB36">
        <f t="shared" si="43"/>
        <v>3.9415090995906321</v>
      </c>
      <c r="BC36">
        <f t="shared" si="44"/>
        <v>-1.1215831559834202</v>
      </c>
      <c r="BD36">
        <f t="shared" si="28"/>
        <v>-244.26198128424306</v>
      </c>
      <c r="BF36">
        <f t="shared" si="29"/>
        <v>27.735380504180426</v>
      </c>
      <c r="BG36">
        <f t="shared" si="30"/>
        <v>-67.762145211547931</v>
      </c>
      <c r="BH36">
        <f t="shared" si="45"/>
        <v>112.23785478845207</v>
      </c>
      <c r="BI36">
        <f t="shared" si="46"/>
        <v>112.23785478845207</v>
      </c>
      <c r="BJ36">
        <f t="shared" si="31"/>
        <v>0</v>
      </c>
      <c r="BK36">
        <f t="shared" si="47"/>
        <v>0</v>
      </c>
      <c r="BM36">
        <f t="shared" si="48"/>
        <v>23.79387140458979</v>
      </c>
      <c r="BN36">
        <f t="shared" si="32"/>
        <v>-3.500163927304861</v>
      </c>
      <c r="BQ36" s="56">
        <f t="shared" si="49"/>
        <v>20.843469899875767</v>
      </c>
      <c r="BR36" s="58"/>
      <c r="BS36" s="58"/>
      <c r="BT36" s="58">
        <v>181.97</v>
      </c>
      <c r="BU36" s="58">
        <v>30.042100000000001</v>
      </c>
      <c r="BV36" s="58">
        <v>-268.84590000000003</v>
      </c>
      <c r="BW36" s="61"/>
      <c r="BY36" s="58"/>
      <c r="BZ36" s="58"/>
      <c r="CA36" s="58"/>
      <c r="CC36" s="58"/>
    </row>
    <row r="37" spans="1:81" x14ac:dyDescent="0.25">
      <c r="A37">
        <f>A36+500</f>
        <v>1500</v>
      </c>
      <c r="B37">
        <f t="shared" si="33"/>
        <v>1.5</v>
      </c>
      <c r="C37">
        <f t="shared" si="0"/>
        <v>1.0000773825999778</v>
      </c>
      <c r="D37">
        <f t="shared" si="1"/>
        <v>1.2440065132599378E-2</v>
      </c>
      <c r="F37">
        <f t="shared" si="2"/>
        <v>1.0827060585955703</v>
      </c>
      <c r="G37">
        <f t="shared" si="3"/>
        <v>-0.10934142568954322</v>
      </c>
      <c r="H37">
        <f t="shared" si="4"/>
        <v>-0.10934142568954322</v>
      </c>
      <c r="J37">
        <f t="shared" si="5"/>
        <v>15</v>
      </c>
      <c r="M37">
        <f t="shared" si="6"/>
        <v>0.99606931446872549</v>
      </c>
      <c r="N37">
        <f t="shared" si="7"/>
        <v>-1.5707963250000001</v>
      </c>
      <c r="O37">
        <f t="shared" si="8"/>
        <v>1.071053019188416</v>
      </c>
      <c r="P37">
        <f t="shared" si="9"/>
        <v>0.36629537109264215</v>
      </c>
      <c r="Q37">
        <f t="shared" si="10"/>
        <v>1.0513863801197196</v>
      </c>
      <c r="R37">
        <f t="shared" si="11"/>
        <v>0.31393717383813291</v>
      </c>
      <c r="S37">
        <f t="shared" si="12"/>
        <v>0.99992506551226712</v>
      </c>
      <c r="T37">
        <f t="shared" si="13"/>
        <v>-1.2242174938674473E-2</v>
      </c>
      <c r="U37">
        <f t="shared" si="14"/>
        <v>0.99995439814955422</v>
      </c>
      <c r="V37">
        <f t="shared" si="15"/>
        <v>-9.5500991657884102E-3</v>
      </c>
      <c r="X37">
        <f t="shared" si="34"/>
        <v>25.208919187475466</v>
      </c>
      <c r="Y37">
        <f t="shared" si="16"/>
        <v>-57.826190372425806</v>
      </c>
      <c r="Z37">
        <f t="shared" si="35"/>
        <v>122.1738096275742</v>
      </c>
      <c r="AC37">
        <v>1</v>
      </c>
      <c r="AD37">
        <f t="shared" si="17"/>
        <v>0.38360731212089999</v>
      </c>
      <c r="AE37">
        <f t="shared" si="18"/>
        <v>-4.3384964840829924E-7</v>
      </c>
      <c r="AF37">
        <f t="shared" si="19"/>
        <v>4.5427429718999998E-5</v>
      </c>
      <c r="AG37">
        <f t="shared" si="36"/>
        <v>8233.4133875344032</v>
      </c>
      <c r="AH37">
        <f t="shared" si="37"/>
        <v>-22091.7641546345</v>
      </c>
      <c r="AJ37">
        <f t="shared" si="20"/>
        <v>22100</v>
      </c>
      <c r="AK37">
        <f t="shared" si="21"/>
        <v>270.56558291080501</v>
      </c>
      <c r="AL37">
        <v>1</v>
      </c>
      <c r="AM37">
        <f t="shared" si="22"/>
        <v>0.32467417559955003</v>
      </c>
      <c r="AN37">
        <f t="shared" si="38"/>
        <v>20071.990494497153</v>
      </c>
      <c r="AO37">
        <f t="shared" si="39"/>
        <v>-6246.2913835320633</v>
      </c>
      <c r="AQ37">
        <f t="shared" si="23"/>
        <v>1000</v>
      </c>
      <c r="AR37">
        <f t="shared" si="24"/>
        <v>-3000</v>
      </c>
      <c r="AT37">
        <f t="shared" si="52"/>
        <v>-58041879.076369099</v>
      </c>
      <c r="AU37">
        <f t="shared" si="53"/>
        <v>-46792004.317237712</v>
      </c>
      <c r="AV37">
        <f t="shared" si="42"/>
        <v>-2.463096827266297</v>
      </c>
      <c r="AW37">
        <f t="shared" si="25"/>
        <v>1368054.0111547522</v>
      </c>
      <c r="AX37">
        <f t="shared" si="26"/>
        <v>-66610955.679950707</v>
      </c>
      <c r="AY37">
        <f t="shared" si="50"/>
        <v>-1.5502612407319012</v>
      </c>
      <c r="BA37">
        <f t="shared" si="27"/>
        <v>1.119014617618199</v>
      </c>
      <c r="BB37">
        <f t="shared" si="43"/>
        <v>0.97671519454301792</v>
      </c>
      <c r="BC37">
        <f t="shared" si="44"/>
        <v>-0.91283558653439578</v>
      </c>
      <c r="BD37">
        <f t="shared" si="28"/>
        <v>-232.30162655753324</v>
      </c>
      <c r="BF37">
        <f t="shared" si="29"/>
        <v>25.189423826507888</v>
      </c>
      <c r="BG37">
        <f t="shared" si="30"/>
        <v>-57.853665552865706</v>
      </c>
      <c r="BH37">
        <f t="shared" si="45"/>
        <v>122.14633444713429</v>
      </c>
      <c r="BI37">
        <f t="shared" si="46"/>
        <v>122.14633444713429</v>
      </c>
      <c r="BJ37">
        <f t="shared" si="31"/>
        <v>0</v>
      </c>
      <c r="BK37">
        <f t="shared" si="47"/>
        <v>0</v>
      </c>
      <c r="BM37">
        <f t="shared" si="48"/>
        <v>24.212708631964869</v>
      </c>
      <c r="BN37">
        <f t="shared" si="32"/>
        <v>-5.5520389953324765</v>
      </c>
      <c r="BQ37" s="56">
        <f t="shared" si="49"/>
        <v>17.878675994828154</v>
      </c>
      <c r="BR37" s="58"/>
      <c r="BS37" s="58"/>
      <c r="BT37" s="58">
        <v>186.209</v>
      </c>
      <c r="BU37" s="58">
        <v>29.901800000000001</v>
      </c>
      <c r="BV37" s="58">
        <v>-265.37959999999998</v>
      </c>
      <c r="BW37" s="61"/>
      <c r="BY37" s="58"/>
      <c r="BZ37" s="58"/>
      <c r="CA37" s="58"/>
      <c r="CC37" s="58"/>
    </row>
    <row r="38" spans="1:81" x14ac:dyDescent="0.25">
      <c r="A38">
        <f t="shared" ref="A38:A101" si="54">A37+500</f>
        <v>2000</v>
      </c>
      <c r="B38">
        <f t="shared" si="33"/>
        <v>2</v>
      </c>
      <c r="C38">
        <f t="shared" si="0"/>
        <v>1.0001375649272986</v>
      </c>
      <c r="D38">
        <f t="shared" si="1"/>
        <v>1.65860880896395E-2</v>
      </c>
      <c r="F38">
        <f t="shared" si="2"/>
        <v>1.1622807323404067</v>
      </c>
      <c r="G38">
        <f t="shared" si="3"/>
        <v>-0.15683394534404027</v>
      </c>
      <c r="H38">
        <f t="shared" si="4"/>
        <v>-0.15683394534404027</v>
      </c>
      <c r="J38">
        <f t="shared" si="5"/>
        <v>15</v>
      </c>
      <c r="M38">
        <f t="shared" si="6"/>
        <v>0.7470519858515442</v>
      </c>
      <c r="N38">
        <f t="shared" si="7"/>
        <v>-1.5707963250000001</v>
      </c>
      <c r="O38">
        <f t="shared" si="8"/>
        <v>1.1232133031125946</v>
      </c>
      <c r="P38">
        <f t="shared" si="9"/>
        <v>0.47278653348552258</v>
      </c>
      <c r="Q38">
        <f t="shared" si="10"/>
        <v>1.0896795209204075</v>
      </c>
      <c r="R38">
        <f t="shared" si="11"/>
        <v>0.40854201862177314</v>
      </c>
      <c r="S38">
        <f t="shared" si="12"/>
        <v>0.99986679477779128</v>
      </c>
      <c r="T38">
        <f t="shared" si="13"/>
        <v>-1.6322265748709739E-2</v>
      </c>
      <c r="U38">
        <f t="shared" si="14"/>
        <v>0.99991893435642798</v>
      </c>
      <c r="V38">
        <f t="shared" si="15"/>
        <v>-1.2733164482465548E-2</v>
      </c>
      <c r="X38">
        <f t="shared" si="34"/>
        <v>24.049616542283971</v>
      </c>
      <c r="Y38">
        <f t="shared" si="16"/>
        <v>-49.203957383873579</v>
      </c>
      <c r="Z38">
        <f t="shared" si="35"/>
        <v>130.79604261612641</v>
      </c>
      <c r="AC38">
        <v>1</v>
      </c>
      <c r="AD38">
        <f t="shared" si="17"/>
        <v>0.51147641616119999</v>
      </c>
      <c r="AE38">
        <f t="shared" si="18"/>
        <v>-7.7128826383697625E-7</v>
      </c>
      <c r="AF38">
        <f t="shared" si="19"/>
        <v>6.0569906292E-5</v>
      </c>
      <c r="AG38">
        <f t="shared" si="36"/>
        <v>8232.8293951205487</v>
      </c>
      <c r="AH38">
        <f t="shared" si="37"/>
        <v>-16614.684524013308</v>
      </c>
      <c r="AJ38">
        <f t="shared" si="20"/>
        <v>22100</v>
      </c>
      <c r="AK38">
        <f t="shared" si="21"/>
        <v>360.75411054774003</v>
      </c>
      <c r="AL38">
        <v>1</v>
      </c>
      <c r="AM38">
        <f t="shared" si="22"/>
        <v>0.43289890079940002</v>
      </c>
      <c r="AN38">
        <f t="shared" si="38"/>
        <v>18743.593333234796</v>
      </c>
      <c r="AO38">
        <f t="shared" si="39"/>
        <v>-7753.3268404405653</v>
      </c>
      <c r="AQ38">
        <f t="shared" si="23"/>
        <v>588.23529411764707</v>
      </c>
      <c r="AR38">
        <f t="shared" si="24"/>
        <v>-2352.9411764705883</v>
      </c>
      <c r="AT38">
        <f t="shared" si="52"/>
        <v>-34250534.529960401</v>
      </c>
      <c r="AU38">
        <f t="shared" si="53"/>
        <v>-29144707.120291471</v>
      </c>
      <c r="AV38">
        <f t="shared" si="42"/>
        <v>-2.4365606214598721</v>
      </c>
      <c r="AW38">
        <f t="shared" si="25"/>
        <v>-7184302.0202513859</v>
      </c>
      <c r="AX38">
        <f t="shared" si="26"/>
        <v>-48778986.780827671</v>
      </c>
      <c r="AY38">
        <f t="shared" si="50"/>
        <v>-1.7170277377351024</v>
      </c>
      <c r="BA38">
        <f t="shared" si="27"/>
        <v>0.91212183892728793</v>
      </c>
      <c r="BB38">
        <f t="shared" si="43"/>
        <v>-0.79894291677405738</v>
      </c>
      <c r="BC38">
        <f t="shared" si="44"/>
        <v>-0.71953288372476965</v>
      </c>
      <c r="BD38">
        <f t="shared" si="28"/>
        <v>-221.22619750541449</v>
      </c>
      <c r="BF38">
        <f t="shared" si="29"/>
        <v>24.030297823238101</v>
      </c>
      <c r="BG38">
        <f t="shared" si="30"/>
        <v>-49.261807821026913</v>
      </c>
      <c r="BH38">
        <f t="shared" si="45"/>
        <v>130.73819217897309</v>
      </c>
      <c r="BI38">
        <f t="shared" si="46"/>
        <v>130.73819217897309</v>
      </c>
      <c r="BJ38">
        <f t="shared" si="31"/>
        <v>0</v>
      </c>
      <c r="BK38">
        <f t="shared" si="47"/>
        <v>0</v>
      </c>
      <c r="BM38">
        <f t="shared" si="48"/>
        <v>24.829240740012164</v>
      </c>
      <c r="BN38">
        <f t="shared" si="32"/>
        <v>-8.0356103156124128</v>
      </c>
      <c r="BQ38" s="56">
        <f t="shared" si="49"/>
        <v>16.103017883511079</v>
      </c>
      <c r="BR38" s="58"/>
      <c r="BS38" s="58"/>
      <c r="BT38" s="58">
        <v>190.54599999999999</v>
      </c>
      <c r="BU38" s="58">
        <v>29.566700000000001</v>
      </c>
      <c r="BV38" s="58">
        <v>-265.89449999999999</v>
      </c>
      <c r="BW38" s="61"/>
      <c r="BY38" s="58"/>
      <c r="BZ38" s="58"/>
      <c r="CA38" s="58"/>
      <c r="CC38" s="58"/>
    </row>
    <row r="39" spans="1:81" x14ac:dyDescent="0.25">
      <c r="A39">
        <f t="shared" si="54"/>
        <v>2500</v>
      </c>
      <c r="B39">
        <f t="shared" si="33"/>
        <v>2.5</v>
      </c>
      <c r="C39">
        <f t="shared" si="0"/>
        <v>1.0002149368844324</v>
      </c>
      <c r="D39">
        <f t="shared" si="1"/>
        <v>2.0731540862744903E-2</v>
      </c>
      <c r="F39">
        <f t="shared" si="2"/>
        <v>1.2815154997143134</v>
      </c>
      <c r="G39">
        <f t="shared" si="3"/>
        <v>-0.21696706054324469</v>
      </c>
      <c r="H39">
        <f t="shared" si="4"/>
        <v>-0.21696706054324469</v>
      </c>
      <c r="J39">
        <f t="shared" si="5"/>
        <v>15</v>
      </c>
      <c r="M39">
        <f t="shared" si="6"/>
        <v>0.5976415886812354</v>
      </c>
      <c r="N39">
        <f t="shared" si="7"/>
        <v>-1.5707963250000001</v>
      </c>
      <c r="O39">
        <f t="shared" si="8"/>
        <v>1.1869130946289734</v>
      </c>
      <c r="P39">
        <f t="shared" si="9"/>
        <v>0.56884875133763324</v>
      </c>
      <c r="Q39">
        <f t="shared" si="10"/>
        <v>1.1370201311386603</v>
      </c>
      <c r="R39">
        <f t="shared" si="11"/>
        <v>0.49600280366316635</v>
      </c>
      <c r="S39">
        <f t="shared" si="12"/>
        <v>0.99979189022882198</v>
      </c>
      <c r="T39">
        <f t="shared" si="13"/>
        <v>-2.040181314776009E-2</v>
      </c>
      <c r="U39">
        <f t="shared" si="14"/>
        <v>0.99987334359480762</v>
      </c>
      <c r="V39">
        <f t="shared" si="15"/>
        <v>-1.5915971784563523E-2</v>
      </c>
      <c r="X39">
        <f t="shared" si="34"/>
        <v>23.807818899769639</v>
      </c>
      <c r="Y39">
        <f t="shared" si="16"/>
        <v>-42.312822902155794</v>
      </c>
      <c r="Z39">
        <f t="shared" si="35"/>
        <v>137.6871770978442</v>
      </c>
      <c r="AC39">
        <v>1</v>
      </c>
      <c r="AD39">
        <f t="shared" si="17"/>
        <v>0.63934552020150004</v>
      </c>
      <c r="AE39">
        <f t="shared" si="18"/>
        <v>-1.2051379122452755E-6</v>
      </c>
      <c r="AF39">
        <f t="shared" si="19"/>
        <v>7.5712382864999994E-5</v>
      </c>
      <c r="AG39">
        <f t="shared" si="36"/>
        <v>8232.078669451128</v>
      </c>
      <c r="AH39">
        <f t="shared" si="37"/>
        <v>-13338.911706185425</v>
      </c>
      <c r="AJ39">
        <f t="shared" si="20"/>
        <v>22100</v>
      </c>
      <c r="AK39">
        <f t="shared" si="21"/>
        <v>450.94263818467505</v>
      </c>
      <c r="AL39">
        <v>1</v>
      </c>
      <c r="AM39">
        <f t="shared" si="22"/>
        <v>0.54112362599925001</v>
      </c>
      <c r="AN39">
        <f t="shared" si="38"/>
        <v>17283.230424884805</v>
      </c>
      <c r="AO39">
        <f t="shared" si="39"/>
        <v>-8901.421678309549</v>
      </c>
      <c r="AQ39">
        <f t="shared" si="23"/>
        <v>384.61538461538464</v>
      </c>
      <c r="AR39">
        <f t="shared" si="24"/>
        <v>-1923.0769230769231</v>
      </c>
      <c r="AT39">
        <f t="shared" si="52"/>
        <v>-22485569.177490767</v>
      </c>
      <c r="AU39">
        <f t="shared" si="53"/>
        <v>-20961271.174400412</v>
      </c>
      <c r="AV39">
        <f t="shared" si="42"/>
        <v>-2.3912643141868428</v>
      </c>
      <c r="AW39">
        <f t="shared" si="25"/>
        <v>-10439481.361953534</v>
      </c>
      <c r="AX39">
        <f t="shared" si="26"/>
        <v>-36756737.709950142</v>
      </c>
      <c r="AY39">
        <f t="shared" si="50"/>
        <v>-1.8475246592750718</v>
      </c>
      <c r="BA39">
        <f t="shared" si="27"/>
        <v>0.80450336638614539</v>
      </c>
      <c r="BB39">
        <f t="shared" si="43"/>
        <v>-1.8894426857460667</v>
      </c>
      <c r="BC39">
        <f t="shared" si="44"/>
        <v>-0.54373965491177101</v>
      </c>
      <c r="BD39">
        <f t="shared" si="28"/>
        <v>-211.15398741594291</v>
      </c>
      <c r="BF39">
        <f t="shared" si="29"/>
        <v>23.788726478232924</v>
      </c>
      <c r="BG39">
        <f t="shared" si="30"/>
        <v>-42.397454497039497</v>
      </c>
      <c r="BH39">
        <f t="shared" si="45"/>
        <v>137.60254550296051</v>
      </c>
      <c r="BI39">
        <f t="shared" si="46"/>
        <v>137.60254550296051</v>
      </c>
      <c r="BJ39">
        <f t="shared" si="31"/>
        <v>0</v>
      </c>
      <c r="BK39">
        <f t="shared" si="47"/>
        <v>0</v>
      </c>
      <c r="BM39">
        <f t="shared" si="48"/>
        <v>25.678169163978989</v>
      </c>
      <c r="BN39">
        <f t="shared" si="32"/>
        <v>-11.243467081096577</v>
      </c>
      <c r="BQ39" s="56">
        <f t="shared" si="49"/>
        <v>15.01251811453907</v>
      </c>
      <c r="BR39" s="58"/>
      <c r="BS39" s="58"/>
      <c r="BT39" s="58">
        <v>194.98400000000001</v>
      </c>
      <c r="BU39" s="58">
        <v>29.685600000000001</v>
      </c>
      <c r="BV39" s="58">
        <v>-265.6327</v>
      </c>
      <c r="BW39" s="61"/>
      <c r="BY39" s="58"/>
      <c r="BZ39" s="58"/>
      <c r="CA39" s="58"/>
      <c r="CC39" s="58"/>
    </row>
    <row r="40" spans="1:81" x14ac:dyDescent="0.25">
      <c r="A40">
        <f t="shared" si="54"/>
        <v>3000</v>
      </c>
      <c r="B40">
        <f t="shared" si="33"/>
        <v>3</v>
      </c>
      <c r="C40">
        <f t="shared" si="0"/>
        <v>1.0003094944826274</v>
      </c>
      <c r="D40">
        <f t="shared" si="1"/>
        <v>2.4876281126434467E-2</v>
      </c>
      <c r="F40">
        <f t="shared" si="2"/>
        <v>1.4597172916913586</v>
      </c>
      <c r="G40">
        <f t="shared" si="3"/>
        <v>-0.29866410733610699</v>
      </c>
      <c r="H40">
        <f t="shared" si="4"/>
        <v>-0.29866410733610699</v>
      </c>
      <c r="J40">
        <f t="shared" si="5"/>
        <v>15</v>
      </c>
      <c r="M40">
        <f t="shared" si="6"/>
        <v>0.49803465723436274</v>
      </c>
      <c r="N40">
        <f t="shared" si="7"/>
        <v>-1.5707963250000001</v>
      </c>
      <c r="O40">
        <f t="shared" si="8"/>
        <v>1.2604040144534951</v>
      </c>
      <c r="P40">
        <f t="shared" si="9"/>
        <v>0.65442774285367389</v>
      </c>
      <c r="Q40">
        <f t="shared" si="10"/>
        <v>1.1923310283662796</v>
      </c>
      <c r="R40">
        <f t="shared" si="11"/>
        <v>0.57591698308556882</v>
      </c>
      <c r="S40">
        <f t="shared" si="12"/>
        <v>0.99970036308188537</v>
      </c>
      <c r="T40">
        <f t="shared" si="13"/>
        <v>-2.4480681486598224E-2</v>
      </c>
      <c r="U40">
        <f t="shared" si="14"/>
        <v>0.99981763002063284</v>
      </c>
      <c r="V40">
        <f t="shared" si="15"/>
        <v>-1.9098456627252805E-2</v>
      </c>
      <c r="X40">
        <f t="shared" si="34"/>
        <v>24.289024642725749</v>
      </c>
      <c r="Y40">
        <f t="shared" si="16"/>
        <v>-37.690227410345692</v>
      </c>
      <c r="Z40">
        <f t="shared" si="35"/>
        <v>142.3097725896543</v>
      </c>
      <c r="AA40">
        <f>20*LOG(7)</f>
        <v>16.901960800285135</v>
      </c>
      <c r="AC40">
        <v>1</v>
      </c>
      <c r="AD40">
        <f t="shared" si="17"/>
        <v>0.76721462424179998</v>
      </c>
      <c r="AE40">
        <f t="shared" si="18"/>
        <v>-1.735398593633197E-6</v>
      </c>
      <c r="AF40">
        <f t="shared" si="19"/>
        <v>9.0854859437999996E-5</v>
      </c>
      <c r="AG40">
        <f t="shared" si="36"/>
        <v>8231.1613017651398</v>
      </c>
      <c r="AH40">
        <f t="shared" si="37"/>
        <v>-11163.787518038109</v>
      </c>
      <c r="AJ40">
        <f t="shared" si="20"/>
        <v>22100</v>
      </c>
      <c r="AK40">
        <f t="shared" si="21"/>
        <v>541.13116582161001</v>
      </c>
      <c r="AL40">
        <v>1</v>
      </c>
      <c r="AM40">
        <f t="shared" si="22"/>
        <v>0.64934835119910006</v>
      </c>
      <c r="AN40">
        <f t="shared" si="38"/>
        <v>15792.445969159915</v>
      </c>
      <c r="AO40">
        <f t="shared" si="39"/>
        <v>-9713.6675856532547</v>
      </c>
      <c r="AQ40">
        <f t="shared" si="23"/>
        <v>270.27027027027026</v>
      </c>
      <c r="AR40">
        <f t="shared" si="24"/>
        <v>-1621.6216216216217</v>
      </c>
      <c r="AT40">
        <f t="shared" si="52"/>
        <v>-15878801.028773924</v>
      </c>
      <c r="AU40">
        <f t="shared" si="53"/>
        <v>-16365069.007737555</v>
      </c>
      <c r="AV40">
        <f t="shared" si="42"/>
        <v>-2.3411146899487454</v>
      </c>
      <c r="AW40">
        <f t="shared" si="25"/>
        <v>-11454400.181419671</v>
      </c>
      <c r="AX40">
        <f t="shared" si="26"/>
        <v>-28317890.120089401</v>
      </c>
      <c r="AY40">
        <f t="shared" si="50"/>
        <v>-1.955170328583415</v>
      </c>
      <c r="BA40">
        <f t="shared" si="27"/>
        <v>0.74647627885778089</v>
      </c>
      <c r="BB40">
        <f t="shared" si="43"/>
        <v>-2.5396797701616665</v>
      </c>
      <c r="BC40">
        <f t="shared" si="44"/>
        <v>-0.38594436136533039</v>
      </c>
      <c r="BD40">
        <f t="shared" si="28"/>
        <v>-202.11298305837312</v>
      </c>
      <c r="BF40">
        <f t="shared" si="29"/>
        <v>24.270208283359686</v>
      </c>
      <c r="BG40">
        <f t="shared" si="30"/>
        <v>-37.799870000173478</v>
      </c>
      <c r="BH40">
        <f t="shared" si="45"/>
        <v>142.20012999982652</v>
      </c>
      <c r="BI40">
        <f t="shared" si="46"/>
        <v>142.20012999982652</v>
      </c>
      <c r="BJ40">
        <f t="shared" si="31"/>
        <v>0</v>
      </c>
      <c r="BK40">
        <f t="shared" si="47"/>
        <v>0</v>
      </c>
      <c r="BM40">
        <f t="shared" si="48"/>
        <v>26.809888053521355</v>
      </c>
      <c r="BN40">
        <f t="shared" si="32"/>
        <v>-15.686886941800379</v>
      </c>
      <c r="BQ40" s="56">
        <f t="shared" si="49"/>
        <v>14.362281030123471</v>
      </c>
      <c r="BR40" s="58"/>
      <c r="BS40" s="58"/>
      <c r="BT40" s="58">
        <v>199.52600000000001</v>
      </c>
      <c r="BU40" s="58">
        <v>29.050999999999998</v>
      </c>
      <c r="BV40" s="58">
        <v>-267.80150000000003</v>
      </c>
      <c r="BW40" s="61"/>
      <c r="BY40" s="58"/>
      <c r="BZ40" s="58"/>
      <c r="CA40" s="58"/>
      <c r="CC40" s="58"/>
    </row>
    <row r="41" spans="1:81" x14ac:dyDescent="0.25">
      <c r="A41">
        <f t="shared" si="54"/>
        <v>3500</v>
      </c>
      <c r="B41">
        <f t="shared" si="33"/>
        <v>3.5</v>
      </c>
      <c r="C41">
        <f t="shared" si="0"/>
        <v>1.000421232848838</v>
      </c>
      <c r="D41">
        <f t="shared" si="1"/>
        <v>2.9020166702062065E-2</v>
      </c>
      <c r="F41">
        <f t="shared" si="2"/>
        <v>1.7302694018334279</v>
      </c>
      <c r="G41">
        <f t="shared" si="3"/>
        <v>-0.41906940555150235</v>
      </c>
      <c r="H41">
        <f t="shared" si="4"/>
        <v>-0.41906940555150235</v>
      </c>
      <c r="J41">
        <f t="shared" si="5"/>
        <v>15</v>
      </c>
      <c r="M41">
        <f t="shared" si="6"/>
        <v>0.42688684905802526</v>
      </c>
      <c r="N41">
        <f t="shared" si="7"/>
        <v>-1.5707963250000001</v>
      </c>
      <c r="O41">
        <f t="shared" si="8"/>
        <v>1.3420785672364284</v>
      </c>
      <c r="P41">
        <f t="shared" si="9"/>
        <v>0.73009228019188555</v>
      </c>
      <c r="Q41">
        <f t="shared" si="10"/>
        <v>1.2545584745577105</v>
      </c>
      <c r="R41">
        <f t="shared" si="11"/>
        <v>0.64833028558357841</v>
      </c>
      <c r="S41">
        <f t="shared" si="12"/>
        <v>0.99959222703656225</v>
      </c>
      <c r="T41">
        <f t="shared" si="13"/>
        <v>-2.8558735251527117E-2</v>
      </c>
      <c r="U41">
        <f t="shared" si="14"/>
        <v>0.9997517987112422</v>
      </c>
      <c r="V41">
        <f t="shared" si="15"/>
        <v>-2.2280554604887811E-2</v>
      </c>
      <c r="X41">
        <f t="shared" si="34"/>
        <v>25.413691540560226</v>
      </c>
      <c r="Y41">
        <f t="shared" si="16"/>
        <v>-36.283256464669407</v>
      </c>
      <c r="Z41">
        <f t="shared" si="35"/>
        <v>143.71674353533058</v>
      </c>
      <c r="AC41">
        <v>1</v>
      </c>
      <c r="AD41">
        <f t="shared" si="17"/>
        <v>0.89508372828210003</v>
      </c>
      <c r="AE41">
        <f t="shared" si="18"/>
        <v>-2.36207030800074E-6</v>
      </c>
      <c r="AF41">
        <f t="shared" si="19"/>
        <v>1.05997336011E-4</v>
      </c>
      <c r="AG41">
        <f t="shared" si="36"/>
        <v>8230.0774035204304</v>
      </c>
      <c r="AH41">
        <f t="shared" si="37"/>
        <v>-9617.6004023498281</v>
      </c>
      <c r="AJ41">
        <f t="shared" si="20"/>
        <v>22100</v>
      </c>
      <c r="AK41">
        <f t="shared" si="21"/>
        <v>631.31969345854509</v>
      </c>
      <c r="AL41">
        <v>1</v>
      </c>
      <c r="AM41">
        <f t="shared" si="22"/>
        <v>0.75757307639895011</v>
      </c>
      <c r="AN41">
        <f t="shared" si="38"/>
        <v>14345.274426091584</v>
      </c>
      <c r="AO41">
        <f t="shared" si="39"/>
        <v>-10236.27398530284</v>
      </c>
      <c r="AQ41">
        <f t="shared" si="23"/>
        <v>200</v>
      </c>
      <c r="AR41">
        <f t="shared" si="24"/>
        <v>-1400</v>
      </c>
      <c r="AT41">
        <f t="shared" si="52"/>
        <v>-11818625.082585674</v>
      </c>
      <c r="AU41">
        <f t="shared" si="53"/>
        <v>-13445628.445398569</v>
      </c>
      <c r="AV41">
        <f t="shared" si="42"/>
        <v>-2.2918838733986315</v>
      </c>
      <c r="AW41">
        <f t="shared" si="25"/>
        <v>-11434382.889760774</v>
      </c>
      <c r="AX41">
        <f t="shared" si="26"/>
        <v>-22204537.749795105</v>
      </c>
      <c r="AY41">
        <f t="shared" si="50"/>
        <v>-2.0463378393419394</v>
      </c>
      <c r="BA41">
        <f t="shared" si="27"/>
        <v>0.71675735598371393</v>
      </c>
      <c r="BB41">
        <f t="shared" si="43"/>
        <v>-2.892556825062619</v>
      </c>
      <c r="BC41">
        <f t="shared" si="44"/>
        <v>-0.24554603405669218</v>
      </c>
      <c r="BD41">
        <f t="shared" si="28"/>
        <v>-194.06875144369994</v>
      </c>
      <c r="BF41">
        <f t="shared" si="29"/>
        <v>25.395200923006698</v>
      </c>
      <c r="BG41">
        <f t="shared" si="30"/>
        <v>-36.416926657599554</v>
      </c>
      <c r="BH41">
        <f t="shared" si="45"/>
        <v>143.58307334240044</v>
      </c>
      <c r="BI41">
        <f t="shared" si="46"/>
        <v>143.58307334240044</v>
      </c>
      <c r="BJ41">
        <f t="shared" si="31"/>
        <v>0</v>
      </c>
      <c r="BK41">
        <f t="shared" si="47"/>
        <v>0</v>
      </c>
      <c r="BM41">
        <f t="shared" si="48"/>
        <v>28.287757748069318</v>
      </c>
      <c r="BN41">
        <f t="shared" si="32"/>
        <v>-22.348175213899623</v>
      </c>
      <c r="BQ41" s="56">
        <f t="shared" si="49"/>
        <v>14.009403975222519</v>
      </c>
      <c r="BR41" s="58"/>
      <c r="BS41" s="58"/>
      <c r="BT41" s="58">
        <v>204.17400000000001</v>
      </c>
      <c r="BU41" s="58">
        <v>28.424299999999999</v>
      </c>
      <c r="BV41" s="58">
        <v>-264.16840000000002</v>
      </c>
      <c r="BW41" s="61"/>
      <c r="BY41" s="58"/>
      <c r="BZ41" s="58"/>
      <c r="CA41" s="58"/>
      <c r="CC41" s="58"/>
    </row>
    <row r="42" spans="1:81" x14ac:dyDescent="0.25">
      <c r="A42">
        <f t="shared" si="54"/>
        <v>4000</v>
      </c>
      <c r="B42">
        <f t="shared" si="33"/>
        <v>4</v>
      </c>
      <c r="C42">
        <f t="shared" si="0"/>
        <v>1.0005501462269775</v>
      </c>
      <c r="D42">
        <f t="shared" si="1"/>
        <v>3.3163055587017043E-2</v>
      </c>
      <c r="F42">
        <f t="shared" si="2"/>
        <v>2.1423919131674047</v>
      </c>
      <c r="G42">
        <f t="shared" si="3"/>
        <v>-0.61358949765388116</v>
      </c>
      <c r="H42">
        <f t="shared" si="4"/>
        <v>-0.61358949765388116</v>
      </c>
      <c r="J42">
        <f t="shared" si="5"/>
        <v>15</v>
      </c>
      <c r="M42">
        <f t="shared" si="6"/>
        <v>0.3735259929257721</v>
      </c>
      <c r="N42">
        <f t="shared" si="7"/>
        <v>-1.5707963250000001</v>
      </c>
      <c r="O42">
        <f t="shared" si="8"/>
        <v>1.4305357378116843</v>
      </c>
      <c r="P42">
        <f t="shared" si="9"/>
        <v>0.79674387896601928</v>
      </c>
      <c r="Q42">
        <f t="shared" si="10"/>
        <v>1.3227266661156096</v>
      </c>
      <c r="R42">
        <f t="shared" si="11"/>
        <v>0.71359430590307549</v>
      </c>
      <c r="S42">
        <f t="shared" si="12"/>
        <v>0.99946749826979631</v>
      </c>
      <c r="T42">
        <f t="shared" si="13"/>
        <v>-3.2635839091337208E-2</v>
      </c>
      <c r="U42">
        <f t="shared" si="14"/>
        <v>0.99967585566408712</v>
      </c>
      <c r="V42">
        <f t="shared" si="15"/>
        <v>-2.5462201358817525E-2</v>
      </c>
      <c r="X42">
        <f t="shared" si="34"/>
        <v>27.122931357107504</v>
      </c>
      <c r="Y42">
        <f t="shared" si="16"/>
        <v>-40.048754276473836</v>
      </c>
      <c r="Z42">
        <f t="shared" si="35"/>
        <v>139.95124572352617</v>
      </c>
      <c r="AC42">
        <v>1</v>
      </c>
      <c r="AD42">
        <f t="shared" si="17"/>
        <v>1.0229528323224</v>
      </c>
      <c r="AE42">
        <f t="shared" si="18"/>
        <v>-3.085153055347905E-6</v>
      </c>
      <c r="AF42">
        <f t="shared" si="19"/>
        <v>1.21139812584E-4</v>
      </c>
      <c r="AG42">
        <f t="shared" si="36"/>
        <v>8228.8271063598622</v>
      </c>
      <c r="AH42">
        <f t="shared" si="37"/>
        <v>-8464.4937879369609</v>
      </c>
      <c r="AJ42">
        <f t="shared" si="20"/>
        <v>22100</v>
      </c>
      <c r="AK42">
        <f t="shared" si="21"/>
        <v>721.50822109548005</v>
      </c>
      <c r="AL42">
        <v>1</v>
      </c>
      <c r="AM42">
        <f t="shared" si="22"/>
        <v>0.86579780159880004</v>
      </c>
      <c r="AN42">
        <f t="shared" si="38"/>
        <v>12988.457056869995</v>
      </c>
      <c r="AO42">
        <f t="shared" si="39"/>
        <v>-10523.869344902983</v>
      </c>
      <c r="AQ42">
        <f t="shared" si="23"/>
        <v>153.84615384615384</v>
      </c>
      <c r="AR42">
        <f t="shared" si="24"/>
        <v>-1230.7692307692307</v>
      </c>
      <c r="AT42">
        <f t="shared" si="52"/>
        <v>-9151865.1072516646</v>
      </c>
      <c r="AU42">
        <f t="shared" si="53"/>
        <v>-11430017.021356285</v>
      </c>
      <c r="AV42">
        <f t="shared" si="42"/>
        <v>-2.2459559814358299</v>
      </c>
      <c r="AW42">
        <f t="shared" si="25"/>
        <v>-10928683.814532682</v>
      </c>
      <c r="AX42">
        <f t="shared" si="26"/>
        <v>-17671639.459391624</v>
      </c>
      <c r="AY42">
        <f t="shared" si="50"/>
        <v>-2.1246576753520019</v>
      </c>
      <c r="BA42">
        <f t="shared" si="27"/>
        <v>0.70471215217201422</v>
      </c>
      <c r="BB42">
        <f t="shared" si="43"/>
        <v>-3.03976478785669</v>
      </c>
      <c r="BC42">
        <f t="shared" si="44"/>
        <v>-0.12129830608382797</v>
      </c>
      <c r="BD42">
        <f t="shared" si="28"/>
        <v>-186.94988100863077</v>
      </c>
      <c r="BF42">
        <f t="shared" si="29"/>
        <v>27.104815995724202</v>
      </c>
      <c r="BG42">
        <f t="shared" si="30"/>
        <v>-40.205866494857176</v>
      </c>
      <c r="BH42">
        <f t="shared" si="45"/>
        <v>139.79413350514284</v>
      </c>
      <c r="BI42">
        <f t="shared" si="46"/>
        <v>139.79413350514284</v>
      </c>
      <c r="BJ42">
        <f t="shared" si="31"/>
        <v>0</v>
      </c>
      <c r="BK42">
        <f t="shared" si="47"/>
        <v>0</v>
      </c>
      <c r="BM42">
        <f t="shared" si="48"/>
        <v>30.144580783580892</v>
      </c>
      <c r="BN42">
        <f t="shared" si="32"/>
        <v>-33.2559854862264</v>
      </c>
      <c r="BQ42" s="56">
        <f t="shared" si="49"/>
        <v>13.862196012428447</v>
      </c>
      <c r="BR42" s="58"/>
      <c r="BS42" s="58"/>
      <c r="BT42" s="58">
        <v>208.93</v>
      </c>
      <c r="BU42" s="58">
        <v>28.510899999999999</v>
      </c>
      <c r="BV42" s="58">
        <v>-267.69110000000001</v>
      </c>
      <c r="BW42" s="61"/>
      <c r="BY42" s="58"/>
      <c r="BZ42" s="58"/>
      <c r="CA42" s="58"/>
      <c r="CC42" s="58"/>
    </row>
    <row r="43" spans="1:81" x14ac:dyDescent="0.25">
      <c r="A43">
        <f t="shared" si="54"/>
        <v>4500</v>
      </c>
      <c r="B43">
        <f t="shared" si="33"/>
        <v>4.5</v>
      </c>
      <c r="C43">
        <f t="shared" si="0"/>
        <v>1.0006962279794012</v>
      </c>
      <c r="D43">
        <f t="shared" si="1"/>
        <v>3.7304805983834136E-2</v>
      </c>
      <c r="F43">
        <f t="shared" si="2"/>
        <v>2.6919551128713861</v>
      </c>
      <c r="G43">
        <f t="shared" si="3"/>
        <v>-0.95091879061393159</v>
      </c>
      <c r="H43">
        <f t="shared" si="4"/>
        <v>-0.95091879061393159</v>
      </c>
      <c r="J43">
        <f t="shared" si="5"/>
        <v>15</v>
      </c>
      <c r="M43">
        <f t="shared" si="6"/>
        <v>0.33202310482290853</v>
      </c>
      <c r="N43">
        <f t="shared" si="7"/>
        <v>-1.5707963250000001</v>
      </c>
      <c r="O43">
        <f t="shared" si="8"/>
        <v>1.5245953985282763</v>
      </c>
      <c r="P43">
        <f t="shared" si="9"/>
        <v>0.85540649469211971</v>
      </c>
      <c r="Q43">
        <f t="shared" si="10"/>
        <v>1.3959655736124825</v>
      </c>
      <c r="R43">
        <f t="shared" si="11"/>
        <v>0.77223925895757994</v>
      </c>
      <c r="S43">
        <f t="shared" si="12"/>
        <v>0.99932619542918</v>
      </c>
      <c r="T43">
        <f t="shared" si="13"/>
        <v>-3.6711857844182662E-2</v>
      </c>
      <c r="U43">
        <f t="shared" si="14"/>
        <v>0.999589807795216</v>
      </c>
      <c r="V43">
        <f t="shared" si="15"/>
        <v>-2.8643332585181806E-2</v>
      </c>
      <c r="X43">
        <f t="shared" si="34"/>
        <v>29.103760920130117</v>
      </c>
      <c r="Y43">
        <f t="shared" si="16"/>
        <v>-52.833569735324289</v>
      </c>
      <c r="Z43">
        <f t="shared" si="35"/>
        <v>127.16643026467571</v>
      </c>
      <c r="AC43">
        <v>1</v>
      </c>
      <c r="AD43">
        <f t="shared" si="17"/>
        <v>1.1508219363626999</v>
      </c>
      <c r="AE43">
        <f t="shared" si="18"/>
        <v>-3.9046468356746927E-6</v>
      </c>
      <c r="AF43">
        <f t="shared" si="19"/>
        <v>1.3628228915699999E-4</v>
      </c>
      <c r="AG43">
        <f t="shared" si="36"/>
        <v>8227.4105620713672</v>
      </c>
      <c r="AH43">
        <f t="shared" si="37"/>
        <v>-7573.4355432491975</v>
      </c>
      <c r="AJ43">
        <f t="shared" si="20"/>
        <v>22100</v>
      </c>
      <c r="AK43">
        <f t="shared" si="21"/>
        <v>811.69674873241513</v>
      </c>
      <c r="AL43">
        <v>1</v>
      </c>
      <c r="AM43">
        <f t="shared" si="22"/>
        <v>0.97402252679865009</v>
      </c>
      <c r="AN43">
        <f t="shared" si="38"/>
        <v>11746.48605029226</v>
      </c>
      <c r="AO43">
        <f t="shared" si="39"/>
        <v>-10629.645274978348</v>
      </c>
      <c r="AQ43">
        <f t="shared" si="23"/>
        <v>121.95121951219512</v>
      </c>
      <c r="AR43">
        <f t="shared" si="24"/>
        <v>-1097.560975609756</v>
      </c>
      <c r="AT43">
        <f t="shared" si="52"/>
        <v>-7308964.552094074</v>
      </c>
      <c r="AU43">
        <f t="shared" si="53"/>
        <v>-9953674.4636453036</v>
      </c>
      <c r="AV43">
        <f t="shared" si="42"/>
        <v>-2.2041722703089595</v>
      </c>
      <c r="AW43">
        <f t="shared" si="25"/>
        <v>-10210286.134520242</v>
      </c>
      <c r="AX43">
        <f t="shared" si="26"/>
        <v>-14249892.510418996</v>
      </c>
      <c r="AY43">
        <f t="shared" si="50"/>
        <v>-2.1925215370953346</v>
      </c>
      <c r="BA43">
        <f t="shared" si="27"/>
        <v>0.7044370180145384</v>
      </c>
      <c r="BB43">
        <f t="shared" si="43"/>
        <v>-3.0431566004602462</v>
      </c>
      <c r="BC43">
        <f t="shared" si="44"/>
        <v>-1.1650733213624864E-2</v>
      </c>
      <c r="BD43">
        <f t="shared" si="28"/>
        <v>-180.66753784213637</v>
      </c>
      <c r="BF43">
        <f t="shared" si="29"/>
        <v>29.086070114833966</v>
      </c>
      <c r="BG43">
        <f t="shared" si="30"/>
        <v>-53.013763325385291</v>
      </c>
      <c r="BH43">
        <f t="shared" si="45"/>
        <v>126.9862366746147</v>
      </c>
      <c r="BI43">
        <f t="shared" si="46"/>
        <v>126.9862366746147</v>
      </c>
      <c r="BJ43">
        <f t="shared" si="31"/>
        <v>0</v>
      </c>
      <c r="BK43">
        <f t="shared" si="47"/>
        <v>0</v>
      </c>
      <c r="BM43">
        <f t="shared" si="48"/>
        <v>32.129226715294209</v>
      </c>
      <c r="BN43">
        <f t="shared" si="32"/>
        <v>-52.346225483248929</v>
      </c>
      <c r="BQ43" s="56">
        <f t="shared" si="49"/>
        <v>13.85880419982489</v>
      </c>
      <c r="BR43" s="58"/>
      <c r="BS43" s="58"/>
      <c r="BT43" s="58">
        <v>213.79599999999999</v>
      </c>
      <c r="BU43" s="58">
        <v>28.178999999999998</v>
      </c>
      <c r="BV43" s="58">
        <v>-266.9667</v>
      </c>
      <c r="BW43" s="61"/>
      <c r="BY43" s="58"/>
      <c r="BZ43" s="58"/>
      <c r="CA43" s="58"/>
      <c r="CC43" s="58"/>
    </row>
    <row r="44" spans="1:81" x14ac:dyDescent="0.25">
      <c r="A44">
        <f t="shared" si="54"/>
        <v>5000</v>
      </c>
      <c r="B44">
        <f t="shared" si="33"/>
        <v>5</v>
      </c>
      <c r="C44">
        <f t="shared" si="0"/>
        <v>1.0008594705886116</v>
      </c>
      <c r="D44">
        <f t="shared" si="1"/>
        <v>4.1445276329197991E-2</v>
      </c>
      <c r="F44">
        <f t="shared" si="2"/>
        <v>2.9643746067239132</v>
      </c>
      <c r="G44">
        <f t="shared" si="3"/>
        <v>-1.4803268225422002</v>
      </c>
      <c r="H44">
        <f t="shared" si="4"/>
        <v>-1.4803268225422002</v>
      </c>
      <c r="J44">
        <f t="shared" si="5"/>
        <v>15</v>
      </c>
      <c r="M44">
        <f t="shared" si="6"/>
        <v>0.2988207943406177</v>
      </c>
      <c r="N44">
        <f t="shared" si="7"/>
        <v>-1.5707963250000001</v>
      </c>
      <c r="O44">
        <f t="shared" si="8"/>
        <v>1.6232839482995285</v>
      </c>
      <c r="P44">
        <f t="shared" si="9"/>
        <v>0.90709690017099143</v>
      </c>
      <c r="Q44">
        <f t="shared" si="10"/>
        <v>1.4735192955839789</v>
      </c>
      <c r="R44">
        <f t="shared" si="11"/>
        <v>0.82487691313121003</v>
      </c>
      <c r="S44">
        <f t="shared" si="12"/>
        <v>0.99916833962521934</v>
      </c>
      <c r="T44">
        <f t="shared" si="13"/>
        <v>-4.0786656564363352E-2</v>
      </c>
      <c r="U44">
        <f t="shared" si="14"/>
        <v>0.99949366293752606</v>
      </c>
      <c r="V44">
        <f t="shared" si="15"/>
        <v>-3.1823884042691104E-2</v>
      </c>
      <c r="X44">
        <f t="shared" si="34"/>
        <v>30.039545858413049</v>
      </c>
      <c r="Y44">
        <f t="shared" si="16"/>
        <v>-77.367327598380385</v>
      </c>
      <c r="Z44">
        <f t="shared" si="35"/>
        <v>102.63267240161962</v>
      </c>
      <c r="AC44">
        <v>1</v>
      </c>
      <c r="AD44">
        <f t="shared" si="17"/>
        <v>1.2786910404030001</v>
      </c>
      <c r="AE44">
        <f t="shared" si="18"/>
        <v>-4.8205516489811022E-6</v>
      </c>
      <c r="AF44">
        <f t="shared" si="19"/>
        <v>1.5142476572999999E-4</v>
      </c>
      <c r="AG44">
        <f t="shared" si="36"/>
        <v>8225.8279425418987</v>
      </c>
      <c r="AH44">
        <f t="shared" si="37"/>
        <v>-6865.8057579988126</v>
      </c>
      <c r="AJ44">
        <f t="shared" si="20"/>
        <v>22100</v>
      </c>
      <c r="AK44">
        <f t="shared" si="21"/>
        <v>901.88527636935009</v>
      </c>
      <c r="AL44">
        <v>1</v>
      </c>
      <c r="AM44">
        <f t="shared" si="22"/>
        <v>1.0822472519985</v>
      </c>
      <c r="AN44">
        <f t="shared" si="38"/>
        <v>10627.963612590636</v>
      </c>
      <c r="AO44">
        <f t="shared" si="39"/>
        <v>-10600.199137696916</v>
      </c>
      <c r="AQ44">
        <f t="shared" si="23"/>
        <v>99.009900990099013</v>
      </c>
      <c r="AR44">
        <f t="shared" si="24"/>
        <v>-990.09900990099015</v>
      </c>
      <c r="AT44">
        <f t="shared" si="52"/>
        <v>-5983389.0730144782</v>
      </c>
      <c r="AU44">
        <f t="shared" si="53"/>
        <v>-8824166.8498433474</v>
      </c>
      <c r="AV44">
        <f t="shared" si="42"/>
        <v>-2.1666509849703308</v>
      </c>
      <c r="AW44">
        <f t="shared" si="25"/>
        <v>-9420557.4311956037</v>
      </c>
      <c r="AX44">
        <f t="shared" si="26"/>
        <v>-11628681.066684321</v>
      </c>
      <c r="AY44">
        <f t="shared" si="50"/>
        <v>-2.2516739933598635</v>
      </c>
      <c r="BA44">
        <f t="shared" si="27"/>
        <v>0.71239192218634939</v>
      </c>
      <c r="BB44">
        <f t="shared" si="43"/>
        <v>-2.9456202729401628</v>
      </c>
      <c r="BC44">
        <f t="shared" si="44"/>
        <v>8.5023008389532695E-2</v>
      </c>
      <c r="BD44">
        <f t="shared" si="28"/>
        <v>-175.12854045220794</v>
      </c>
      <c r="BF44">
        <f t="shared" si="29"/>
        <v>30.022328656185703</v>
      </c>
      <c r="BG44">
        <f t="shared" si="30"/>
        <v>-77.570380363674616</v>
      </c>
      <c r="BH44">
        <f t="shared" si="45"/>
        <v>102.42961963632538</v>
      </c>
      <c r="BI44">
        <f t="shared" si="46"/>
        <v>102.42961963632538</v>
      </c>
      <c r="BJ44">
        <f t="shared" si="31"/>
        <v>0</v>
      </c>
      <c r="BK44">
        <f t="shared" si="47"/>
        <v>0</v>
      </c>
      <c r="BM44">
        <f t="shared" si="48"/>
        <v>32.967948929125868</v>
      </c>
      <c r="BN44">
        <f t="shared" si="32"/>
        <v>-82.441839911466687</v>
      </c>
      <c r="BQ44" s="56">
        <f t="shared" si="49"/>
        <v>13.956340527344974</v>
      </c>
      <c r="BR44" s="58"/>
      <c r="BS44" s="58"/>
      <c r="BT44" s="58">
        <v>218.77600000000001</v>
      </c>
      <c r="BU44" s="58">
        <v>27.706399999999999</v>
      </c>
      <c r="BV44" s="58">
        <v>-263.5369</v>
      </c>
      <c r="BW44" s="61"/>
      <c r="BY44" s="58"/>
      <c r="BZ44" s="58"/>
      <c r="CA44" s="58"/>
      <c r="CC44" s="58"/>
    </row>
    <row r="45" spans="1:81" x14ac:dyDescent="0.25">
      <c r="A45">
        <f t="shared" si="54"/>
        <v>5500</v>
      </c>
      <c r="B45">
        <f t="shared" si="33"/>
        <v>5.5</v>
      </c>
      <c r="C45">
        <f t="shared" si="0"/>
        <v>1.0010398656591895</v>
      </c>
      <c r="D45">
        <f t="shared" si="1"/>
        <v>4.5584325322827406E-2</v>
      </c>
      <c r="F45">
        <f t="shared" si="2"/>
        <v>2.447248790769136</v>
      </c>
      <c r="G45">
        <f t="shared" si="3"/>
        <v>1.1299589773203267</v>
      </c>
      <c r="H45">
        <f t="shared" si="4"/>
        <v>-2.0116336726796735</v>
      </c>
      <c r="J45">
        <f t="shared" si="5"/>
        <v>15</v>
      </c>
      <c r="M45">
        <f t="shared" si="6"/>
        <v>0.27165526758237968</v>
      </c>
      <c r="N45">
        <f t="shared" si="7"/>
        <v>-1.5707963250000001</v>
      </c>
      <c r="O45">
        <f t="shared" si="8"/>
        <v>1.7258074747596721</v>
      </c>
      <c r="P45">
        <f t="shared" si="9"/>
        <v>0.95275624693918426</v>
      </c>
      <c r="Q45">
        <f t="shared" si="10"/>
        <v>1.5547422707621188</v>
      </c>
      <c r="R45">
        <f t="shared" si="11"/>
        <v>0.87213475905337434</v>
      </c>
      <c r="S45">
        <f t="shared" si="12"/>
        <v>0.99899395442258743</v>
      </c>
      <c r="T45">
        <f t="shared" si="13"/>
        <v>-4.486010054899936E-2</v>
      </c>
      <c r="U45">
        <f t="shared" si="14"/>
        <v>0.99938742983878359</v>
      </c>
      <c r="V45">
        <f t="shared" si="15"/>
        <v>-3.5003791560387222E-2</v>
      </c>
      <c r="X45">
        <f t="shared" si="34"/>
        <v>28.543727608188497</v>
      </c>
      <c r="Y45">
        <f t="shared" si="16"/>
        <v>-102.66364117106694</v>
      </c>
      <c r="Z45">
        <f t="shared" si="35"/>
        <v>77.336358828933058</v>
      </c>
      <c r="AC45">
        <v>1</v>
      </c>
      <c r="AD45">
        <f t="shared" si="17"/>
        <v>1.4065601444433</v>
      </c>
      <c r="AE45">
        <f t="shared" si="18"/>
        <v>-5.832867495267133E-6</v>
      </c>
      <c r="AF45">
        <f t="shared" si="19"/>
        <v>1.6656724230299999E-4</v>
      </c>
      <c r="AG45">
        <f t="shared" si="36"/>
        <v>8224.0794397053687</v>
      </c>
      <c r="AH45">
        <f t="shared" si="37"/>
        <v>-6291.5730077106382</v>
      </c>
      <c r="AJ45">
        <f t="shared" si="20"/>
        <v>22100</v>
      </c>
      <c r="AK45">
        <f t="shared" si="21"/>
        <v>992.07380400628506</v>
      </c>
      <c r="AL45">
        <v>1</v>
      </c>
      <c r="AM45">
        <f t="shared" si="22"/>
        <v>1.1904719771983501</v>
      </c>
      <c r="AN45">
        <f t="shared" si="38"/>
        <v>9631.3128631018735</v>
      </c>
      <c r="AO45">
        <f t="shared" si="39"/>
        <v>-10473.734263146507</v>
      </c>
      <c r="AQ45">
        <f t="shared" si="23"/>
        <v>81.967213114754102</v>
      </c>
      <c r="AR45">
        <f t="shared" si="24"/>
        <v>-901.63934426229503</v>
      </c>
      <c r="AT45">
        <f t="shared" si="52"/>
        <v>-4998624.8889435781</v>
      </c>
      <c r="AU45">
        <f t="shared" si="53"/>
        <v>-7930856.2987270234</v>
      </c>
      <c r="AV45">
        <f t="shared" si="42"/>
        <v>-2.1331803110102507</v>
      </c>
      <c r="AW45">
        <f t="shared" si="25"/>
        <v>-8632985.8778751008</v>
      </c>
      <c r="AX45">
        <f t="shared" si="26"/>
        <v>-9594926.0377912112</v>
      </c>
      <c r="AY45">
        <f t="shared" si="50"/>
        <v>-2.3034704777825246</v>
      </c>
      <c r="BA45">
        <f t="shared" si="27"/>
        <v>0.72632481729933085</v>
      </c>
      <c r="BB45">
        <f t="shared" si="43"/>
        <v>-2.7773823294384941</v>
      </c>
      <c r="BC45">
        <f t="shared" si="44"/>
        <v>0.17029016677227382</v>
      </c>
      <c r="BD45">
        <f t="shared" si="28"/>
        <v>-170.24309214022088</v>
      </c>
      <c r="BF45">
        <f t="shared" si="29"/>
        <v>28.527032768900561</v>
      </c>
      <c r="BG45">
        <f t="shared" si="30"/>
        <v>-102.88942218693533</v>
      </c>
      <c r="BH45">
        <f t="shared" si="45"/>
        <v>77.110577813064666</v>
      </c>
      <c r="BI45">
        <f t="shared" si="46"/>
        <v>77.110577813064666</v>
      </c>
      <c r="BJ45">
        <f t="shared" si="31"/>
        <v>0</v>
      </c>
      <c r="BK45">
        <f t="shared" si="47"/>
        <v>0</v>
      </c>
      <c r="BM45">
        <f t="shared" si="48"/>
        <v>31.304415098339057</v>
      </c>
      <c r="BN45">
        <f t="shared" si="32"/>
        <v>-112.64633004671445</v>
      </c>
      <c r="BQ45" s="56">
        <f t="shared" si="49"/>
        <v>14.124578470846643</v>
      </c>
      <c r="BR45" s="58"/>
      <c r="BS45" s="58"/>
      <c r="BT45" s="58">
        <v>223.87200000000001</v>
      </c>
      <c r="BU45" s="58">
        <v>27.937100000000001</v>
      </c>
      <c r="BV45" s="58">
        <v>-265.19450000000001</v>
      </c>
      <c r="BW45" s="61"/>
      <c r="BY45" s="58"/>
      <c r="BZ45" s="58"/>
      <c r="CA45" s="58"/>
      <c r="CC45" s="58"/>
    </row>
    <row r="46" spans="1:81" x14ac:dyDescent="0.25">
      <c r="A46">
        <f t="shared" si="54"/>
        <v>6000</v>
      </c>
      <c r="B46">
        <f t="shared" si="33"/>
        <v>6</v>
      </c>
      <c r="C46">
        <f t="shared" si="0"/>
        <v>1.0012374039199488</v>
      </c>
      <c r="D46">
        <f t="shared" si="1"/>
        <v>4.9721811956224798E-2</v>
      </c>
      <c r="F46">
        <f t="shared" si="2"/>
        <v>1.7636554248993765</v>
      </c>
      <c r="G46">
        <f t="shared" si="3"/>
        <v>0.79094855987090373</v>
      </c>
      <c r="H46">
        <f t="shared" si="4"/>
        <v>-2.3506440901290966</v>
      </c>
      <c r="J46">
        <f t="shared" si="5"/>
        <v>15</v>
      </c>
      <c r="M46">
        <f t="shared" si="6"/>
        <v>0.24901732861718137</v>
      </c>
      <c r="N46">
        <f t="shared" si="7"/>
        <v>-1.5707963250000001</v>
      </c>
      <c r="O46">
        <f t="shared" si="8"/>
        <v>1.8315220770173493</v>
      </c>
      <c r="P46">
        <f t="shared" si="9"/>
        <v>0.99322125629796765</v>
      </c>
      <c r="Q46">
        <f t="shared" si="10"/>
        <v>1.6390891143619859</v>
      </c>
      <c r="R46">
        <f t="shared" si="11"/>
        <v>0.91461589799041743</v>
      </c>
      <c r="S46">
        <f t="shared" si="12"/>
        <v>0.99880306583037526</v>
      </c>
      <c r="T46">
        <f t="shared" si="13"/>
        <v>-4.8932055364584913E-2</v>
      </c>
      <c r="U46">
        <f t="shared" si="14"/>
        <v>0.99927111815941805</v>
      </c>
      <c r="V46">
        <f t="shared" si="15"/>
        <v>-3.8182991045382711E-2</v>
      </c>
      <c r="X46">
        <f t="shared" si="34"/>
        <v>25.916991178413848</v>
      </c>
      <c r="Y46">
        <f t="shared" si="16"/>
        <v>-117.51344311077432</v>
      </c>
      <c r="Z46">
        <f t="shared" si="35"/>
        <v>62.486556889225682</v>
      </c>
      <c r="AC46">
        <v>1</v>
      </c>
      <c r="AD46">
        <f t="shared" si="17"/>
        <v>1.5344292484836</v>
      </c>
      <c r="AE46">
        <f t="shared" si="18"/>
        <v>-6.9415943745327878E-6</v>
      </c>
      <c r="AF46">
        <f t="shared" si="19"/>
        <v>1.8170971887599999E-4</v>
      </c>
      <c r="AG46">
        <f t="shared" si="36"/>
        <v>8222.1652654845111</v>
      </c>
      <c r="AH46">
        <f t="shared" si="37"/>
        <v>-5817.3824861548646</v>
      </c>
      <c r="AJ46">
        <f t="shared" si="20"/>
        <v>22100</v>
      </c>
      <c r="AK46">
        <f t="shared" si="21"/>
        <v>1082.26233164322</v>
      </c>
      <c r="AL46">
        <v>1</v>
      </c>
      <c r="AM46">
        <f t="shared" si="22"/>
        <v>1.2986967023982001</v>
      </c>
      <c r="AN46">
        <f t="shared" si="38"/>
        <v>8749.1311287366825</v>
      </c>
      <c r="AO46">
        <f t="shared" si="39"/>
        <v>-10280.205414096552</v>
      </c>
      <c r="AQ46">
        <f t="shared" si="23"/>
        <v>68.965517241379317</v>
      </c>
      <c r="AR46">
        <f t="shared" si="24"/>
        <v>-827.58620689655174</v>
      </c>
      <c r="AT46">
        <f t="shared" si="52"/>
        <v>-4247339.6254050937</v>
      </c>
      <c r="AU46">
        <f t="shared" si="53"/>
        <v>-7205749.3566875178</v>
      </c>
      <c r="AV46">
        <f t="shared" si="42"/>
        <v>-2.1034131564487666</v>
      </c>
      <c r="AW46">
        <f t="shared" si="25"/>
        <v>-7884445.6759871636</v>
      </c>
      <c r="AX46">
        <f t="shared" si="26"/>
        <v>-7998674.0057704002</v>
      </c>
      <c r="AY46">
        <f t="shared" si="50"/>
        <v>-2.3490028072763183</v>
      </c>
      <c r="BA46">
        <f t="shared" si="27"/>
        <v>0.74473419291653142</v>
      </c>
      <c r="BB46">
        <f t="shared" si="43"/>
        <v>-2.5599741194783658</v>
      </c>
      <c r="BC46">
        <f t="shared" si="44"/>
        <v>0.24558965082755169</v>
      </c>
      <c r="BD46">
        <f t="shared" si="28"/>
        <v>-165.92874949941097</v>
      </c>
      <c r="BF46">
        <f t="shared" si="29"/>
        <v>25.900867142664875</v>
      </c>
      <c r="BG46">
        <f t="shared" si="30"/>
        <v>-117.76188517698422</v>
      </c>
      <c r="BH46">
        <f t="shared" si="45"/>
        <v>62.238114823015778</v>
      </c>
      <c r="BI46">
        <f t="shared" si="46"/>
        <v>62.238114823015778</v>
      </c>
      <c r="BJ46">
        <f t="shared" si="31"/>
        <v>0</v>
      </c>
      <c r="BK46">
        <f t="shared" si="47"/>
        <v>0</v>
      </c>
      <c r="BM46">
        <f t="shared" si="48"/>
        <v>28.460841262143241</v>
      </c>
      <c r="BN46">
        <f t="shared" si="32"/>
        <v>-131.83313567757327</v>
      </c>
      <c r="BQ46" s="56">
        <f t="shared" si="49"/>
        <v>14.341986680806771</v>
      </c>
      <c r="BR46" s="58"/>
      <c r="BS46" s="58"/>
      <c r="BT46" s="58">
        <v>229.08699999999999</v>
      </c>
      <c r="BU46" s="58">
        <v>27.676300000000001</v>
      </c>
      <c r="BV46" s="58">
        <v>-266.75440000000003</v>
      </c>
      <c r="BW46" s="61"/>
      <c r="BY46" s="58"/>
      <c r="BZ46" s="58"/>
      <c r="CA46" s="58"/>
      <c r="CC46" s="58"/>
    </row>
    <row r="47" spans="1:81" x14ac:dyDescent="0.25">
      <c r="A47">
        <f t="shared" si="54"/>
        <v>6500</v>
      </c>
      <c r="B47">
        <f t="shared" si="33"/>
        <v>6.5</v>
      </c>
      <c r="C47">
        <f t="shared" si="0"/>
        <v>1.0014520752263123</v>
      </c>
      <c r="D47">
        <f t="shared" si="1"/>
        <v>5.3857595541276213E-2</v>
      </c>
      <c r="F47">
        <f t="shared" si="2"/>
        <v>1.2871153958626496</v>
      </c>
      <c r="G47">
        <f t="shared" si="3"/>
        <v>0.59697660985907741</v>
      </c>
      <c r="H47">
        <f t="shared" si="4"/>
        <v>-2.544616040140923</v>
      </c>
      <c r="J47">
        <f t="shared" si="5"/>
        <v>15</v>
      </c>
      <c r="M47">
        <f t="shared" si="6"/>
        <v>0.22986214949278283</v>
      </c>
      <c r="N47">
        <f t="shared" si="7"/>
        <v>-1.5707963250000001</v>
      </c>
      <c r="O47">
        <f t="shared" si="8"/>
        <v>1.9399061350497533</v>
      </c>
      <c r="P47">
        <f t="shared" si="9"/>
        <v>1.0292182758362165</v>
      </c>
      <c r="Q47">
        <f t="shared" si="10"/>
        <v>1.72610193888847</v>
      </c>
      <c r="R47">
        <f t="shared" si="11"/>
        <v>0.95287752686637661</v>
      </c>
      <c r="S47">
        <f t="shared" si="12"/>
        <v>0.99859570229134087</v>
      </c>
      <c r="T47">
        <f t="shared" si="13"/>
        <v>-5.3002386873408684E-2</v>
      </c>
      <c r="U47">
        <f t="shared" si="14"/>
        <v>0.99914473847008323</v>
      </c>
      <c r="V47">
        <f t="shared" si="15"/>
        <v>-4.1361418490576729E-2</v>
      </c>
      <c r="X47">
        <f t="shared" si="34"/>
        <v>23.433432677521267</v>
      </c>
      <c r="Y47">
        <f t="shared" si="16"/>
        <v>-124.55087040230599</v>
      </c>
      <c r="Z47">
        <f t="shared" si="35"/>
        <v>55.449129597694011</v>
      </c>
      <c r="AC47">
        <v>1</v>
      </c>
      <c r="AD47">
        <f t="shared" si="17"/>
        <v>1.6622983525239001</v>
      </c>
      <c r="AE47">
        <f t="shared" si="18"/>
        <v>-8.1467322867780632E-6</v>
      </c>
      <c r="AF47">
        <f t="shared" si="19"/>
        <v>1.9685219544900002E-4</v>
      </c>
      <c r="AG47">
        <f t="shared" si="36"/>
        <v>8220.0856517267621</v>
      </c>
      <c r="AH47">
        <f t="shared" si="37"/>
        <v>-5420.1419229557468</v>
      </c>
      <c r="AJ47">
        <f t="shared" si="20"/>
        <v>22100</v>
      </c>
      <c r="AK47">
        <f t="shared" si="21"/>
        <v>1172.4508592801551</v>
      </c>
      <c r="AL47">
        <v>1</v>
      </c>
      <c r="AM47">
        <f t="shared" si="22"/>
        <v>1.4069214275980502</v>
      </c>
      <c r="AN47">
        <f t="shared" si="38"/>
        <v>7971.1766844063277</v>
      </c>
      <c r="AO47">
        <f t="shared" si="39"/>
        <v>-10042.368421181089</v>
      </c>
      <c r="AQ47">
        <f t="shared" si="23"/>
        <v>58.823529411764703</v>
      </c>
      <c r="AR47">
        <f t="shared" si="24"/>
        <v>-764.70588235294122</v>
      </c>
      <c r="AT47">
        <f t="shared" si="52"/>
        <v>-3661279.9615704673</v>
      </c>
      <c r="AU47">
        <f t="shared" si="53"/>
        <v>-6604779.7291413918</v>
      </c>
      <c r="AV47">
        <f t="shared" si="42"/>
        <v>-2.0769639049743751</v>
      </c>
      <c r="AW47">
        <f t="shared" si="25"/>
        <v>-7191676.3124750825</v>
      </c>
      <c r="AX47">
        <f t="shared" si="26"/>
        <v>-6732380.7395529645</v>
      </c>
      <c r="AY47">
        <f t="shared" si="50"/>
        <v>-2.3891682922572581</v>
      </c>
      <c r="BA47">
        <f t="shared" si="27"/>
        <v>0.76657996002638196</v>
      </c>
      <c r="BB47">
        <f t="shared" si="43"/>
        <v>-2.3088507656489665</v>
      </c>
      <c r="BC47">
        <f t="shared" si="44"/>
        <v>0.31220438728288302</v>
      </c>
      <c r="BD47">
        <f t="shared" si="28"/>
        <v>-162.11200624278297</v>
      </c>
      <c r="BF47">
        <f t="shared" si="29"/>
        <v>23.417927535559219</v>
      </c>
      <c r="BG47">
        <f t="shared" si="30"/>
        <v>-124.82195306798208</v>
      </c>
      <c r="BH47">
        <f t="shared" si="45"/>
        <v>55.178046932017921</v>
      </c>
      <c r="BI47">
        <f t="shared" si="46"/>
        <v>55.178046932017921</v>
      </c>
      <c r="BJ47">
        <f t="shared" si="31"/>
        <v>0</v>
      </c>
      <c r="BK47">
        <f t="shared" si="47"/>
        <v>0</v>
      </c>
      <c r="BM47">
        <f t="shared" si="48"/>
        <v>25.726778301208185</v>
      </c>
      <c r="BN47">
        <f t="shared" si="32"/>
        <v>-142.70994682519913</v>
      </c>
      <c r="BQ47" s="56">
        <f t="shared" si="49"/>
        <v>14.593110034636169</v>
      </c>
      <c r="BR47" s="58"/>
      <c r="BS47" s="58"/>
      <c r="BT47" s="58">
        <v>234.423</v>
      </c>
      <c r="BU47" s="58">
        <v>27.670300000000001</v>
      </c>
      <c r="BV47" s="58">
        <v>-266.76120000000003</v>
      </c>
      <c r="BW47" s="61"/>
      <c r="BY47" s="58"/>
      <c r="BZ47" s="58"/>
      <c r="CA47" s="58"/>
      <c r="CC47" s="58"/>
    </row>
    <row r="48" spans="1:81" x14ac:dyDescent="0.25">
      <c r="A48">
        <f t="shared" si="54"/>
        <v>7000</v>
      </c>
      <c r="B48">
        <f t="shared" si="33"/>
        <v>7</v>
      </c>
      <c r="C48">
        <f t="shared" si="0"/>
        <v>1.0016838685629088</v>
      </c>
      <c r="D48">
        <f t="shared" si="1"/>
        <v>5.7991535738687594E-2</v>
      </c>
      <c r="F48">
        <f t="shared" si="2"/>
        <v>0.97968657732161302</v>
      </c>
      <c r="G48">
        <f t="shared" si="3"/>
        <v>0.47888433810211245</v>
      </c>
      <c r="H48">
        <f t="shared" si="4"/>
        <v>-2.6627083118978878</v>
      </c>
      <c r="J48">
        <f t="shared" si="5"/>
        <v>15</v>
      </c>
      <c r="M48">
        <f t="shared" si="6"/>
        <v>0.21344342452901263</v>
      </c>
      <c r="N48">
        <f t="shared" si="7"/>
        <v>-1.5707963250000001</v>
      </c>
      <c r="O48">
        <f t="shared" si="8"/>
        <v>2.0505363987360812</v>
      </c>
      <c r="P48">
        <f t="shared" si="9"/>
        <v>1.0613691100061984</v>
      </c>
      <c r="Q48">
        <f t="shared" si="10"/>
        <v>1.8153974397740782</v>
      </c>
      <c r="R48">
        <f t="shared" si="11"/>
        <v>0.98742169271341662</v>
      </c>
      <c r="S48">
        <f t="shared" si="12"/>
        <v>0.99837189467017484</v>
      </c>
      <c r="T48">
        <f t="shared" si="13"/>
        <v>-5.7070961259827663E-2</v>
      </c>
      <c r="U48">
        <f t="shared" si="14"/>
        <v>0.99900830224899506</v>
      </c>
      <c r="V48">
        <f t="shared" si="15"/>
        <v>-4.4539009982344863E-2</v>
      </c>
      <c r="X48">
        <f t="shared" si="34"/>
        <v>21.337850447268664</v>
      </c>
      <c r="Y48">
        <f t="shared" si="16"/>
        <v>-127.67403455146116</v>
      </c>
      <c r="Z48">
        <f t="shared" si="35"/>
        <v>52.325965448538838</v>
      </c>
      <c r="AC48">
        <v>1</v>
      </c>
      <c r="AD48">
        <f t="shared" si="17"/>
        <v>1.7901674565642001</v>
      </c>
      <c r="AE48">
        <f t="shared" si="18"/>
        <v>-9.4482812320029599E-6</v>
      </c>
      <c r="AF48">
        <f t="shared" si="19"/>
        <v>2.11994672022E-4</v>
      </c>
      <c r="AG48">
        <f t="shared" si="36"/>
        <v>8217.840850134211</v>
      </c>
      <c r="AH48">
        <f t="shared" si="37"/>
        <v>-5083.356393787466</v>
      </c>
      <c r="AJ48">
        <f t="shared" si="20"/>
        <v>22100</v>
      </c>
      <c r="AK48">
        <f t="shared" si="21"/>
        <v>1262.6393869170902</v>
      </c>
      <c r="AL48">
        <v>1</v>
      </c>
      <c r="AM48">
        <f t="shared" si="22"/>
        <v>1.5151461527979002</v>
      </c>
      <c r="AN48">
        <f t="shared" si="38"/>
        <v>7286.2570495343298</v>
      </c>
      <c r="AO48">
        <f t="shared" si="39"/>
        <v>-9777.1049499814289</v>
      </c>
      <c r="AQ48">
        <f t="shared" si="23"/>
        <v>50.761421319796952</v>
      </c>
      <c r="AR48">
        <f t="shared" si="24"/>
        <v>-710.65989847715741</v>
      </c>
      <c r="AT48">
        <f t="shared" si="52"/>
        <v>-3195388.2569995085</v>
      </c>
      <c r="AU48">
        <f t="shared" si="53"/>
        <v>-6098128.3398815449</v>
      </c>
      <c r="AV48">
        <f t="shared" si="42"/>
        <v>-2.0534550887806491</v>
      </c>
      <c r="AW48">
        <f t="shared" si="25"/>
        <v>-6560356.4246003479</v>
      </c>
      <c r="AX48">
        <f t="shared" si="26"/>
        <v>-5717760.5005166382</v>
      </c>
      <c r="AY48">
        <f t="shared" si="50"/>
        <v>-2.4247128890665532</v>
      </c>
      <c r="BA48">
        <f t="shared" si="27"/>
        <v>0.79111842403012178</v>
      </c>
      <c r="BB48">
        <f t="shared" si="43"/>
        <v>-2.0351700252874441</v>
      </c>
      <c r="BC48">
        <f t="shared" si="44"/>
        <v>0.37125780028590416</v>
      </c>
      <c r="BD48">
        <f t="shared" si="28"/>
        <v>-158.72849490800064</v>
      </c>
      <c r="BF48">
        <f t="shared" si="29"/>
        <v>21.323011908575747</v>
      </c>
      <c r="BG48">
        <f t="shared" si="30"/>
        <v>-127.96777317937551</v>
      </c>
      <c r="BH48">
        <f t="shared" si="45"/>
        <v>52.032226820624487</v>
      </c>
      <c r="BI48">
        <f t="shared" si="46"/>
        <v>52.032226820624487</v>
      </c>
      <c r="BJ48">
        <f t="shared" si="31"/>
        <v>0</v>
      </c>
      <c r="BK48">
        <f t="shared" si="47"/>
        <v>0</v>
      </c>
      <c r="BM48">
        <f t="shared" si="48"/>
        <v>23.358181933863193</v>
      </c>
      <c r="BN48">
        <f t="shared" si="32"/>
        <v>-149.23927827137487</v>
      </c>
      <c r="BQ48" s="56">
        <f t="shared" si="49"/>
        <v>14.866790774997691</v>
      </c>
      <c r="BR48" s="58"/>
      <c r="BS48" s="58"/>
      <c r="BT48" s="58">
        <v>239.88300000000001</v>
      </c>
      <c r="BU48" s="58">
        <v>27.2761</v>
      </c>
      <c r="BV48" s="58">
        <v>-267.59569999999997</v>
      </c>
      <c r="BW48" s="61"/>
      <c r="BY48" s="58"/>
      <c r="BZ48" s="58"/>
      <c r="CA48" s="58"/>
      <c r="CC48" s="58"/>
    </row>
    <row r="49" spans="1:81" x14ac:dyDescent="0.25">
      <c r="A49">
        <f t="shared" si="54"/>
        <v>7500</v>
      </c>
      <c r="B49">
        <f t="shared" si="33"/>
        <v>7.5</v>
      </c>
      <c r="C49">
        <f t="shared" si="0"/>
        <v>1.0019327720463886</v>
      </c>
      <c r="D49">
        <f t="shared" si="1"/>
        <v>6.2123492586243015E-2</v>
      </c>
      <c r="F49">
        <f t="shared" si="2"/>
        <v>0.77448410289925895</v>
      </c>
      <c r="G49">
        <f t="shared" si="3"/>
        <v>0.40095000462223623</v>
      </c>
      <c r="H49">
        <f t="shared" si="4"/>
        <v>-2.7406426453777639</v>
      </c>
      <c r="J49">
        <f t="shared" si="5"/>
        <v>15</v>
      </c>
      <c r="M49">
        <f t="shared" si="6"/>
        <v>0.1992138628937451</v>
      </c>
      <c r="N49">
        <f t="shared" si="7"/>
        <v>-1.5707963250000001</v>
      </c>
      <c r="O49">
        <f t="shared" si="8"/>
        <v>2.1630682485339059</v>
      </c>
      <c r="P49">
        <f t="shared" si="9"/>
        <v>1.0902019945349355</v>
      </c>
      <c r="Q49">
        <f t="shared" si="10"/>
        <v>1.9066549261812391</v>
      </c>
      <c r="R49">
        <f t="shared" si="11"/>
        <v>1.0186935345110109</v>
      </c>
      <c r="S49">
        <f t="shared" si="12"/>
        <v>0.99813167624078269</v>
      </c>
      <c r="T49">
        <f t="shared" si="13"/>
        <v>-6.1137645056381765E-2</v>
      </c>
      <c r="U49">
        <f t="shared" si="14"/>
        <v>0.99886182187904149</v>
      </c>
      <c r="V49">
        <f t="shared" si="15"/>
        <v>-4.7715701708200796E-2</v>
      </c>
      <c r="X49">
        <f t="shared" si="34"/>
        <v>19.585949608896264</v>
      </c>
      <c r="Y49">
        <f t="shared" si="16"/>
        <v>-128.87386695147387</v>
      </c>
      <c r="Z49">
        <f t="shared" si="35"/>
        <v>51.126133048526128</v>
      </c>
      <c r="AC49">
        <v>1</v>
      </c>
      <c r="AD49">
        <f t="shared" si="17"/>
        <v>1.9180365606045002</v>
      </c>
      <c r="AE49">
        <f t="shared" si="18"/>
        <v>-1.0846241210207477E-5</v>
      </c>
      <c r="AF49">
        <f t="shared" si="19"/>
        <v>2.27137148595E-4</v>
      </c>
      <c r="AG49">
        <f t="shared" si="36"/>
        <v>8215.4311321875757</v>
      </c>
      <c r="AH49">
        <f t="shared" si="37"/>
        <v>-4794.9292066156067</v>
      </c>
      <c r="AJ49">
        <f t="shared" si="20"/>
        <v>22100</v>
      </c>
      <c r="AK49">
        <f t="shared" si="21"/>
        <v>1352.8279145540253</v>
      </c>
      <c r="AL49">
        <v>1</v>
      </c>
      <c r="AM49">
        <f t="shared" si="22"/>
        <v>1.6233708779977503</v>
      </c>
      <c r="AN49">
        <f t="shared" si="38"/>
        <v>6683.333105686881</v>
      </c>
      <c r="AO49">
        <f t="shared" si="39"/>
        <v>-9496.7004171763165</v>
      </c>
      <c r="AQ49">
        <f t="shared" si="23"/>
        <v>44.247787610619469</v>
      </c>
      <c r="AR49">
        <f t="shared" si="24"/>
        <v>-663.71681415929208</v>
      </c>
      <c r="AT49">
        <f t="shared" si="52"/>
        <v>-2818960.4852675456</v>
      </c>
      <c r="AU49">
        <f t="shared" si="53"/>
        <v>-5664884.7871428868</v>
      </c>
      <c r="AV49">
        <f t="shared" si="42"/>
        <v>-2.0325381969872347</v>
      </c>
      <c r="AW49">
        <f t="shared" si="25"/>
        <v>-5990219.2641021591</v>
      </c>
      <c r="AX49">
        <f t="shared" si="26"/>
        <v>-4897109.5173322624</v>
      </c>
      <c r="AY49">
        <f t="shared" si="50"/>
        <v>-2.4562611613958043</v>
      </c>
      <c r="BA49">
        <f t="shared" si="27"/>
        <v>0.81780337707886797</v>
      </c>
      <c r="BB49">
        <f t="shared" si="43"/>
        <v>-1.7470220076050655</v>
      </c>
      <c r="BC49">
        <f t="shared" si="44"/>
        <v>0.4237229644085696</v>
      </c>
      <c r="BD49">
        <f t="shared" si="28"/>
        <v>-155.72246242887584</v>
      </c>
      <c r="BF49">
        <f t="shared" si="29"/>
        <v>19.57182497224899</v>
      </c>
      <c r="BG49">
        <f t="shared" si="30"/>
        <v>-129.19030540414946</v>
      </c>
      <c r="BH49">
        <f t="shared" si="45"/>
        <v>50.809694595850544</v>
      </c>
      <c r="BI49">
        <f t="shared" si="46"/>
        <v>50.809694595850544</v>
      </c>
      <c r="BJ49">
        <f t="shared" si="31"/>
        <v>0</v>
      </c>
      <c r="BK49">
        <f t="shared" si="47"/>
        <v>0</v>
      </c>
      <c r="BM49">
        <f t="shared" si="48"/>
        <v>21.318846979854058</v>
      </c>
      <c r="BN49">
        <f t="shared" si="32"/>
        <v>-153.46784297527361</v>
      </c>
      <c r="BQ49" s="56">
        <f t="shared" si="49"/>
        <v>15.15493879268007</v>
      </c>
      <c r="BR49" s="58"/>
      <c r="BS49" s="58"/>
      <c r="BT49" s="58">
        <v>245.471</v>
      </c>
      <c r="BU49" s="58">
        <v>27.075500000000002</v>
      </c>
      <c r="BV49" s="58">
        <v>-266.80959999999999</v>
      </c>
      <c r="BW49" s="61"/>
      <c r="BY49" s="58"/>
      <c r="BZ49" s="58"/>
      <c r="CA49" s="58"/>
      <c r="CC49" s="58"/>
    </row>
    <row r="50" spans="1:81" x14ac:dyDescent="0.25">
      <c r="A50">
        <f t="shared" si="54"/>
        <v>8000</v>
      </c>
      <c r="B50">
        <f t="shared" si="33"/>
        <v>8</v>
      </c>
      <c r="C50">
        <f t="shared" si="0"/>
        <v>1.0021987729284567</v>
      </c>
      <c r="D50">
        <f t="shared" si="1"/>
        <v>6.6253326526870909E-2</v>
      </c>
      <c r="F50">
        <f t="shared" si="2"/>
        <v>0.63088189224636992</v>
      </c>
      <c r="G50">
        <f t="shared" si="3"/>
        <v>0.34598283246823058</v>
      </c>
      <c r="H50">
        <f t="shared" si="4"/>
        <v>-2.7956098175317696</v>
      </c>
      <c r="J50">
        <f t="shared" si="5"/>
        <v>15</v>
      </c>
      <c r="M50">
        <f t="shared" si="6"/>
        <v>0.18676299646288605</v>
      </c>
      <c r="N50">
        <f t="shared" si="7"/>
        <v>-1.5707963250000001</v>
      </c>
      <c r="O50">
        <f t="shared" si="8"/>
        <v>2.277219793657538</v>
      </c>
      <c r="P50">
        <f t="shared" si="9"/>
        <v>1.1161640598771183</v>
      </c>
      <c r="Q50">
        <f t="shared" si="10"/>
        <v>1.9996057944038024</v>
      </c>
      <c r="R50">
        <f t="shared" si="11"/>
        <v>1.0470837276685969</v>
      </c>
      <c r="S50">
        <f t="shared" si="12"/>
        <v>0.99787508267260172</v>
      </c>
      <c r="T50">
        <f t="shared" si="13"/>
        <v>-6.5202305169736616E-2</v>
      </c>
      <c r="U50">
        <f t="shared" si="14"/>
        <v>0.99870531064466861</v>
      </c>
      <c r="V50">
        <f t="shared" si="15"/>
        <v>-5.0891429964427359E-2</v>
      </c>
      <c r="X50">
        <f t="shared" si="34"/>
        <v>18.102937908476839</v>
      </c>
      <c r="Y50">
        <f t="shared" si="16"/>
        <v>-129.08732054959532</v>
      </c>
      <c r="Z50">
        <f t="shared" si="35"/>
        <v>50.912679450404681</v>
      </c>
      <c r="AC50">
        <v>1</v>
      </c>
      <c r="AD50">
        <f t="shared" si="17"/>
        <v>2.0459056646447999</v>
      </c>
      <c r="AE50">
        <f t="shared" si="18"/>
        <v>-1.234061222139162E-5</v>
      </c>
      <c r="AF50">
        <f t="shared" si="19"/>
        <v>2.42279625168E-4</v>
      </c>
      <c r="AG50">
        <f t="shared" si="36"/>
        <v>8212.8567890643426</v>
      </c>
      <c r="AH50">
        <f t="shared" si="37"/>
        <v>-4545.7874557135146</v>
      </c>
      <c r="AJ50">
        <f t="shared" si="20"/>
        <v>22100</v>
      </c>
      <c r="AK50">
        <f t="shared" si="21"/>
        <v>1443.0164421909601</v>
      </c>
      <c r="AL50">
        <v>1</v>
      </c>
      <c r="AM50">
        <f t="shared" si="22"/>
        <v>1.7315956031976001</v>
      </c>
      <c r="AN50">
        <f t="shared" si="38"/>
        <v>6152.1051869467292</v>
      </c>
      <c r="AO50">
        <f t="shared" si="39"/>
        <v>-9209.9418499351486</v>
      </c>
      <c r="AQ50">
        <f t="shared" si="23"/>
        <v>38.910505836575872</v>
      </c>
      <c r="AR50">
        <f t="shared" si="24"/>
        <v>-622.56809338521396</v>
      </c>
      <c r="AT50">
        <f t="shared" si="52"/>
        <v>-2510495.8172121355</v>
      </c>
      <c r="AU50">
        <f t="shared" si="53"/>
        <v>-5289941.481740972</v>
      </c>
      <c r="AV50">
        <f t="shared" si="42"/>
        <v>-2.0139012136811449</v>
      </c>
      <c r="AW50">
        <f t="shared" si="25"/>
        <v>-5477963.2485047532</v>
      </c>
      <c r="AX50">
        <f t="shared" si="26"/>
        <v>-4227421.9371667178</v>
      </c>
      <c r="AY50">
        <f t="shared" si="50"/>
        <v>-2.484338686751598</v>
      </c>
      <c r="BA50">
        <f t="shared" si="27"/>
        <v>0.84622434145382674</v>
      </c>
      <c r="BB50">
        <f t="shared" si="43"/>
        <v>-1.4502897288291647</v>
      </c>
      <c r="BC50">
        <f t="shared" si="44"/>
        <v>0.47043747307045303</v>
      </c>
      <c r="BD50">
        <f t="shared" si="28"/>
        <v>-153.04591823746421</v>
      </c>
      <c r="BF50">
        <f t="shared" si="29"/>
        <v>18.089574032389034</v>
      </c>
      <c r="BG50">
        <f t="shared" si="30"/>
        <v>-129.42652613737181</v>
      </c>
      <c r="BH50">
        <f t="shared" si="45"/>
        <v>50.573473862628191</v>
      </c>
      <c r="BI50">
        <f t="shared" si="46"/>
        <v>50.573473862628191</v>
      </c>
      <c r="BJ50">
        <f t="shared" si="31"/>
        <v>0</v>
      </c>
      <c r="BK50">
        <f t="shared" si="47"/>
        <v>0</v>
      </c>
      <c r="BM50">
        <f t="shared" si="48"/>
        <v>19.5398637612182</v>
      </c>
      <c r="BN50">
        <f t="shared" si="32"/>
        <v>-156.38060789990763</v>
      </c>
      <c r="BQ50" s="56">
        <f t="shared" si="49"/>
        <v>15.451671071455973</v>
      </c>
      <c r="BR50" s="58"/>
      <c r="BS50" s="58"/>
      <c r="BT50" s="58">
        <v>251.18899999999999</v>
      </c>
      <c r="BU50" s="58">
        <v>27.043399999999998</v>
      </c>
      <c r="BV50" s="58">
        <v>-265.9205</v>
      </c>
      <c r="BW50" s="61"/>
      <c r="BY50" s="58"/>
      <c r="BZ50" s="58"/>
      <c r="CA50" s="58"/>
      <c r="CC50" s="58"/>
    </row>
    <row r="51" spans="1:81" x14ac:dyDescent="0.25">
      <c r="A51">
        <f t="shared" si="54"/>
        <v>8500</v>
      </c>
      <c r="B51">
        <f t="shared" si="33"/>
        <v>8.5</v>
      </c>
      <c r="C51">
        <f t="shared" si="0"/>
        <v>1.0024818575991221</v>
      </c>
      <c r="D51">
        <f t="shared" si="1"/>
        <v>7.0380898436504219E-2</v>
      </c>
      <c r="F51">
        <f t="shared" si="2"/>
        <v>0.52607538248192309</v>
      </c>
      <c r="G51">
        <f t="shared" si="3"/>
        <v>0.30517303904764764</v>
      </c>
      <c r="H51">
        <f t="shared" si="4"/>
        <v>-2.8364196109523525</v>
      </c>
      <c r="J51">
        <f t="shared" si="5"/>
        <v>15</v>
      </c>
      <c r="M51">
        <f t="shared" si="6"/>
        <v>0.17577693784742215</v>
      </c>
      <c r="N51">
        <f t="shared" si="7"/>
        <v>-1.5707963250000001</v>
      </c>
      <c r="O51">
        <f t="shared" si="8"/>
        <v>2.3927592325539067</v>
      </c>
      <c r="P51">
        <f t="shared" si="9"/>
        <v>1.1396334357935627</v>
      </c>
      <c r="Q51">
        <f t="shared" si="10"/>
        <v>2.0940245559172657</v>
      </c>
      <c r="R51">
        <f t="shared" si="11"/>
        <v>1.0729330225554279</v>
      </c>
      <c r="S51">
        <f t="shared" si="12"/>
        <v>0.99760215201595748</v>
      </c>
      <c r="T51">
        <f t="shared" si="13"/>
        <v>-6.9264808906442168E-2</v>
      </c>
      <c r="U51">
        <f t="shared" si="14"/>
        <v>0.99853878272854379</v>
      </c>
      <c r="V51">
        <f t="shared" si="15"/>
        <v>-5.4066131163674938E-2</v>
      </c>
      <c r="X51">
        <f t="shared" si="34"/>
        <v>16.827614807373934</v>
      </c>
      <c r="Y51">
        <f t="shared" si="16"/>
        <v>-128.7779666350618</v>
      </c>
      <c r="Z51">
        <f t="shared" si="35"/>
        <v>51.222033364938198</v>
      </c>
      <c r="AC51">
        <v>1</v>
      </c>
      <c r="AD51">
        <f t="shared" si="17"/>
        <v>2.1737747686850999</v>
      </c>
      <c r="AE51">
        <f t="shared" si="18"/>
        <v>-1.3931394265555387E-5</v>
      </c>
      <c r="AF51">
        <f t="shared" si="19"/>
        <v>2.57422101741E-4</v>
      </c>
      <c r="AG51">
        <f t="shared" si="36"/>
        <v>8210.1181315510603</v>
      </c>
      <c r="AH51">
        <f t="shared" si="37"/>
        <v>-4328.9926743688529</v>
      </c>
      <c r="AJ51">
        <f t="shared" si="20"/>
        <v>22100</v>
      </c>
      <c r="AK51">
        <f t="shared" si="21"/>
        <v>1533.2049698278952</v>
      </c>
      <c r="AL51">
        <v>1</v>
      </c>
      <c r="AM51">
        <f t="shared" si="22"/>
        <v>1.8398203283974504</v>
      </c>
      <c r="AN51">
        <f t="shared" si="38"/>
        <v>5683.2769112535261</v>
      </c>
      <c r="AO51">
        <f t="shared" si="39"/>
        <v>-8923.0034234082141</v>
      </c>
      <c r="AQ51">
        <f t="shared" si="23"/>
        <v>34.482758620689658</v>
      </c>
      <c r="AR51">
        <f t="shared" si="24"/>
        <v>-586.20689655172418</v>
      </c>
      <c r="AT51">
        <f t="shared" si="52"/>
        <v>-2254577.8390592909</v>
      </c>
      <c r="AU51">
        <f t="shared" si="53"/>
        <v>-4962103.4796805819</v>
      </c>
      <c r="AV51">
        <f t="shared" si="42"/>
        <v>-1.9972695262441829</v>
      </c>
      <c r="AW51">
        <f t="shared" si="25"/>
        <v>-5018904.0152021991</v>
      </c>
      <c r="AX51">
        <f t="shared" si="26"/>
        <v>-3676319.1135849622</v>
      </c>
      <c r="AY51">
        <f t="shared" si="50"/>
        <v>-2.5093895823399759</v>
      </c>
      <c r="BA51">
        <f t="shared" si="27"/>
        <v>0.87606664127328437</v>
      </c>
      <c r="BB51">
        <f t="shared" si="43"/>
        <v>-1.1492571269480121</v>
      </c>
      <c r="BC51">
        <f t="shared" si="44"/>
        <v>0.51212005609579303</v>
      </c>
      <c r="BD51">
        <f t="shared" si="28"/>
        <v>-150.65768214817962</v>
      </c>
      <c r="BF51">
        <f t="shared" si="29"/>
        <v>16.815058080880625</v>
      </c>
      <c r="BG51">
        <f t="shared" si="30"/>
        <v>-129.1400265262302</v>
      </c>
      <c r="BH51">
        <f t="shared" si="45"/>
        <v>50.859973473769799</v>
      </c>
      <c r="BI51">
        <f t="shared" si="46"/>
        <v>50.859973473769799</v>
      </c>
      <c r="BJ51">
        <f t="shared" si="31"/>
        <v>0</v>
      </c>
      <c r="BK51">
        <f t="shared" si="47"/>
        <v>0</v>
      </c>
      <c r="BM51">
        <f t="shared" si="48"/>
        <v>17.964315207828641</v>
      </c>
      <c r="BN51">
        <f t="shared" si="32"/>
        <v>-158.48234437805061</v>
      </c>
      <c r="BQ51" s="56">
        <f t="shared" si="49"/>
        <v>15.752703673337125</v>
      </c>
      <c r="BR51" s="58"/>
      <c r="BS51" s="58"/>
      <c r="BT51" s="58">
        <v>257.04000000000002</v>
      </c>
      <c r="BU51" s="58">
        <v>26.677600000000002</v>
      </c>
      <c r="BV51" s="58">
        <v>-267.60309999999998</v>
      </c>
      <c r="BW51" s="61"/>
      <c r="BY51" s="58"/>
      <c r="BZ51" s="58"/>
      <c r="CA51" s="58"/>
      <c r="CC51" s="58"/>
    </row>
    <row r="52" spans="1:81" x14ac:dyDescent="0.25">
      <c r="A52">
        <f t="shared" si="54"/>
        <v>9000</v>
      </c>
      <c r="B52">
        <f t="shared" si="33"/>
        <v>9</v>
      </c>
      <c r="C52">
        <f t="shared" si="0"/>
        <v>1.0027820115901596</v>
      </c>
      <c r="D52">
        <f t="shared" si="1"/>
        <v>7.4506069651721143E-2</v>
      </c>
      <c r="F52">
        <f t="shared" si="2"/>
        <v>0.44688901187542646</v>
      </c>
      <c r="G52">
        <f t="shared" si="3"/>
        <v>0.27364859466032276</v>
      </c>
      <c r="H52">
        <f t="shared" si="4"/>
        <v>-2.8679440553396773</v>
      </c>
      <c r="J52">
        <f t="shared" si="5"/>
        <v>15</v>
      </c>
      <c r="M52">
        <f t="shared" si="6"/>
        <v>0.16601155241145427</v>
      </c>
      <c r="N52">
        <f t="shared" si="7"/>
        <v>-1.5707963250000001</v>
      </c>
      <c r="O52">
        <f t="shared" si="8"/>
        <v>2.5094948728487925</v>
      </c>
      <c r="P52">
        <f t="shared" si="9"/>
        <v>1.1609301762618025</v>
      </c>
      <c r="Q52">
        <f t="shared" si="10"/>
        <v>2.189721336345086</v>
      </c>
      <c r="R52">
        <f t="shared" si="11"/>
        <v>1.0965375984559871</v>
      </c>
      <c r="S52">
        <f t="shared" si="12"/>
        <v>0.99731292468647625</v>
      </c>
      <c r="T52">
        <f t="shared" si="13"/>
        <v>-7.3325023998494568E-2</v>
      </c>
      <c r="U52">
        <f t="shared" si="14"/>
        <v>0.99836225320799743</v>
      </c>
      <c r="V52">
        <f t="shared" si="15"/>
        <v>-5.7239741842524693E-2</v>
      </c>
      <c r="X52">
        <f t="shared" si="34"/>
        <v>15.714610871934413</v>
      </c>
      <c r="Y52">
        <f t="shared" si="16"/>
        <v>-128.18964111276915</v>
      </c>
      <c r="Z52">
        <f t="shared" si="35"/>
        <v>51.810358887230848</v>
      </c>
      <c r="AC52">
        <v>1</v>
      </c>
      <c r="AD52">
        <f t="shared" si="17"/>
        <v>2.3016438727253998</v>
      </c>
      <c r="AE52">
        <f t="shared" si="18"/>
        <v>-1.5618587342698771E-5</v>
      </c>
      <c r="AF52">
        <f t="shared" si="19"/>
        <v>2.7256457831399997E-4</v>
      </c>
      <c r="AG52">
        <f t="shared" si="36"/>
        <v>8207.2154899498564</v>
      </c>
      <c r="AH52">
        <f t="shared" si="37"/>
        <v>-4139.1479367889096</v>
      </c>
      <c r="AJ52">
        <f t="shared" si="20"/>
        <v>22100</v>
      </c>
      <c r="AK52">
        <f t="shared" si="21"/>
        <v>1623.3934974648303</v>
      </c>
      <c r="AL52">
        <v>1</v>
      </c>
      <c r="AM52">
        <f t="shared" si="22"/>
        <v>1.9480450535973002</v>
      </c>
      <c r="AN52">
        <f t="shared" si="38"/>
        <v>5268.629484905302</v>
      </c>
      <c r="AO52">
        <f t="shared" si="39"/>
        <v>-8640.1341098418361</v>
      </c>
      <c r="AQ52">
        <f t="shared" si="23"/>
        <v>30.76923076923077</v>
      </c>
      <c r="AR52">
        <f t="shared" si="24"/>
        <v>-553.84615384615381</v>
      </c>
      <c r="AT52">
        <f t="shared" si="52"/>
        <v>-2039921.4576077079</v>
      </c>
      <c r="AU52">
        <f t="shared" si="53"/>
        <v>-4672893.1309503475</v>
      </c>
      <c r="AV52">
        <f t="shared" si="42"/>
        <v>-1.9824037139247983</v>
      </c>
      <c r="AW52">
        <f t="shared" si="25"/>
        <v>-4607898.7835053084</v>
      </c>
      <c r="AX52">
        <f t="shared" si="26"/>
        <v>-3219190.1934273168</v>
      </c>
      <c r="AY52">
        <f t="shared" si="50"/>
        <v>-2.5317905554845401</v>
      </c>
      <c r="BA52">
        <f t="shared" si="27"/>
        <v>0.90708479913026208</v>
      </c>
      <c r="BB52">
        <f t="shared" si="43"/>
        <v>-0.84704221750019104</v>
      </c>
      <c r="BC52">
        <f t="shared" si="44"/>
        <v>0.54938684155974182</v>
      </c>
      <c r="BD52">
        <f t="shared" si="28"/>
        <v>-148.522452622636</v>
      </c>
      <c r="BF52">
        <f t="shared" si="29"/>
        <v>15.702907185699548</v>
      </c>
      <c r="BG52">
        <f t="shared" si="30"/>
        <v>-128.57465971696823</v>
      </c>
      <c r="BH52">
        <f t="shared" si="45"/>
        <v>51.425340283031773</v>
      </c>
      <c r="BI52">
        <f t="shared" si="46"/>
        <v>51.425340283031773</v>
      </c>
      <c r="BJ52">
        <f t="shared" si="31"/>
        <v>0</v>
      </c>
      <c r="BK52">
        <f t="shared" si="47"/>
        <v>0</v>
      </c>
      <c r="BM52">
        <f t="shared" si="48"/>
        <v>16.54994940319974</v>
      </c>
      <c r="BN52">
        <f t="shared" si="32"/>
        <v>-160.05220709433226</v>
      </c>
      <c r="BQ52" s="56">
        <f t="shared" si="49"/>
        <v>16.054918582784946</v>
      </c>
      <c r="BR52" s="58"/>
      <c r="BS52" s="58"/>
      <c r="BT52" s="58">
        <v>263.02699999999999</v>
      </c>
      <c r="BU52" s="58">
        <v>26.270299999999999</v>
      </c>
      <c r="BV52" s="58">
        <v>-267.3229</v>
      </c>
      <c r="BW52" s="61"/>
      <c r="BY52" s="58"/>
      <c r="BZ52" s="58"/>
      <c r="CA52" s="58"/>
      <c r="CC52" s="58"/>
    </row>
    <row r="53" spans="1:81" x14ac:dyDescent="0.25">
      <c r="A53">
        <f t="shared" si="54"/>
        <v>9500</v>
      </c>
      <c r="B53">
        <f t="shared" si="33"/>
        <v>9.5</v>
      </c>
      <c r="C53">
        <f t="shared" si="0"/>
        <v>1.0030992195787842</v>
      </c>
      <c r="D53">
        <f t="shared" si="1"/>
        <v>7.8628701997152467E-2</v>
      </c>
      <c r="F53">
        <f t="shared" si="2"/>
        <v>0.38534733579989977</v>
      </c>
      <c r="G53">
        <f t="shared" si="3"/>
        <v>0.24852674725552348</v>
      </c>
      <c r="H53">
        <f t="shared" si="4"/>
        <v>-2.8930659027444765</v>
      </c>
      <c r="J53">
        <f t="shared" si="5"/>
        <v>15</v>
      </c>
      <c r="M53">
        <f t="shared" si="6"/>
        <v>0.15727410228453562</v>
      </c>
      <c r="N53">
        <f t="shared" si="7"/>
        <v>-1.5707963250000001</v>
      </c>
      <c r="O53">
        <f t="shared" si="8"/>
        <v>2.6272672692881724</v>
      </c>
      <c r="P53">
        <f t="shared" si="9"/>
        <v>1.1803257344955542</v>
      </c>
      <c r="Q53">
        <f t="shared" si="10"/>
        <v>2.2865356772188097</v>
      </c>
      <c r="R53">
        <f t="shared" si="11"/>
        <v>1.118154501946909</v>
      </c>
      <c r="S53">
        <f t="shared" si="12"/>
        <v>0.99700744344856229</v>
      </c>
      <c r="T53">
        <f t="shared" si="13"/>
        <v>-7.7382818628689717E-2</v>
      </c>
      <c r="U53">
        <f t="shared" si="14"/>
        <v>0.99817573805124549</v>
      </c>
      <c r="V53">
        <f t="shared" si="15"/>
        <v>-6.0412198669014656E-2</v>
      </c>
      <c r="X53">
        <f t="shared" si="34"/>
        <v>14.73064749998227</v>
      </c>
      <c r="Y53">
        <f t="shared" si="16"/>
        <v>-127.45722943694236</v>
      </c>
      <c r="Z53">
        <f t="shared" si="35"/>
        <v>52.542770563057644</v>
      </c>
      <c r="AC53">
        <v>1</v>
      </c>
      <c r="AD53">
        <f t="shared" si="17"/>
        <v>2.4295129767657002</v>
      </c>
      <c r="AE53">
        <f t="shared" si="18"/>
        <v>-1.7402191452821777E-5</v>
      </c>
      <c r="AF53">
        <f t="shared" si="19"/>
        <v>2.87707054887E-4</v>
      </c>
      <c r="AG53">
        <f t="shared" si="36"/>
        <v>8204.1492139791917</v>
      </c>
      <c r="AH53">
        <f t="shared" si="37"/>
        <v>-3971.9921910778944</v>
      </c>
      <c r="AJ53">
        <f t="shared" si="20"/>
        <v>22100</v>
      </c>
      <c r="AK53">
        <f t="shared" si="21"/>
        <v>1713.5820251017651</v>
      </c>
      <c r="AL53">
        <v>1</v>
      </c>
      <c r="AM53">
        <f t="shared" si="22"/>
        <v>2.0562697787971502</v>
      </c>
      <c r="AN53">
        <f t="shared" si="38"/>
        <v>4900.9916244655724</v>
      </c>
      <c r="AO53">
        <f t="shared" si="39"/>
        <v>-8364.1789384247422</v>
      </c>
      <c r="AQ53">
        <f t="shared" si="23"/>
        <v>27.624309392265193</v>
      </c>
      <c r="AR53">
        <f t="shared" si="24"/>
        <v>-524.86187845303868</v>
      </c>
      <c r="AT53">
        <f t="shared" si="52"/>
        <v>-1858113.3264226741</v>
      </c>
      <c r="AU53">
        <f t="shared" si="53"/>
        <v>-4415768.7087481366</v>
      </c>
      <c r="AV53">
        <f t="shared" si="42"/>
        <v>-1.9690960561523119</v>
      </c>
      <c r="AW53">
        <f t="shared" si="25"/>
        <v>-4239847.9326274097</v>
      </c>
      <c r="AX53">
        <f t="shared" si="26"/>
        <v>-2837158.5462372145</v>
      </c>
      <c r="AY53">
        <f t="shared" si="50"/>
        <v>-2.5518623137053789</v>
      </c>
      <c r="BA53">
        <f t="shared" si="27"/>
        <v>0.9390843404098278</v>
      </c>
      <c r="BB53">
        <f t="shared" si="43"/>
        <v>-0.54590802837937891</v>
      </c>
      <c r="BC53">
        <f t="shared" si="44"/>
        <v>0.58276625755306699</v>
      </c>
      <c r="BD53">
        <f t="shared" si="28"/>
        <v>-146.60995296142164</v>
      </c>
      <c r="BF53">
        <f t="shared" si="29"/>
        <v>14.719842217726889</v>
      </c>
      <c r="BG53">
        <f t="shared" si="30"/>
        <v>-127.86532645311806</v>
      </c>
      <c r="BH53">
        <f t="shared" si="45"/>
        <v>52.134673546881942</v>
      </c>
      <c r="BI53">
        <f t="shared" si="46"/>
        <v>52.134673546881942</v>
      </c>
      <c r="BJ53">
        <f t="shared" si="31"/>
        <v>0</v>
      </c>
      <c r="BK53">
        <f t="shared" si="47"/>
        <v>0</v>
      </c>
      <c r="BM53">
        <f t="shared" si="48"/>
        <v>15.265750246106267</v>
      </c>
      <c r="BN53">
        <f t="shared" si="32"/>
        <v>-161.25537349169642</v>
      </c>
      <c r="BQ53" s="56">
        <f t="shared" si="49"/>
        <v>16.356052771905759</v>
      </c>
      <c r="BR53" s="58"/>
      <c r="BS53" s="58"/>
      <c r="BT53" s="58">
        <v>269.15300000000002</v>
      </c>
      <c r="BU53" s="58">
        <v>26.235900000000001</v>
      </c>
      <c r="BV53" s="58">
        <v>-265.67700000000002</v>
      </c>
      <c r="BW53" s="61"/>
      <c r="BY53" s="58"/>
      <c r="BZ53" s="58"/>
      <c r="CA53" s="58"/>
      <c r="CC53" s="58"/>
    </row>
    <row r="54" spans="1:81" x14ac:dyDescent="0.25">
      <c r="A54">
        <f t="shared" si="54"/>
        <v>10000</v>
      </c>
      <c r="B54">
        <f t="shared" si="33"/>
        <v>10</v>
      </c>
      <c r="C54">
        <f t="shared" si="0"/>
        <v>1.0034334653915342</v>
      </c>
      <c r="D54">
        <f t="shared" si="1"/>
        <v>8.2748657812642845E-2</v>
      </c>
      <c r="F54">
        <f t="shared" si="2"/>
        <v>0.33639773258734368</v>
      </c>
      <c r="G54">
        <f t="shared" si="3"/>
        <v>0.22800249598732816</v>
      </c>
      <c r="H54">
        <f t="shared" si="4"/>
        <v>-2.9135901540126721</v>
      </c>
      <c r="J54">
        <f t="shared" si="5"/>
        <v>15</v>
      </c>
      <c r="M54">
        <f t="shared" si="6"/>
        <v>0.14941039717030885</v>
      </c>
      <c r="N54">
        <f t="shared" si="7"/>
        <v>-1.5707963250000001</v>
      </c>
      <c r="O54">
        <f t="shared" si="8"/>
        <v>2.7459430269449556</v>
      </c>
      <c r="P54">
        <f t="shared" si="9"/>
        <v>1.1980509933515546</v>
      </c>
      <c r="Q54">
        <f t="shared" si="10"/>
        <v>2.3843314488202392</v>
      </c>
      <c r="R54">
        <f t="shared" si="11"/>
        <v>1.1380067827617306</v>
      </c>
      <c r="S54">
        <f t="shared" si="12"/>
        <v>0.99668575339795518</v>
      </c>
      <c r="T54">
        <f t="shared" si="13"/>
        <v>-8.1438061455755925E-2</v>
      </c>
      <c r="U54">
        <f t="shared" si="14"/>
        <v>0.99797925411339272</v>
      </c>
      <c r="V54">
        <f t="shared" si="15"/>
        <v>-6.3583438450126276E-2</v>
      </c>
      <c r="X54">
        <f t="shared" si="34"/>
        <v>13.851032665795111</v>
      </c>
      <c r="Y54">
        <f t="shared" si="16"/>
        <v>-126.65813885790466</v>
      </c>
      <c r="Z54">
        <f t="shared" si="35"/>
        <v>53.34186114209534</v>
      </c>
      <c r="AC54">
        <v>1</v>
      </c>
      <c r="AD54">
        <f t="shared" si="17"/>
        <v>2.5573820808060002</v>
      </c>
      <c r="AE54">
        <f t="shared" si="18"/>
        <v>-1.9282206595924409E-5</v>
      </c>
      <c r="AF54">
        <f t="shared" si="19"/>
        <v>3.0284953145999998E-4</v>
      </c>
      <c r="AG54">
        <f t="shared" si="36"/>
        <v>8200.9196726690079</v>
      </c>
      <c r="AH54">
        <f t="shared" si="37"/>
        <v>-3824.1162924102109</v>
      </c>
      <c r="AJ54">
        <f t="shared" si="20"/>
        <v>22100</v>
      </c>
      <c r="AK54">
        <f t="shared" si="21"/>
        <v>1803.7705527387002</v>
      </c>
      <c r="AL54">
        <v>1</v>
      </c>
      <c r="AM54">
        <f t="shared" si="22"/>
        <v>2.1644945039970001</v>
      </c>
      <c r="AN54">
        <f t="shared" si="38"/>
        <v>4574.1573762546705</v>
      </c>
      <c r="AO54">
        <f t="shared" si="39"/>
        <v>-8096.9679485818733</v>
      </c>
      <c r="AQ54">
        <f t="shared" si="23"/>
        <v>24.937655860349128</v>
      </c>
      <c r="AR54">
        <f t="shared" si="24"/>
        <v>-498.75311720698255</v>
      </c>
      <c r="AT54">
        <f t="shared" si="52"/>
        <v>-1702778.2088662148</v>
      </c>
      <c r="AU54">
        <f t="shared" si="53"/>
        <v>-4185598.7467778148</v>
      </c>
      <c r="AV54">
        <f t="shared" si="42"/>
        <v>-1.9571667029664221</v>
      </c>
      <c r="AW54">
        <f t="shared" si="25"/>
        <v>-3909951.4743638588</v>
      </c>
      <c r="AX54">
        <f t="shared" si="26"/>
        <v>-2515619.9868320981</v>
      </c>
      <c r="AY54">
        <f t="shared" si="50"/>
        <v>-2.5698788932905181</v>
      </c>
      <c r="BA54">
        <f t="shared" si="27"/>
        <v>0.97190905834503727</v>
      </c>
      <c r="BB54">
        <f t="shared" si="43"/>
        <v>-0.24748740325774729</v>
      </c>
      <c r="BC54">
        <f t="shared" si="44"/>
        <v>0.61271219032409596</v>
      </c>
      <c r="BD54">
        <f t="shared" si="28"/>
        <v>-144.89417739809861</v>
      </c>
      <c r="BF54">
        <f t="shared" si="29"/>
        <v>13.841170596050119</v>
      </c>
      <c r="BG54">
        <f t="shared" si="30"/>
        <v>-127.08944778619464</v>
      </c>
      <c r="BH54">
        <f t="shared" si="45"/>
        <v>52.91055221380536</v>
      </c>
      <c r="BI54">
        <f t="shared" si="46"/>
        <v>52.91055221380536</v>
      </c>
      <c r="BJ54">
        <f t="shared" si="31"/>
        <v>0</v>
      </c>
      <c r="BK54">
        <f t="shared" si="47"/>
        <v>0</v>
      </c>
      <c r="BM54">
        <f t="shared" si="48"/>
        <v>14.088657999307866</v>
      </c>
      <c r="BN54">
        <f t="shared" si="32"/>
        <v>-162.19527038809605</v>
      </c>
      <c r="BQ54" s="56">
        <f t="shared" si="49"/>
        <v>16.654473397027388</v>
      </c>
      <c r="BR54" s="58"/>
      <c r="BS54" s="58"/>
      <c r="BT54" s="58">
        <v>275.423</v>
      </c>
      <c r="BU54" s="58">
        <v>25.845600000000001</v>
      </c>
      <c r="BV54" s="58">
        <v>-266.46569999999997</v>
      </c>
      <c r="BW54" s="61"/>
      <c r="BY54" s="58"/>
      <c r="BZ54" s="58"/>
      <c r="CA54" s="58"/>
      <c r="CC54" s="58"/>
    </row>
    <row r="55" spans="1:81" x14ac:dyDescent="0.25">
      <c r="A55">
        <f t="shared" si="54"/>
        <v>10500</v>
      </c>
      <c r="B55">
        <f t="shared" si="33"/>
        <v>10.5</v>
      </c>
      <c r="C55">
        <f t="shared" si="0"/>
        <v>1.0037847320083617</v>
      </c>
      <c r="D55">
        <f t="shared" si="1"/>
        <v>8.6865799980152383E-2</v>
      </c>
      <c r="F55">
        <f t="shared" si="2"/>
        <v>0.29670728586537271</v>
      </c>
      <c r="G55">
        <f t="shared" si="3"/>
        <v>0.21089131960123411</v>
      </c>
      <c r="H55">
        <f t="shared" si="4"/>
        <v>-2.9307013303987661</v>
      </c>
      <c r="J55">
        <f t="shared" si="5"/>
        <v>15</v>
      </c>
      <c r="M55">
        <f t="shared" si="6"/>
        <v>0.14229561635267507</v>
      </c>
      <c r="N55">
        <f t="shared" si="7"/>
        <v>-1.5707963250000001</v>
      </c>
      <c r="O55">
        <f t="shared" si="8"/>
        <v>2.8654099053570778</v>
      </c>
      <c r="P55">
        <f t="shared" si="9"/>
        <v>1.2143029801322631</v>
      </c>
      <c r="Q55">
        <f t="shared" si="10"/>
        <v>2.4829926892282881</v>
      </c>
      <c r="R55">
        <f t="shared" si="11"/>
        <v>1.1562881475585465</v>
      </c>
      <c r="S55">
        <f t="shared" si="12"/>
        <v>0.99634790194338207</v>
      </c>
      <c r="T55">
        <f t="shared" si="13"/>
        <v>-8.5490621639254721E-2</v>
      </c>
      <c r="U55">
        <f t="shared" si="14"/>
        <v>0.99777281913222349</v>
      </c>
      <c r="V55">
        <f t="shared" si="15"/>
        <v>-6.6753398139229439E-2</v>
      </c>
      <c r="X55">
        <f t="shared" si="34"/>
        <v>13.057129098055313</v>
      </c>
      <c r="Y55">
        <f t="shared" si="16"/>
        <v>-125.83784678485667</v>
      </c>
      <c r="Z55">
        <f t="shared" si="35"/>
        <v>54.162153215143334</v>
      </c>
      <c r="AC55">
        <v>1</v>
      </c>
      <c r="AD55">
        <f t="shared" si="17"/>
        <v>2.6852511848463001</v>
      </c>
      <c r="AE55">
        <f t="shared" si="18"/>
        <v>-2.1258632772006663E-5</v>
      </c>
      <c r="AF55">
        <f t="shared" si="19"/>
        <v>3.1799200803299995E-4</v>
      </c>
      <c r="AG55">
        <f t="shared" si="36"/>
        <v>8197.5272542501843</v>
      </c>
      <c r="AH55">
        <f t="shared" si="37"/>
        <v>-3692.7601696667793</v>
      </c>
      <c r="AJ55">
        <f t="shared" si="20"/>
        <v>22100</v>
      </c>
      <c r="AK55">
        <f t="shared" si="21"/>
        <v>1893.9590803756353</v>
      </c>
      <c r="AL55">
        <v>1</v>
      </c>
      <c r="AM55">
        <f t="shared" si="22"/>
        <v>2.2727192291968503</v>
      </c>
      <c r="AN55">
        <f t="shared" si="38"/>
        <v>4282.7826414509573</v>
      </c>
      <c r="AO55">
        <f t="shared" si="39"/>
        <v>-7839.6033833204356</v>
      </c>
      <c r="AQ55">
        <f t="shared" si="23"/>
        <v>22.624434389140273</v>
      </c>
      <c r="AR55">
        <f t="shared" si="24"/>
        <v>-475.11312217194569</v>
      </c>
      <c r="AT55">
        <f t="shared" si="52"/>
        <v>-1569014.3961256151</v>
      </c>
      <c r="AU55">
        <f t="shared" si="53"/>
        <v>-3978299.3780298787</v>
      </c>
      <c r="AV55">
        <f t="shared" si="42"/>
        <v>-1.9464599683197761</v>
      </c>
      <c r="AW55">
        <f t="shared" si="25"/>
        <v>-3613824.7816421608</v>
      </c>
      <c r="AX55">
        <f t="shared" si="26"/>
        <v>-2243181.8173530661</v>
      </c>
      <c r="AY55">
        <f t="shared" si="50"/>
        <v>-2.5860753153736491</v>
      </c>
      <c r="BA55">
        <f t="shared" si="27"/>
        <v>1.005431917451683</v>
      </c>
      <c r="BB55">
        <f t="shared" si="43"/>
        <v>4.7053355917956306E-2</v>
      </c>
      <c r="BC55">
        <f t="shared" si="44"/>
        <v>0.63961534705387302</v>
      </c>
      <c r="BD55">
        <f t="shared" si="28"/>
        <v>-143.35274006014205</v>
      </c>
      <c r="BF55">
        <f t="shared" si="29"/>
        <v>13.048254466247178</v>
      </c>
      <c r="BG55">
        <f t="shared" si="30"/>
        <v>-126.29251376866229</v>
      </c>
      <c r="BH55">
        <f t="shared" si="45"/>
        <v>53.707486231337711</v>
      </c>
      <c r="BI55">
        <f t="shared" si="46"/>
        <v>53.707486231337711</v>
      </c>
      <c r="BJ55">
        <f t="shared" si="31"/>
        <v>0</v>
      </c>
      <c r="BK55">
        <f t="shared" si="47"/>
        <v>0</v>
      </c>
      <c r="BM55">
        <f t="shared" si="48"/>
        <v>13.001201110329221</v>
      </c>
      <c r="BN55">
        <f t="shared" si="32"/>
        <v>-162.93977370852025</v>
      </c>
      <c r="BQ55" s="56">
        <f t="shared" si="49"/>
        <v>16.949014156203091</v>
      </c>
      <c r="BR55" s="59"/>
      <c r="BS55" s="59"/>
      <c r="BT55" s="59">
        <v>281.83800000000002</v>
      </c>
      <c r="BU55" s="59">
        <v>26.1068</v>
      </c>
      <c r="BV55" s="59">
        <v>-266.67570000000001</v>
      </c>
      <c r="BW55" s="61"/>
      <c r="BY55" s="59"/>
      <c r="BZ55" s="59"/>
      <c r="CA55" s="59"/>
      <c r="CC55" s="59"/>
    </row>
    <row r="56" spans="1:81" x14ac:dyDescent="0.25">
      <c r="A56">
        <f t="shared" si="54"/>
        <v>11000</v>
      </c>
      <c r="B56">
        <f t="shared" si="33"/>
        <v>11</v>
      </c>
      <c r="C56">
        <f t="shared" si="0"/>
        <v>1.0041530015669287</v>
      </c>
      <c r="D56">
        <f t="shared" si="1"/>
        <v>9.0979991950386363E-2</v>
      </c>
      <c r="F56">
        <f t="shared" si="2"/>
        <v>0.26399935113354772</v>
      </c>
      <c r="G56">
        <f t="shared" si="3"/>
        <v>0.19638481509165495</v>
      </c>
      <c r="H56">
        <f t="shared" si="4"/>
        <v>-2.945207834908345</v>
      </c>
      <c r="J56">
        <f t="shared" si="5"/>
        <v>15</v>
      </c>
      <c r="M56">
        <f t="shared" si="6"/>
        <v>0.13582763379118984</v>
      </c>
      <c r="N56">
        <f t="shared" si="7"/>
        <v>-1.5707963250000001</v>
      </c>
      <c r="O56">
        <f t="shared" si="8"/>
        <v>2.9855729365978356</v>
      </c>
      <c r="P56">
        <f t="shared" si="9"/>
        <v>1.2292504384573764</v>
      </c>
      <c r="Q56">
        <f t="shared" si="10"/>
        <v>2.5824202047649405</v>
      </c>
      <c r="R56">
        <f t="shared" si="11"/>
        <v>1.1731670717153939</v>
      </c>
      <c r="S56">
        <f t="shared" si="12"/>
        <v>0.99599393878731401</v>
      </c>
      <c r="T56">
        <f t="shared" si="13"/>
        <v>-8.9540368864237552E-2</v>
      </c>
      <c r="U56">
        <f t="shared" si="14"/>
        <v>0.99755645172377549</v>
      </c>
      <c r="V56">
        <f t="shared" si="15"/>
        <v>-6.9922014843483482E-2</v>
      </c>
      <c r="X56">
        <f t="shared" si="34"/>
        <v>12.334618357743585</v>
      </c>
      <c r="Y56">
        <f t="shared" si="16"/>
        <v>-125.02334682656061</v>
      </c>
      <c r="Z56">
        <f t="shared" si="35"/>
        <v>54.976653173439388</v>
      </c>
      <c r="AC56">
        <v>1</v>
      </c>
      <c r="AD56">
        <f t="shared" si="17"/>
        <v>2.8131202888866</v>
      </c>
      <c r="AE56">
        <f t="shared" si="18"/>
        <v>-2.3331469981068532E-5</v>
      </c>
      <c r="AF56">
        <f t="shared" si="19"/>
        <v>3.3313448460599998E-4</v>
      </c>
      <c r="AG56">
        <f t="shared" si="36"/>
        <v>8193.9723660384825</v>
      </c>
      <c r="AH56">
        <f t="shared" si="37"/>
        <v>-3575.6653103407898</v>
      </c>
      <c r="AJ56">
        <f t="shared" si="20"/>
        <v>22100</v>
      </c>
      <c r="AK56">
        <f t="shared" si="21"/>
        <v>1984.1476080125701</v>
      </c>
      <c r="AL56">
        <v>1</v>
      </c>
      <c r="AM56">
        <f t="shared" si="22"/>
        <v>2.3809439543967001</v>
      </c>
      <c r="AN56">
        <f t="shared" si="38"/>
        <v>4022.2777260331691</v>
      </c>
      <c r="AO56">
        <f t="shared" si="39"/>
        <v>-7592.6702266906113</v>
      </c>
      <c r="AQ56">
        <f t="shared" si="23"/>
        <v>20.618556701030929</v>
      </c>
      <c r="AR56">
        <f t="shared" si="24"/>
        <v>-453.60824742268039</v>
      </c>
      <c r="AT56">
        <f t="shared" si="52"/>
        <v>-1453003.3909579152</v>
      </c>
      <c r="AU56">
        <f t="shared" si="53"/>
        <v>-3790578.5023337607</v>
      </c>
      <c r="AV56">
        <f t="shared" si="42"/>
        <v>-1.9368409505543231</v>
      </c>
      <c r="AW56">
        <f t="shared" si="25"/>
        <v>-3347535.0586579624</v>
      </c>
      <c r="AX56">
        <f t="shared" si="26"/>
        <v>-2010885.8139101905</v>
      </c>
      <c r="AY56">
        <f t="shared" si="50"/>
        <v>-2.6006538858736281</v>
      </c>
      <c r="BA56">
        <f t="shared" si="27"/>
        <v>1.0395484367223169</v>
      </c>
      <c r="BB56">
        <f t="shared" si="43"/>
        <v>0.33689459314090953</v>
      </c>
      <c r="BC56">
        <f t="shared" si="44"/>
        <v>0.66381293531930496</v>
      </c>
      <c r="BD56">
        <f t="shared" si="28"/>
        <v>-141.96632037655331</v>
      </c>
      <c r="BF56">
        <f t="shared" si="29"/>
        <v>12.326774778623868</v>
      </c>
      <c r="BG56">
        <f t="shared" si="30"/>
        <v>-125.50152973363927</v>
      </c>
      <c r="BH56">
        <f t="shared" si="45"/>
        <v>54.498470266360727</v>
      </c>
      <c r="BI56">
        <f t="shared" si="46"/>
        <v>54.498470266360727</v>
      </c>
      <c r="BJ56">
        <f t="shared" si="31"/>
        <v>0</v>
      </c>
      <c r="BK56">
        <f t="shared" si="47"/>
        <v>0</v>
      </c>
      <c r="BM56">
        <f t="shared" si="48"/>
        <v>11.98988018548296</v>
      </c>
      <c r="BN56">
        <f t="shared" si="32"/>
        <v>-163.53520935708599</v>
      </c>
      <c r="BQ56" s="56">
        <f t="shared" si="49"/>
        <v>17.238855393426046</v>
      </c>
      <c r="BR56" s="59"/>
      <c r="BS56" s="59"/>
      <c r="BT56" s="59">
        <v>288.40300000000002</v>
      </c>
      <c r="BU56" s="59">
        <v>25.784400000000002</v>
      </c>
      <c r="BV56" s="59">
        <v>-268.05989999999997</v>
      </c>
      <c r="BW56" s="61"/>
      <c r="BY56" s="59"/>
      <c r="BZ56" s="59"/>
      <c r="CA56" s="59"/>
      <c r="CC56" s="59"/>
    </row>
    <row r="57" spans="1:81" x14ac:dyDescent="0.25">
      <c r="A57">
        <f t="shared" si="54"/>
        <v>11500</v>
      </c>
      <c r="B57">
        <f t="shared" si="33"/>
        <v>11.5</v>
      </c>
      <c r="C57">
        <f t="shared" si="0"/>
        <v>1.0045382553671036</v>
      </c>
      <c r="D57">
        <f t="shared" si="1"/>
        <v>9.5091097769139904E-2</v>
      </c>
      <c r="F57">
        <f t="shared" si="2"/>
        <v>0.23667140572821466</v>
      </c>
      <c r="G57">
        <f t="shared" si="3"/>
        <v>0.18391275163920945</v>
      </c>
      <c r="H57">
        <f t="shared" si="4"/>
        <v>-2.9576798983607908</v>
      </c>
      <c r="J57">
        <f t="shared" si="5"/>
        <v>15</v>
      </c>
      <c r="M57">
        <f t="shared" si="6"/>
        <v>0.12992208449592074</v>
      </c>
      <c r="N57">
        <f t="shared" si="7"/>
        <v>-1.5707963250000001</v>
      </c>
      <c r="O57">
        <f t="shared" si="8"/>
        <v>3.1063513338494944</v>
      </c>
      <c r="P57">
        <f t="shared" si="9"/>
        <v>1.2430384336655211</v>
      </c>
      <c r="Q57">
        <f t="shared" si="10"/>
        <v>2.6825287911753031</v>
      </c>
      <c r="R57">
        <f t="shared" si="11"/>
        <v>1.1887903747548298</v>
      </c>
      <c r="S57">
        <f t="shared" si="12"/>
        <v>0.99562391590584998</v>
      </c>
      <c r="T57">
        <f t="shared" si="13"/>
        <v>-9.3587173365647786E-2</v>
      </c>
      <c r="U57">
        <f t="shared" si="14"/>
        <v>0.99733017137770352</v>
      </c>
      <c r="V57">
        <f t="shared" si="15"/>
        <v>-7.3089225831192511E-2</v>
      </c>
      <c r="X57">
        <f t="shared" si="34"/>
        <v>11.672315060631288</v>
      </c>
      <c r="Y57">
        <f t="shared" si="16"/>
        <v>-124.23058379203466</v>
      </c>
      <c r="Z57">
        <f t="shared" si="35"/>
        <v>55.769416207965335</v>
      </c>
      <c r="AC57">
        <v>1</v>
      </c>
      <c r="AD57">
        <f t="shared" si="17"/>
        <v>2.9409893929269</v>
      </c>
      <c r="AE57">
        <f t="shared" si="18"/>
        <v>-2.5500718223110031E-5</v>
      </c>
      <c r="AF57">
        <f t="shared" si="19"/>
        <v>3.4827696117900001E-4</v>
      </c>
      <c r="AG57">
        <f t="shared" si="36"/>
        <v>8190.2554343129868</v>
      </c>
      <c r="AH57">
        <f t="shared" si="37"/>
        <v>-3470.9657277169372</v>
      </c>
      <c r="AJ57">
        <f t="shared" si="20"/>
        <v>22100</v>
      </c>
      <c r="AK57">
        <f t="shared" si="21"/>
        <v>2074.3361356495052</v>
      </c>
      <c r="AL57">
        <v>1</v>
      </c>
      <c r="AM57">
        <f t="shared" si="22"/>
        <v>2.48916867959655</v>
      </c>
      <c r="AN57">
        <f t="shared" si="38"/>
        <v>3788.7050274118565</v>
      </c>
      <c r="AO57">
        <f t="shared" si="39"/>
        <v>-7356.3897548140767</v>
      </c>
      <c r="AQ57">
        <f t="shared" si="23"/>
        <v>18.867924528301888</v>
      </c>
      <c r="AR57">
        <f t="shared" si="24"/>
        <v>-433.96226415094338</v>
      </c>
      <c r="AT57">
        <f t="shared" si="52"/>
        <v>-1351735.0245882371</v>
      </c>
      <c r="AU57">
        <f t="shared" si="53"/>
        <v>-3619751.7116399175</v>
      </c>
      <c r="AV57">
        <f t="shared" si="42"/>
        <v>-1.9281925503639337</v>
      </c>
      <c r="AW57">
        <f t="shared" si="25"/>
        <v>-3107594.7295099627</v>
      </c>
      <c r="AX57">
        <f t="shared" si="26"/>
        <v>-1811634.2701597323</v>
      </c>
      <c r="AY57">
        <f t="shared" si="50"/>
        <v>-2.6137893911864585</v>
      </c>
      <c r="BA57">
        <f t="shared" si="27"/>
        <v>1.0741717975222576</v>
      </c>
      <c r="BB57">
        <f t="shared" si="43"/>
        <v>0.62147491496488105</v>
      </c>
      <c r="BC57">
        <f t="shared" si="44"/>
        <v>0.68559684082252481</v>
      </c>
      <c r="BD57">
        <f t="shared" si="28"/>
        <v>-140.71819452848081</v>
      </c>
      <c r="BF57">
        <f t="shared" si="29"/>
        <v>11.665545511062344</v>
      </c>
      <c r="BG57">
        <f t="shared" si="30"/>
        <v>-124.73245147121243</v>
      </c>
      <c r="BH57">
        <f t="shared" si="45"/>
        <v>55.267548528787572</v>
      </c>
      <c r="BI57">
        <f t="shared" si="46"/>
        <v>55.267548528787572</v>
      </c>
      <c r="BJ57">
        <f t="shared" si="31"/>
        <v>0</v>
      </c>
      <c r="BK57">
        <f t="shared" si="47"/>
        <v>0</v>
      </c>
      <c r="BM57">
        <f t="shared" si="48"/>
        <v>11.044070596097464</v>
      </c>
      <c r="BN57">
        <f t="shared" si="32"/>
        <v>-164.01425694273163</v>
      </c>
      <c r="BQ57" s="56">
        <f t="shared" si="49"/>
        <v>17.523435715250017</v>
      </c>
      <c r="BR57" s="59"/>
      <c r="BS57" s="59"/>
      <c r="BT57" s="59">
        <v>295.12099999999998</v>
      </c>
      <c r="BU57" s="59">
        <v>25.581099999999999</v>
      </c>
      <c r="BV57" s="59">
        <v>-265.88</v>
      </c>
      <c r="BW57" s="61"/>
      <c r="BY57" s="59"/>
      <c r="BZ57" s="59"/>
      <c r="CA57" s="59"/>
      <c r="CC57" s="59"/>
    </row>
    <row r="58" spans="1:81" x14ac:dyDescent="0.25">
      <c r="A58">
        <f t="shared" si="54"/>
        <v>12000</v>
      </c>
      <c r="B58">
        <f t="shared" si="33"/>
        <v>12</v>
      </c>
      <c r="C58">
        <f t="shared" si="0"/>
        <v>1.0049404738756593</v>
      </c>
      <c r="D58">
        <f t="shared" si="1"/>
        <v>9.9198982103345948E-2</v>
      </c>
      <c r="F58">
        <f t="shared" si="2"/>
        <v>0.21356586132533611</v>
      </c>
      <c r="G58">
        <f t="shared" si="3"/>
        <v>0.17306143797901208</v>
      </c>
      <c r="H58">
        <f t="shared" si="4"/>
        <v>-2.9685312120209879</v>
      </c>
      <c r="J58">
        <f t="shared" si="5"/>
        <v>15</v>
      </c>
      <c r="M58">
        <f t="shared" si="6"/>
        <v>0.12450866430859069</v>
      </c>
      <c r="N58">
        <f t="shared" si="7"/>
        <v>-1.5707963250000001</v>
      </c>
      <c r="O58">
        <f t="shared" si="8"/>
        <v>3.2276760175717416</v>
      </c>
      <c r="P58">
        <f t="shared" si="9"/>
        <v>1.2557921539204331</v>
      </c>
      <c r="Q58">
        <f t="shared" si="10"/>
        <v>2.7832449585474572</v>
      </c>
      <c r="R58">
        <f t="shared" si="11"/>
        <v>1.2032862979317274</v>
      </c>
      <c r="S58">
        <f t="shared" si="12"/>
        <v>0.99523788752773612</v>
      </c>
      <c r="T58">
        <f t="shared" si="13"/>
        <v>-9.763090595245652E-2</v>
      </c>
      <c r="U58">
        <f t="shared" si="14"/>
        <v>0.99709399845243418</v>
      </c>
      <c r="V58">
        <f t="shared" si="15"/>
        <v>-7.625496853911258E-2</v>
      </c>
      <c r="X58">
        <f t="shared" si="34"/>
        <v>11.061347438473671</v>
      </c>
      <c r="Y58">
        <f t="shared" si="16"/>
        <v>-123.46873677600087</v>
      </c>
      <c r="Z58">
        <f t="shared" si="35"/>
        <v>56.531263223999133</v>
      </c>
      <c r="AC58">
        <v>1</v>
      </c>
      <c r="AD58">
        <f t="shared" si="17"/>
        <v>3.0688584969671999</v>
      </c>
      <c r="AE58">
        <f t="shared" si="18"/>
        <v>-2.7766377498131151E-5</v>
      </c>
      <c r="AF58">
        <f t="shared" si="19"/>
        <v>3.6341943775199998E-4</v>
      </c>
      <c r="AG58">
        <f t="shared" si="36"/>
        <v>8186.3769041891401</v>
      </c>
      <c r="AH58">
        <f t="shared" si="37"/>
        <v>-3377.1061863268314</v>
      </c>
      <c r="AJ58">
        <f t="shared" si="20"/>
        <v>22100</v>
      </c>
      <c r="AK58">
        <f t="shared" si="21"/>
        <v>2164.52466328644</v>
      </c>
      <c r="AL58">
        <v>1</v>
      </c>
      <c r="AM58">
        <f t="shared" si="22"/>
        <v>2.5973934047964002</v>
      </c>
      <c r="AN58">
        <f t="shared" si="38"/>
        <v>3578.6861260062701</v>
      </c>
      <c r="AO58">
        <f t="shared" si="39"/>
        <v>-7130.7310782386257</v>
      </c>
      <c r="AQ58">
        <f t="shared" si="23"/>
        <v>17.331022530329289</v>
      </c>
      <c r="AR58">
        <f t="shared" si="24"/>
        <v>-415.94454072790296</v>
      </c>
      <c r="AT58">
        <f t="shared" si="52"/>
        <v>-1262810.5990928044</v>
      </c>
      <c r="AU58">
        <f t="shared" si="53"/>
        <v>-3463607.4850410088</v>
      </c>
      <c r="AV58">
        <f t="shared" si="42"/>
        <v>-1.9204128891098842</v>
      </c>
      <c r="AW58">
        <f t="shared" si="25"/>
        <v>-2890932.8986691753</v>
      </c>
      <c r="AX58">
        <f t="shared" si="26"/>
        <v>-1639762.5307620738</v>
      </c>
      <c r="AY58">
        <f t="shared" si="50"/>
        <v>-2.625633392881642</v>
      </c>
      <c r="BA58">
        <f t="shared" si="27"/>
        <v>1.1092291731017094</v>
      </c>
      <c r="BB58">
        <f t="shared" si="43"/>
        <v>0.9004256629502716</v>
      </c>
      <c r="BC58">
        <f t="shared" si="44"/>
        <v>0.70522050377175782</v>
      </c>
      <c r="BD58">
        <f t="shared" si="28"/>
        <v>-139.59384146161776</v>
      </c>
      <c r="BF58">
        <f t="shared" si="29"/>
        <v>11.055694230583688</v>
      </c>
      <c r="BG58">
        <f t="shared" si="30"/>
        <v>-123.9944684446149</v>
      </c>
      <c r="BH58">
        <f t="shared" si="45"/>
        <v>56.005531555385105</v>
      </c>
      <c r="BI58">
        <f t="shared" si="46"/>
        <v>56.005531555385105</v>
      </c>
      <c r="BJ58">
        <f t="shared" si="31"/>
        <v>0</v>
      </c>
      <c r="BK58">
        <f t="shared" si="47"/>
        <v>0</v>
      </c>
      <c r="BM58">
        <f t="shared" si="48"/>
        <v>10.155268567633417</v>
      </c>
      <c r="BN58">
        <f t="shared" si="32"/>
        <v>-164.40062698299712</v>
      </c>
      <c r="BQ58" s="56">
        <f t="shared" si="49"/>
        <v>17.802386463235408</v>
      </c>
      <c r="BR58" s="59"/>
      <c r="BS58" s="59"/>
      <c r="BT58" s="59">
        <v>301.995</v>
      </c>
      <c r="BU58" s="59">
        <v>24.917000000000002</v>
      </c>
      <c r="BV58" s="59">
        <v>-267.13580000000002</v>
      </c>
      <c r="BW58" s="61"/>
      <c r="BY58" s="59"/>
      <c r="BZ58" s="59"/>
      <c r="CA58" s="59"/>
      <c r="CC58" s="59"/>
    </row>
    <row r="59" spans="1:81" x14ac:dyDescent="0.25">
      <c r="A59">
        <f t="shared" si="54"/>
        <v>12500</v>
      </c>
      <c r="B59">
        <f t="shared" si="33"/>
        <v>12.5</v>
      </c>
      <c r="C59">
        <f t="shared" si="0"/>
        <v>1.0053596367311668</v>
      </c>
      <c r="D59">
        <f t="shared" si="1"/>
        <v>0.10330351026681402</v>
      </c>
      <c r="F59">
        <f t="shared" si="2"/>
        <v>0.19382755228207582</v>
      </c>
      <c r="G59">
        <f t="shared" si="3"/>
        <v>0.16352341232765022</v>
      </c>
      <c r="H59">
        <f t="shared" si="4"/>
        <v>-2.9780692376723499</v>
      </c>
      <c r="J59">
        <f t="shared" si="5"/>
        <v>15</v>
      </c>
      <c r="M59">
        <f t="shared" si="6"/>
        <v>0.11952831773624707</v>
      </c>
      <c r="N59">
        <f t="shared" si="7"/>
        <v>-1.5707963250000001</v>
      </c>
      <c r="O59">
        <f t="shared" si="8"/>
        <v>3.3494876257486257</v>
      </c>
      <c r="P59">
        <f t="shared" si="9"/>
        <v>1.2676200482372639</v>
      </c>
      <c r="Q59">
        <f t="shared" si="10"/>
        <v>2.8845050641946197</v>
      </c>
      <c r="R59">
        <f t="shared" si="11"/>
        <v>1.2167671365359629</v>
      </c>
      <c r="S59">
        <f t="shared" si="12"/>
        <v>0.99483591011254235</v>
      </c>
      <c r="T59">
        <f t="shared" si="13"/>
        <v>-0.1016714380315215</v>
      </c>
      <c r="U59">
        <f t="shared" si="14"/>
        <v>0.99684795417011296</v>
      </c>
      <c r="V59">
        <f t="shared" si="15"/>
        <v>-7.9419180579708579E-2</v>
      </c>
      <c r="X59">
        <f t="shared" si="34"/>
        <v>10.49458163087256</v>
      </c>
      <c r="Y59">
        <f t="shared" si="16"/>
        <v>-122.74277109854995</v>
      </c>
      <c r="Z59">
        <f t="shared" si="35"/>
        <v>57.257228901450048</v>
      </c>
      <c r="AC59">
        <v>1</v>
      </c>
      <c r="AD59">
        <f t="shared" si="17"/>
        <v>3.1967276010074999</v>
      </c>
      <c r="AE59">
        <f t="shared" si="18"/>
        <v>-3.0128447806131887E-5</v>
      </c>
      <c r="AF59">
        <f t="shared" si="19"/>
        <v>3.7856191432500001E-4</v>
      </c>
      <c r="AG59">
        <f t="shared" si="36"/>
        <v>8182.3372394863773</v>
      </c>
      <c r="AH59">
        <f t="shared" si="37"/>
        <v>-3292.7800533623704</v>
      </c>
      <c r="AJ59">
        <f t="shared" si="20"/>
        <v>22100</v>
      </c>
      <c r="AK59">
        <f t="shared" si="21"/>
        <v>2254.7131909233749</v>
      </c>
      <c r="AL59">
        <v>1</v>
      </c>
      <c r="AM59">
        <f t="shared" si="22"/>
        <v>2.7056181299962501</v>
      </c>
      <c r="AN59">
        <f t="shared" si="38"/>
        <v>3389.3197897875921</v>
      </c>
      <c r="AO59">
        <f t="shared" si="39"/>
        <v>-6915.4918806810119</v>
      </c>
      <c r="AQ59">
        <f t="shared" si="23"/>
        <v>15.974440894568691</v>
      </c>
      <c r="AR59">
        <f t="shared" si="24"/>
        <v>-399.36102236421726</v>
      </c>
      <c r="AT59">
        <f t="shared" si="52"/>
        <v>-1184299.7459196947</v>
      </c>
      <c r="AU59">
        <f t="shared" si="53"/>
        <v>-3320306.8856313387</v>
      </c>
      <c r="AV59">
        <f t="shared" si="42"/>
        <v>-1.9134130988089477</v>
      </c>
      <c r="AW59">
        <f t="shared" si="25"/>
        <v>-2694857.0953990226</v>
      </c>
      <c r="AX59">
        <f t="shared" si="26"/>
        <v>-1490718.0885881649</v>
      </c>
      <c r="AY59">
        <f t="shared" si="50"/>
        <v>-2.6363177862702378</v>
      </c>
      <c r="BA59">
        <f t="shared" si="27"/>
        <v>1.1446589377599998</v>
      </c>
      <c r="BB59">
        <f t="shared" si="43"/>
        <v>1.1735220738895265</v>
      </c>
      <c r="BC59">
        <f t="shared" si="44"/>
        <v>0.72290468746129011</v>
      </c>
      <c r="BD59">
        <f t="shared" si="28"/>
        <v>-138.58061237091567</v>
      </c>
      <c r="BF59">
        <f t="shared" si="29"/>
        <v>10.490086385593472</v>
      </c>
      <c r="BG59">
        <f t="shared" si="30"/>
        <v>-123.29255582831979</v>
      </c>
      <c r="BH59">
        <f t="shared" si="45"/>
        <v>56.707444171680208</v>
      </c>
      <c r="BI59">
        <f t="shared" si="46"/>
        <v>56.707444171680208</v>
      </c>
      <c r="BJ59">
        <f t="shared" si="31"/>
        <v>0</v>
      </c>
      <c r="BK59">
        <f t="shared" si="47"/>
        <v>0</v>
      </c>
      <c r="BM59">
        <f t="shared" si="48"/>
        <v>9.3165643117039423</v>
      </c>
      <c r="BN59">
        <f t="shared" si="32"/>
        <v>-164.71194345740415</v>
      </c>
      <c r="BQ59" s="56">
        <f t="shared" si="49"/>
        <v>18.075482874174664</v>
      </c>
      <c r="BR59" s="59"/>
      <c r="BS59" s="59"/>
      <c r="BT59" s="59">
        <v>309.02999999999997</v>
      </c>
      <c r="BU59" s="59">
        <v>24.825199999999999</v>
      </c>
      <c r="BV59" s="59">
        <v>-265.03610000000003</v>
      </c>
      <c r="BW59" s="61"/>
      <c r="BY59" s="59"/>
      <c r="BZ59" s="59"/>
      <c r="CA59" s="59"/>
      <c r="CC59" s="59"/>
    </row>
    <row r="60" spans="1:81" x14ac:dyDescent="0.25">
      <c r="A60">
        <f t="shared" si="54"/>
        <v>13000</v>
      </c>
      <c r="B60">
        <f t="shared" si="33"/>
        <v>13</v>
      </c>
      <c r="C60">
        <f t="shared" si="0"/>
        <v>1.0057957227490832</v>
      </c>
      <c r="D60">
        <f t="shared" si="1"/>
        <v>0.10740454824564846</v>
      </c>
      <c r="F60">
        <f t="shared" si="2"/>
        <v>0.17681223128628579</v>
      </c>
      <c r="G60">
        <f t="shared" si="3"/>
        <v>0.1550653263737419</v>
      </c>
      <c r="H60">
        <f t="shared" si="4"/>
        <v>-2.9865273236262584</v>
      </c>
      <c r="J60">
        <f t="shared" si="5"/>
        <v>15</v>
      </c>
      <c r="M60">
        <f t="shared" si="6"/>
        <v>0.11493107474639142</v>
      </c>
      <c r="N60">
        <f t="shared" si="7"/>
        <v>-1.5707963250000001</v>
      </c>
      <c r="O60">
        <f t="shared" si="8"/>
        <v>3.4717349050891957</v>
      </c>
      <c r="P60">
        <f t="shared" si="9"/>
        <v>1.2786164206877606</v>
      </c>
      <c r="Q60">
        <f t="shared" si="10"/>
        <v>2.9862537758432626</v>
      </c>
      <c r="R60">
        <f t="shared" si="11"/>
        <v>1.2293314829133806</v>
      </c>
      <c r="S60">
        <f t="shared" si="12"/>
        <v>0.99441804232801034</v>
      </c>
      <c r="T60">
        <f t="shared" si="13"/>
        <v>-0.10570864163115876</v>
      </c>
      <c r="U60">
        <f t="shared" si="14"/>
        <v>0.99659206061134653</v>
      </c>
      <c r="V60">
        <f t="shared" si="15"/>
        <v>-8.2581799748359205E-2</v>
      </c>
      <c r="X60">
        <f t="shared" si="34"/>
        <v>9.9662100463116516</v>
      </c>
      <c r="Y60">
        <f t="shared" si="16"/>
        <v>-122.05500126460304</v>
      </c>
      <c r="Z60">
        <f t="shared" si="35"/>
        <v>57.944998735396965</v>
      </c>
      <c r="AC60">
        <v>1</v>
      </c>
      <c r="AD60">
        <f t="shared" si="17"/>
        <v>3.3245967050478002</v>
      </c>
      <c r="AE60">
        <f t="shared" si="18"/>
        <v>-3.2586929147112253E-5</v>
      </c>
      <c r="AF60">
        <f t="shared" si="19"/>
        <v>3.9370439089800004E-4</v>
      </c>
      <c r="AG60">
        <f t="shared" si="36"/>
        <v>8178.1369225905546</v>
      </c>
      <c r="AH60">
        <f t="shared" si="37"/>
        <v>-3216.8814921344447</v>
      </c>
      <c r="AJ60">
        <f t="shared" si="20"/>
        <v>22100</v>
      </c>
      <c r="AK60">
        <f t="shared" si="21"/>
        <v>2344.9017185603102</v>
      </c>
      <c r="AL60">
        <v>1</v>
      </c>
      <c r="AM60">
        <f t="shared" si="22"/>
        <v>2.8138428551961003</v>
      </c>
      <c r="AN60">
        <f t="shared" si="38"/>
        <v>3218.1108999641929</v>
      </c>
      <c r="AO60">
        <f t="shared" si="39"/>
        <v>-6710.3566445326269</v>
      </c>
      <c r="AQ60">
        <f t="shared" si="23"/>
        <v>14.771048744460856</v>
      </c>
      <c r="AR60">
        <f t="shared" si="24"/>
        <v>-384.04726735598229</v>
      </c>
      <c r="AT60">
        <f t="shared" si="52"/>
        <v>-1114634.887339808</v>
      </c>
      <c r="AU60">
        <f t="shared" si="53"/>
        <v>-3188307.8505094368</v>
      </c>
      <c r="AV60">
        <f t="shared" si="42"/>
        <v>-1.9071154426292036</v>
      </c>
      <c r="AW60">
        <f t="shared" si="25"/>
        <v>-2517012.1949675917</v>
      </c>
      <c r="AX60">
        <f t="shared" si="26"/>
        <v>-1360817.823684833</v>
      </c>
      <c r="AY60">
        <f t="shared" si="50"/>
        <v>-2.6459577567897807</v>
      </c>
      <c r="BA60">
        <f t="shared" si="27"/>
        <v>1.1804085189723033</v>
      </c>
      <c r="BB60">
        <f t="shared" si="43"/>
        <v>1.4406467025854164</v>
      </c>
      <c r="BC60">
        <f t="shared" si="44"/>
        <v>0.73884231416057711</v>
      </c>
      <c r="BD60">
        <f t="shared" si="28"/>
        <v>-137.66745362454807</v>
      </c>
      <c r="BF60">
        <f t="shared" si="29"/>
        <v>9.9629136673139005</v>
      </c>
      <c r="BG60">
        <f t="shared" si="30"/>
        <v>-122.62903754234524</v>
      </c>
      <c r="BH60">
        <f t="shared" si="45"/>
        <v>57.370962457654755</v>
      </c>
      <c r="BI60">
        <f t="shared" si="46"/>
        <v>57.370962457654755</v>
      </c>
      <c r="BJ60">
        <f t="shared" si="31"/>
        <v>0</v>
      </c>
      <c r="BK60">
        <f t="shared" si="47"/>
        <v>0</v>
      </c>
      <c r="BM60">
        <f t="shared" si="48"/>
        <v>8.5222669647284857</v>
      </c>
      <c r="BN60">
        <f t="shared" si="32"/>
        <v>-164.96158391779718</v>
      </c>
      <c r="BQ60" s="56">
        <f t="shared" si="49"/>
        <v>18.342607502870553</v>
      </c>
      <c r="BR60" s="59"/>
      <c r="BS60" s="59"/>
      <c r="BT60" s="59">
        <v>316.22800000000001</v>
      </c>
      <c r="BU60" s="59">
        <v>24.722000000000001</v>
      </c>
      <c r="BV60" s="59">
        <v>-265.21839999999997</v>
      </c>
      <c r="BW60" s="61"/>
      <c r="BY60" s="59"/>
      <c r="BZ60" s="59"/>
      <c r="CA60" s="59"/>
      <c r="CC60" s="59"/>
    </row>
    <row r="61" spans="1:81" x14ac:dyDescent="0.25">
      <c r="A61">
        <f t="shared" si="54"/>
        <v>13500</v>
      </c>
      <c r="B61">
        <f t="shared" si="33"/>
        <v>13.5</v>
      </c>
      <c r="C61">
        <f t="shared" si="0"/>
        <v>1.0062487099270319</v>
      </c>
      <c r="D61">
        <f t="shared" si="1"/>
        <v>0.11150196272333443</v>
      </c>
      <c r="F61">
        <f t="shared" si="2"/>
        <v>0.16202612260565463</v>
      </c>
      <c r="G61">
        <f t="shared" si="3"/>
        <v>0.14750680504728084</v>
      </c>
      <c r="H61">
        <f t="shared" si="4"/>
        <v>-2.9940858449527195</v>
      </c>
      <c r="J61">
        <f t="shared" si="5"/>
        <v>15</v>
      </c>
      <c r="M61">
        <f t="shared" si="6"/>
        <v>0.11067436827430284</v>
      </c>
      <c r="N61">
        <f t="shared" si="7"/>
        <v>-1.5707963250000001</v>
      </c>
      <c r="O61">
        <f t="shared" si="8"/>
        <v>3.5943734033795582</v>
      </c>
      <c r="P61">
        <f t="shared" si="9"/>
        <v>1.2888635796814838</v>
      </c>
      <c r="Q61">
        <f t="shared" si="10"/>
        <v>3.0884428025140833</v>
      </c>
      <c r="R61">
        <f t="shared" si="11"/>
        <v>1.241066134092935</v>
      </c>
      <c r="S61">
        <f t="shared" si="12"/>
        <v>0.99398434502659139</v>
      </c>
      <c r="T61">
        <f t="shared" si="13"/>
        <v>-0.10974238942441641</v>
      </c>
      <c r="U61">
        <f t="shared" si="14"/>
        <v>0.99632634070974535</v>
      </c>
      <c r="V61">
        <f t="shared" si="15"/>
        <v>-8.5742764030507582E-2</v>
      </c>
      <c r="X61">
        <f t="shared" si="34"/>
        <v>9.4714519588815538</v>
      </c>
      <c r="Y61">
        <f t="shared" si="16"/>
        <v>-121.40606976648617</v>
      </c>
      <c r="Z61">
        <f t="shared" si="35"/>
        <v>58.593930233513831</v>
      </c>
      <c r="AC61">
        <v>1</v>
      </c>
      <c r="AD61">
        <f t="shared" si="17"/>
        <v>3.4524658090881002</v>
      </c>
      <c r="AE61">
        <f t="shared" si="18"/>
        <v>-3.5141821521072226E-5</v>
      </c>
      <c r="AF61">
        <f t="shared" si="19"/>
        <v>4.0884686747100002E-4</v>
      </c>
      <c r="AG61">
        <f t="shared" si="36"/>
        <v>8173.776454311087</v>
      </c>
      <c r="AH61">
        <f t="shared" si="37"/>
        <v>-3148.4682792680278</v>
      </c>
      <c r="AJ61">
        <f t="shared" si="20"/>
        <v>22100</v>
      </c>
      <c r="AK61">
        <f t="shared" si="21"/>
        <v>2435.0902461972455</v>
      </c>
      <c r="AL61">
        <v>1</v>
      </c>
      <c r="AM61">
        <f t="shared" si="22"/>
        <v>2.9220675803959502</v>
      </c>
      <c r="AN61">
        <f t="shared" si="38"/>
        <v>3062.9095513074926</v>
      </c>
      <c r="AO61">
        <f t="shared" si="39"/>
        <v>-6514.9384553634845</v>
      </c>
      <c r="AQ61">
        <f t="shared" si="23"/>
        <v>13.698630136986301</v>
      </c>
      <c r="AR61">
        <f t="shared" si="24"/>
        <v>-369.86301369863014</v>
      </c>
      <c r="AT61">
        <f t="shared" si="52"/>
        <v>-1052532.4258345983</v>
      </c>
      <c r="AU61">
        <f t="shared" si="53"/>
        <v>-3066307.2951461286</v>
      </c>
      <c r="AV61">
        <f t="shared" si="42"/>
        <v>-1.9014517220648868</v>
      </c>
      <c r="AW61">
        <f t="shared" si="25"/>
        <v>-2355340.2570671281</v>
      </c>
      <c r="AX61">
        <f t="shared" si="26"/>
        <v>-1247062.987378204</v>
      </c>
      <c r="AY61">
        <f t="shared" si="50"/>
        <v>-2.6546542430553948</v>
      </c>
      <c r="BA61">
        <f t="shared" si="27"/>
        <v>1.2164327259337506</v>
      </c>
      <c r="BB61">
        <f t="shared" si="43"/>
        <v>1.70176191081739</v>
      </c>
      <c r="BC61">
        <f t="shared" si="44"/>
        <v>0.753202520990508</v>
      </c>
      <c r="BD61">
        <f t="shared" si="28"/>
        <v>-136.84467437931795</v>
      </c>
      <c r="BF61">
        <f t="shared" si="29"/>
        <v>9.4693946069193746</v>
      </c>
      <c r="BG61">
        <f t="shared" si="30"/>
        <v>-122.00456511222033</v>
      </c>
      <c r="BH61">
        <f t="shared" si="45"/>
        <v>57.995434887779666</v>
      </c>
      <c r="BI61">
        <f t="shared" si="46"/>
        <v>57.995434887779666</v>
      </c>
      <c r="BJ61">
        <f t="shared" si="31"/>
        <v>0</v>
      </c>
      <c r="BK61">
        <f t="shared" si="47"/>
        <v>0</v>
      </c>
      <c r="BM61">
        <f t="shared" si="48"/>
        <v>7.7676326961019848</v>
      </c>
      <c r="BN61">
        <f t="shared" si="32"/>
        <v>-165.15989073290237</v>
      </c>
      <c r="BQ61" s="56">
        <f t="shared" si="49"/>
        <v>18.603722711102527</v>
      </c>
      <c r="BR61" s="59"/>
      <c r="BS61" s="59"/>
      <c r="BT61" s="59">
        <v>323.59399999999999</v>
      </c>
      <c r="BU61" s="59">
        <v>24.5962</v>
      </c>
      <c r="BV61" s="59">
        <v>-266.99490000000003</v>
      </c>
      <c r="BW61" s="61"/>
      <c r="BY61" s="59"/>
      <c r="BZ61" s="59"/>
      <c r="CA61" s="59"/>
      <c r="CC61" s="59"/>
    </row>
    <row r="62" spans="1:81" x14ac:dyDescent="0.25">
      <c r="A62">
        <f t="shared" si="54"/>
        <v>14000</v>
      </c>
      <c r="B62">
        <f t="shared" si="33"/>
        <v>14</v>
      </c>
      <c r="C62">
        <f t="shared" si="0"/>
        <v>1.0067185754502694</v>
      </c>
      <c r="D62">
        <f t="shared" si="1"/>
        <v>0.11559562110548081</v>
      </c>
      <c r="F62">
        <f t="shared" si="2"/>
        <v>0.14908497197913895</v>
      </c>
      <c r="G62">
        <f t="shared" si="3"/>
        <v>0.14070615108209555</v>
      </c>
      <c r="H62">
        <f t="shared" si="4"/>
        <v>-3.0008864989179047</v>
      </c>
      <c r="J62">
        <f t="shared" si="5"/>
        <v>15</v>
      </c>
      <c r="M62">
        <f t="shared" si="6"/>
        <v>0.10672171226450632</v>
      </c>
      <c r="N62">
        <f t="shared" si="7"/>
        <v>-1.5707963250000001</v>
      </c>
      <c r="O62">
        <f t="shared" si="8"/>
        <v>3.717364401046277</v>
      </c>
      <c r="P62">
        <f t="shared" si="9"/>
        <v>1.2984336234427101</v>
      </c>
      <c r="Q62">
        <f t="shared" si="10"/>
        <v>3.1910298427550177</v>
      </c>
      <c r="R62">
        <f t="shared" si="11"/>
        <v>1.2520477131464185</v>
      </c>
      <c r="S62">
        <f t="shared" si="12"/>
        <v>0.9935348812211936</v>
      </c>
      <c r="T62">
        <f t="shared" si="13"/>
        <v>-0.11377255475204076</v>
      </c>
      <c r="U62">
        <f t="shared" si="14"/>
        <v>0.99605081824626251</v>
      </c>
      <c r="V62">
        <f t="shared" si="15"/>
        <v>-8.8902011608755618E-2</v>
      </c>
      <c r="X62">
        <f t="shared" si="34"/>
        <v>9.0063322137490349</v>
      </c>
      <c r="Y62">
        <f t="shared" si="16"/>
        <v>-120.79557095511299</v>
      </c>
      <c r="Z62">
        <f t="shared" si="35"/>
        <v>59.204429044887007</v>
      </c>
      <c r="AC62">
        <v>1</v>
      </c>
      <c r="AD62">
        <f t="shared" si="17"/>
        <v>3.5803349131284001</v>
      </c>
      <c r="AE62">
        <f t="shared" si="18"/>
        <v>-3.779312492801184E-5</v>
      </c>
      <c r="AF62">
        <f t="shared" si="19"/>
        <v>4.2398934404399999E-4</v>
      </c>
      <c r="AG62">
        <f t="shared" si="36"/>
        <v>8169.2563537330425</v>
      </c>
      <c r="AH62">
        <f t="shared" si="37"/>
        <v>-3086.7325896986958</v>
      </c>
      <c r="AJ62">
        <f t="shared" si="20"/>
        <v>22100</v>
      </c>
      <c r="AK62">
        <f t="shared" si="21"/>
        <v>2525.2787738341804</v>
      </c>
      <c r="AL62">
        <v>1</v>
      </c>
      <c r="AM62">
        <f t="shared" si="22"/>
        <v>3.0302923055958004</v>
      </c>
      <c r="AN62">
        <f t="shared" si="38"/>
        <v>2921.859254955079</v>
      </c>
      <c r="AO62">
        <f t="shared" si="39"/>
        <v>-6328.8088444900741</v>
      </c>
      <c r="AQ62">
        <f t="shared" si="23"/>
        <v>12.738853503184714</v>
      </c>
      <c r="AR62">
        <f t="shared" si="24"/>
        <v>-356.68789808917199</v>
      </c>
      <c r="AT62">
        <f t="shared" si="52"/>
        <v>-996933.19946280809</v>
      </c>
      <c r="AU62">
        <f t="shared" si="53"/>
        <v>-2953196.3120283303</v>
      </c>
      <c r="AV62">
        <f t="shared" si="42"/>
        <v>-1.8963619290765146</v>
      </c>
      <c r="AW62">
        <f t="shared" si="25"/>
        <v>-2208043.1691532414</v>
      </c>
      <c r="AX62">
        <f t="shared" si="26"/>
        <v>-1146997.180151623</v>
      </c>
      <c r="AY62">
        <f t="shared" si="50"/>
        <v>-2.6624959950329208</v>
      </c>
      <c r="BA62">
        <f t="shared" si="27"/>
        <v>1.2526924355554112</v>
      </c>
      <c r="BB62">
        <f t="shared" si="43"/>
        <v>1.956889098455358</v>
      </c>
      <c r="BC62">
        <f t="shared" si="44"/>
        <v>0.76613406595640621</v>
      </c>
      <c r="BD62">
        <f t="shared" si="28"/>
        <v>-136.10375142934168</v>
      </c>
      <c r="BF62">
        <f t="shared" si="29"/>
        <v>9.0055532814302115</v>
      </c>
      <c r="BG62">
        <f t="shared" si="30"/>
        <v>-121.41874158449001</v>
      </c>
      <c r="BH62">
        <f t="shared" si="45"/>
        <v>58.581258415509993</v>
      </c>
      <c r="BI62">
        <f t="shared" si="46"/>
        <v>58.581258415509993</v>
      </c>
      <c r="BJ62">
        <f t="shared" si="31"/>
        <v>0</v>
      </c>
      <c r="BK62">
        <f t="shared" si="47"/>
        <v>0</v>
      </c>
      <c r="BM62">
        <f t="shared" si="48"/>
        <v>7.0486641829748535</v>
      </c>
      <c r="BN62">
        <f t="shared" si="32"/>
        <v>-165.31499015514828</v>
      </c>
      <c r="BQ62" s="56">
        <f t="shared" si="49"/>
        <v>18.858849898740495</v>
      </c>
      <c r="BR62" s="59"/>
      <c r="BS62" s="59"/>
      <c r="BT62" s="59">
        <v>331.13099999999997</v>
      </c>
      <c r="BU62" s="59">
        <v>24.386800000000001</v>
      </c>
      <c r="BV62" s="59">
        <v>-265.09339999999997</v>
      </c>
      <c r="BW62" s="61"/>
      <c r="BY62" s="59"/>
      <c r="BZ62" s="59"/>
      <c r="CA62" s="59"/>
      <c r="CC62" s="59"/>
    </row>
    <row r="63" spans="1:81" x14ac:dyDescent="0.25">
      <c r="A63">
        <f t="shared" si="54"/>
        <v>14500</v>
      </c>
      <c r="B63">
        <f t="shared" si="33"/>
        <v>14.5</v>
      </c>
      <c r="C63">
        <f t="shared" si="0"/>
        <v>1.0072052956973379</v>
      </c>
      <c r="D63">
        <f t="shared" si="1"/>
        <v>0.11968539154420886</v>
      </c>
      <c r="F63">
        <f t="shared" si="2"/>
        <v>0.13768567462533812</v>
      </c>
      <c r="G63">
        <f t="shared" si="3"/>
        <v>0.13455044512878325</v>
      </c>
      <c r="H63">
        <f t="shared" si="4"/>
        <v>-3.0070422048712171</v>
      </c>
      <c r="J63">
        <f t="shared" si="5"/>
        <v>15</v>
      </c>
      <c r="M63">
        <f t="shared" si="6"/>
        <v>0.10304165322090264</v>
      </c>
      <c r="N63">
        <f t="shared" si="7"/>
        <v>-1.5707963250000001</v>
      </c>
      <c r="O63">
        <f t="shared" si="8"/>
        <v>3.8406740336750893</v>
      </c>
      <c r="P63">
        <f t="shared" si="9"/>
        <v>1.3073899277986145</v>
      </c>
      <c r="Q63">
        <f t="shared" si="10"/>
        <v>3.2939777097901479</v>
      </c>
      <c r="R63">
        <f t="shared" si="11"/>
        <v>1.2623440476563854</v>
      </c>
      <c r="S63">
        <f t="shared" si="12"/>
        <v>0.99306971606015304</v>
      </c>
      <c r="T63">
        <f t="shared" si="13"/>
        <v>-0.11779901164512477</v>
      </c>
      <c r="U63">
        <f t="shared" si="14"/>
        <v>0.99576551784334111</v>
      </c>
      <c r="V63">
        <f t="shared" si="15"/>
        <v>-9.2059480869900331E-2</v>
      </c>
      <c r="X63">
        <f t="shared" si="34"/>
        <v>8.5675152181267116</v>
      </c>
      <c r="Y63">
        <f t="shared" si="16"/>
        <v>-120.222454037657</v>
      </c>
      <c r="Z63">
        <f t="shared" si="35"/>
        <v>59.777545962342998</v>
      </c>
      <c r="AC63">
        <v>1</v>
      </c>
      <c r="AD63">
        <f t="shared" si="17"/>
        <v>3.7082040171687005</v>
      </c>
      <c r="AE63">
        <f t="shared" si="18"/>
        <v>-4.0540839367931071E-5</v>
      </c>
      <c r="AF63">
        <f t="shared" si="19"/>
        <v>4.3913182061700002E-4</v>
      </c>
      <c r="AG63">
        <f t="shared" si="36"/>
        <v>8164.5771580641249</v>
      </c>
      <c r="AH63">
        <f t="shared" si="37"/>
        <v>-3030.9778262072732</v>
      </c>
      <c r="AJ63">
        <f t="shared" si="20"/>
        <v>22100</v>
      </c>
      <c r="AK63">
        <f t="shared" si="21"/>
        <v>2615.4673014711157</v>
      </c>
      <c r="AL63">
        <v>1</v>
      </c>
      <c r="AM63">
        <f t="shared" si="22"/>
        <v>3.1385170307956503</v>
      </c>
      <c r="AN63">
        <f t="shared" si="38"/>
        <v>2793.3530842271903</v>
      </c>
      <c r="AO63">
        <f t="shared" si="39"/>
        <v>-6151.518926401478</v>
      </c>
      <c r="AQ63">
        <f t="shared" si="23"/>
        <v>11.876484560570072</v>
      </c>
      <c r="AR63">
        <f t="shared" si="24"/>
        <v>-344.41805225653206</v>
      </c>
      <c r="AT63">
        <f t="shared" si="52"/>
        <v>-946957.00477371493</v>
      </c>
      <c r="AU63">
        <f t="shared" si="53"/>
        <v>-2848025.1236349987</v>
      </c>
      <c r="AV63">
        <f t="shared" si="42"/>
        <v>-1.8917931056615709</v>
      </c>
      <c r="AW63">
        <f t="shared" si="25"/>
        <v>-2073548.9096958372</v>
      </c>
      <c r="AX63">
        <f t="shared" si="26"/>
        <v>-1058596.5742150205</v>
      </c>
      <c r="AY63">
        <f t="shared" si="50"/>
        <v>-2.6695612992351618</v>
      </c>
      <c r="BA63">
        <f t="shared" si="27"/>
        <v>1.2891535497519697</v>
      </c>
      <c r="BB63">
        <f t="shared" si="43"/>
        <v>2.2060929760576848</v>
      </c>
      <c r="BC63">
        <f t="shared" si="44"/>
        <v>0.77776819357359095</v>
      </c>
      <c r="BD63">
        <f t="shared" si="28"/>
        <v>-135.43716501779875</v>
      </c>
      <c r="BF63">
        <f t="shared" si="29"/>
        <v>8.5680533051204204</v>
      </c>
      <c r="BG63">
        <f t="shared" si="30"/>
        <v>-120.87052455881417</v>
      </c>
      <c r="BH63">
        <f t="shared" si="45"/>
        <v>59.129475441185832</v>
      </c>
      <c r="BI63">
        <f t="shared" si="46"/>
        <v>59.129475441185832</v>
      </c>
      <c r="BJ63">
        <f t="shared" si="31"/>
        <v>0</v>
      </c>
      <c r="BK63">
        <f t="shared" si="47"/>
        <v>0</v>
      </c>
      <c r="BM63">
        <f t="shared" si="48"/>
        <v>6.361960329062736</v>
      </c>
      <c r="BN63">
        <f t="shared" si="32"/>
        <v>-165.43335954101545</v>
      </c>
      <c r="BQ63" s="56">
        <f t="shared" si="49"/>
        <v>19.108053776342821</v>
      </c>
      <c r="BR63" s="59"/>
      <c r="BS63" s="59"/>
      <c r="BT63" s="59">
        <v>338.84399999999999</v>
      </c>
      <c r="BU63" s="59">
        <v>24.136900000000001</v>
      </c>
      <c r="BV63" s="59">
        <v>-266.42009999999999</v>
      </c>
      <c r="BW63" s="61"/>
      <c r="BY63" s="59"/>
      <c r="BZ63" s="59"/>
      <c r="CA63" s="59"/>
      <c r="CC63" s="59"/>
    </row>
    <row r="64" spans="1:81" x14ac:dyDescent="0.25">
      <c r="A64">
        <f t="shared" si="54"/>
        <v>15000</v>
      </c>
      <c r="B64">
        <f t="shared" si="33"/>
        <v>15</v>
      </c>
      <c r="C64">
        <f t="shared" si="0"/>
        <v>1.0077088462458996</v>
      </c>
      <c r="D64">
        <f t="shared" si="1"/>
        <v>0.12377114296217653</v>
      </c>
      <c r="F64">
        <f t="shared" si="2"/>
        <v>0.12758621913063897</v>
      </c>
      <c r="G64">
        <f t="shared" si="3"/>
        <v>0.12894854300405484</v>
      </c>
      <c r="H64">
        <f t="shared" si="4"/>
        <v>-3.0126441069959453</v>
      </c>
      <c r="J64">
        <f t="shared" si="5"/>
        <v>15</v>
      </c>
      <c r="M64">
        <f t="shared" si="6"/>
        <v>9.9606931446872549E-2</v>
      </c>
      <c r="N64">
        <f t="shared" si="7"/>
        <v>-1.5707963250000001</v>
      </c>
      <c r="O64">
        <f t="shared" si="8"/>
        <v>3.9642725677307</v>
      </c>
      <c r="P64">
        <f t="shared" si="9"/>
        <v>1.3157883899849725</v>
      </c>
      <c r="Q64">
        <f t="shared" si="10"/>
        <v>3.3972536010908496</v>
      </c>
      <c r="R64">
        <f t="shared" si="11"/>
        <v>1.2720153428278824</v>
      </c>
      <c r="S64">
        <f t="shared" si="12"/>
        <v>0.99258891680145378</v>
      </c>
      <c r="T64">
        <f t="shared" si="13"/>
        <v>-0.12182163484742967</v>
      </c>
      <c r="U64">
        <f t="shared" si="14"/>
        <v>0.99547046495886415</v>
      </c>
      <c r="V64">
        <f t="shared" si="15"/>
        <v>-9.5215110411909956E-2</v>
      </c>
      <c r="X64">
        <f t="shared" si="34"/>
        <v>8.1521786966496652</v>
      </c>
      <c r="Y64">
        <f t="shared" si="16"/>
        <v>-119.6852858267432</v>
      </c>
      <c r="Z64">
        <f t="shared" si="35"/>
        <v>60.314714173256803</v>
      </c>
      <c r="AC64">
        <v>1</v>
      </c>
      <c r="AD64">
        <f t="shared" si="17"/>
        <v>3.8360731212090005</v>
      </c>
      <c r="AE64">
        <f t="shared" si="18"/>
        <v>-4.3384964840829909E-5</v>
      </c>
      <c r="AF64">
        <f t="shared" si="19"/>
        <v>4.5427429718999999E-4</v>
      </c>
      <c r="AG64">
        <f t="shared" si="36"/>
        <v>8159.7394224767304</v>
      </c>
      <c r="AH64">
        <f t="shared" si="37"/>
        <v>-2980.6000830995131</v>
      </c>
      <c r="AJ64">
        <f t="shared" si="20"/>
        <v>22100</v>
      </c>
      <c r="AK64">
        <f t="shared" si="21"/>
        <v>2705.6558291080505</v>
      </c>
      <c r="AL64">
        <v>1</v>
      </c>
      <c r="AM64">
        <f t="shared" si="22"/>
        <v>3.2467417559955005</v>
      </c>
      <c r="AN64">
        <f t="shared" si="38"/>
        <v>2675.9966420777096</v>
      </c>
      <c r="AO64">
        <f t="shared" si="39"/>
        <v>-5982.6142076293945</v>
      </c>
      <c r="AQ64">
        <f t="shared" si="23"/>
        <v>11.098779134295228</v>
      </c>
      <c r="AR64">
        <f t="shared" si="24"/>
        <v>-332.96337402885683</v>
      </c>
      <c r="AT64">
        <f t="shared" si="52"/>
        <v>-901867.51465603407</v>
      </c>
      <c r="AU64">
        <f t="shared" si="53"/>
        <v>-2749975.3913141116</v>
      </c>
      <c r="AV64">
        <f t="shared" si="42"/>
        <v>-1.8876983781384835</v>
      </c>
      <c r="AW64">
        <f t="shared" si="25"/>
        <v>-1950481.6407317927</v>
      </c>
      <c r="AX64">
        <f t="shared" si="26"/>
        <v>-980184.49059923494</v>
      </c>
      <c r="AY64">
        <f t="shared" si="50"/>
        <v>-2.6759194294252149</v>
      </c>
      <c r="BA64">
        <f t="shared" si="27"/>
        <v>1.3257861608220938</v>
      </c>
      <c r="BB64">
        <f t="shared" si="43"/>
        <v>2.449469626712629</v>
      </c>
      <c r="BC64">
        <f t="shared" si="44"/>
        <v>0.78822105128673137</v>
      </c>
      <c r="BD64">
        <f t="shared" si="28"/>
        <v>-134.83826038630068</v>
      </c>
      <c r="BF64">
        <f t="shared" si="29"/>
        <v>8.1540715853459176</v>
      </c>
      <c r="BG64">
        <f t="shared" si="30"/>
        <v>-120.35848896401852</v>
      </c>
      <c r="BH64">
        <f t="shared" si="45"/>
        <v>59.64151103598148</v>
      </c>
      <c r="BI64">
        <f t="shared" si="46"/>
        <v>59.64151103598148</v>
      </c>
      <c r="BJ64">
        <f t="shared" si="31"/>
        <v>0</v>
      </c>
      <c r="BK64">
        <f t="shared" si="47"/>
        <v>0</v>
      </c>
      <c r="BM64">
        <f t="shared" si="48"/>
        <v>5.7046019586332877</v>
      </c>
      <c r="BN64">
        <f t="shared" si="32"/>
        <v>-165.52022857771786</v>
      </c>
      <c r="BQ64" s="56">
        <f t="shared" si="49"/>
        <v>19.351430426997766</v>
      </c>
      <c r="BR64" s="59"/>
      <c r="BS64" s="59"/>
      <c r="BT64" s="59">
        <v>346.73700000000002</v>
      </c>
      <c r="BU64" s="59">
        <v>24.040400000000002</v>
      </c>
      <c r="BV64" s="59">
        <v>-265.87940000000003</v>
      </c>
      <c r="BW64" s="61"/>
      <c r="BY64" s="59"/>
      <c r="BZ64" s="59"/>
      <c r="CA64" s="59"/>
      <c r="CC64" s="59"/>
    </row>
    <row r="65" spans="1:81" x14ac:dyDescent="0.25">
      <c r="A65">
        <f t="shared" si="54"/>
        <v>15500</v>
      </c>
      <c r="B65">
        <f t="shared" si="33"/>
        <v>15.5</v>
      </c>
      <c r="C65">
        <f t="shared" si="0"/>
        <v>1.0082292018787498</v>
      </c>
      <c r="D65">
        <f t="shared" si="1"/>
        <v>0.12785274507622804</v>
      </c>
      <c r="F65">
        <f t="shared" si="2"/>
        <v>0.11859125172245015</v>
      </c>
      <c r="G65">
        <f t="shared" si="3"/>
        <v>0.1238260273690889</v>
      </c>
      <c r="H65">
        <f t="shared" si="4"/>
        <v>-3.0177666226309112</v>
      </c>
      <c r="J65">
        <f t="shared" si="5"/>
        <v>15</v>
      </c>
      <c r="M65">
        <f t="shared" si="6"/>
        <v>9.6393804626005705E-2</v>
      </c>
      <c r="N65">
        <f t="shared" si="7"/>
        <v>-1.5707963250000001</v>
      </c>
      <c r="O65">
        <f t="shared" si="8"/>
        <v>4.0881337998057701</v>
      </c>
      <c r="P65">
        <f t="shared" si="9"/>
        <v>1.3236784720381132</v>
      </c>
      <c r="Q65">
        <f t="shared" si="10"/>
        <v>3.5008284862221277</v>
      </c>
      <c r="R65">
        <f t="shared" si="11"/>
        <v>1.2811151813062105</v>
      </c>
      <c r="S65">
        <f t="shared" si="12"/>
        <v>0.99209255278621111</v>
      </c>
      <c r="T65">
        <f t="shared" si="13"/>
        <v>-0.12584029983737005</v>
      </c>
      <c r="U65">
        <f t="shared" si="14"/>
        <v>0.99516568587991483</v>
      </c>
      <c r="V65">
        <f t="shared" si="15"/>
        <v>-9.8368839050838028E-2</v>
      </c>
      <c r="X65">
        <f t="shared" si="34"/>
        <v>7.7579164794534714</v>
      </c>
      <c r="Y65">
        <f t="shared" si="16"/>
        <v>-119.18242292097992</v>
      </c>
      <c r="Z65">
        <f t="shared" si="35"/>
        <v>60.817577079020083</v>
      </c>
      <c r="AC65">
        <v>1</v>
      </c>
      <c r="AD65">
        <f t="shared" si="17"/>
        <v>3.9639422252492995</v>
      </c>
      <c r="AE65">
        <f t="shared" si="18"/>
        <v>-4.6325501346708398E-5</v>
      </c>
      <c r="AF65">
        <f t="shared" si="19"/>
        <v>4.6941677376300002E-4</v>
      </c>
      <c r="AG65">
        <f t="shared" si="36"/>
        <v>8154.7437199451242</v>
      </c>
      <c r="AH65">
        <f t="shared" si="37"/>
        <v>-2935.0731976100878</v>
      </c>
      <c r="AJ65">
        <f t="shared" si="20"/>
        <v>22100</v>
      </c>
      <c r="AK65">
        <f t="shared" si="21"/>
        <v>2795.8443567449854</v>
      </c>
      <c r="AL65">
        <v>1</v>
      </c>
      <c r="AM65">
        <f t="shared" si="22"/>
        <v>3.3549664811953503</v>
      </c>
      <c r="AN65">
        <f t="shared" si="38"/>
        <v>2568.5768266853024</v>
      </c>
      <c r="AO65">
        <f t="shared" si="39"/>
        <v>-5821.6448011593229</v>
      </c>
      <c r="AQ65">
        <f t="shared" si="23"/>
        <v>10.395010395010395</v>
      </c>
      <c r="AR65">
        <f t="shared" si="24"/>
        <v>-322.24532224532226</v>
      </c>
      <c r="AT65">
        <f t="shared" si="52"/>
        <v>-861044.96263999585</v>
      </c>
      <c r="AU65">
        <f t="shared" si="53"/>
        <v>-2658338.1342610079</v>
      </c>
      <c r="AV65">
        <f t="shared" si="42"/>
        <v>-1.8840361381672639</v>
      </c>
      <c r="AW65">
        <f t="shared" si="25"/>
        <v>-1837635.5117602705</v>
      </c>
      <c r="AX65">
        <f t="shared" si="26"/>
        <v>-910364.49776231835</v>
      </c>
      <c r="AY65">
        <f t="shared" si="50"/>
        <v>-2.6816318704510618</v>
      </c>
      <c r="BA65">
        <f t="shared" si="27"/>
        <v>1.3625638780174205</v>
      </c>
      <c r="BB65">
        <f t="shared" si="43"/>
        <v>2.6871374295452064</v>
      </c>
      <c r="BC65">
        <f t="shared" si="44"/>
        <v>0.79759573228379788</v>
      </c>
      <c r="BD65">
        <f t="shared" si="28"/>
        <v>-134.30113073027351</v>
      </c>
      <c r="BF65">
        <f t="shared" si="29"/>
        <v>7.7612011110874128</v>
      </c>
      <c r="BG65">
        <f t="shared" si="30"/>
        <v>-119.88099925964599</v>
      </c>
      <c r="BH65">
        <f t="shared" si="45"/>
        <v>60.119000740354011</v>
      </c>
      <c r="BI65">
        <f t="shared" si="46"/>
        <v>60.119000740354011</v>
      </c>
      <c r="BJ65">
        <f t="shared" si="31"/>
        <v>0</v>
      </c>
      <c r="BK65">
        <f t="shared" si="47"/>
        <v>0</v>
      </c>
      <c r="BM65">
        <f t="shared" si="48"/>
        <v>5.0740636815422056</v>
      </c>
      <c r="BN65">
        <f t="shared" si="32"/>
        <v>-165.57986852937248</v>
      </c>
      <c r="BQ65" s="56">
        <f t="shared" si="49"/>
        <v>19.589098229830345</v>
      </c>
      <c r="BR65" s="59"/>
      <c r="BS65" s="59"/>
      <c r="BT65" s="59">
        <v>354.81299999999999</v>
      </c>
      <c r="BU65" s="59">
        <v>23.629000000000001</v>
      </c>
      <c r="BV65" s="59">
        <v>-265.95490000000001</v>
      </c>
      <c r="BW65" s="61"/>
      <c r="BY65" s="59"/>
      <c r="BZ65" s="59"/>
      <c r="CA65" s="59"/>
      <c r="CC65" s="59"/>
    </row>
    <row r="66" spans="1:81" x14ac:dyDescent="0.25">
      <c r="A66">
        <f t="shared" si="54"/>
        <v>16000</v>
      </c>
      <c r="B66">
        <f t="shared" si="33"/>
        <v>16</v>
      </c>
      <c r="C66">
        <f t="shared" si="0"/>
        <v>1.0087663365900041</v>
      </c>
      <c r="D66">
        <f t="shared" si="1"/>
        <v>0.1319300684206588</v>
      </c>
      <c r="F66">
        <f t="shared" si="2"/>
        <v>0.11054151540341804</v>
      </c>
      <c r="G66">
        <f t="shared" si="3"/>
        <v>0.11912150569237318</v>
      </c>
      <c r="H66">
        <f t="shared" si="4"/>
        <v>-3.0224711443076271</v>
      </c>
      <c r="J66">
        <f t="shared" si="5"/>
        <v>15</v>
      </c>
      <c r="M66">
        <f t="shared" si="6"/>
        <v>9.3381498231443025E-2</v>
      </c>
      <c r="N66">
        <f t="shared" si="7"/>
        <v>-1.5707963250000001</v>
      </c>
      <c r="O66">
        <f t="shared" si="8"/>
        <v>4.212234555969399</v>
      </c>
      <c r="P66">
        <f t="shared" si="9"/>
        <v>1.3311040791215183</v>
      </c>
      <c r="Q66">
        <f t="shared" si="10"/>
        <v>3.6046765918807537</v>
      </c>
      <c r="R66">
        <f t="shared" si="11"/>
        <v>1.2896913768569904</v>
      </c>
      <c r="S66">
        <f t="shared" si="12"/>
        <v>0.991580695411442</v>
      </c>
      <c r="T66">
        <f t="shared" si="13"/>
        <v>-0.12985488284965413</v>
      </c>
      <c r="U66">
        <f t="shared" si="14"/>
        <v>0.99485120771634827</v>
      </c>
      <c r="V66">
        <f t="shared" si="15"/>
        <v>-0.10152060582767367</v>
      </c>
      <c r="X66">
        <f t="shared" si="34"/>
        <v>7.382662783956552</v>
      </c>
      <c r="Y66">
        <f t="shared" si="16"/>
        <v>-118.71212457969105</v>
      </c>
      <c r="Z66">
        <f t="shared" si="35"/>
        <v>61.28787542030895</v>
      </c>
      <c r="AC66">
        <v>1</v>
      </c>
      <c r="AD66">
        <f t="shared" si="17"/>
        <v>4.0918113292895999</v>
      </c>
      <c r="AE66">
        <f t="shared" si="18"/>
        <v>-4.936244888556648E-5</v>
      </c>
      <c r="AF66">
        <f t="shared" si="19"/>
        <v>4.84559250336E-4</v>
      </c>
      <c r="AG66">
        <f t="shared" si="36"/>
        <v>8149.5906410778216</v>
      </c>
      <c r="AH66">
        <f t="shared" si="37"/>
        <v>-2893.9366042153406</v>
      </c>
      <c r="AJ66">
        <f t="shared" si="20"/>
        <v>22100</v>
      </c>
      <c r="AK66">
        <f t="shared" si="21"/>
        <v>2886.0328843819202</v>
      </c>
      <c r="AL66">
        <v>1</v>
      </c>
      <c r="AM66">
        <f t="shared" si="22"/>
        <v>3.4631912063952002</v>
      </c>
      <c r="AN66">
        <f t="shared" si="38"/>
        <v>2470.0354923250875</v>
      </c>
      <c r="AO66">
        <f t="shared" si="39"/>
        <v>-5668.1723121223622</v>
      </c>
      <c r="AQ66">
        <f t="shared" si="23"/>
        <v>9.7560975609756095</v>
      </c>
      <c r="AR66">
        <f t="shared" si="24"/>
        <v>-312.19512195121951</v>
      </c>
      <c r="AT66">
        <f t="shared" si="52"/>
        <v>-823964.68969573732</v>
      </c>
      <c r="AU66">
        <f t="shared" si="53"/>
        <v>-2572495.9718898111</v>
      </c>
      <c r="AV66">
        <f t="shared" si="42"/>
        <v>-1.8807693468656801</v>
      </c>
      <c r="AW66">
        <f t="shared" si="25"/>
        <v>-1733951.8937737129</v>
      </c>
      <c r="AX66">
        <f t="shared" si="26"/>
        <v>-847967.68950379384</v>
      </c>
      <c r="AY66">
        <f t="shared" si="50"/>
        <v>-2.6867533540523425</v>
      </c>
      <c r="BA66">
        <f t="shared" si="27"/>
        <v>1.399463280109249</v>
      </c>
      <c r="BB66">
        <f t="shared" si="43"/>
        <v>2.9192301538622201</v>
      </c>
      <c r="BC66">
        <f t="shared" si="44"/>
        <v>0.80598400718666241</v>
      </c>
      <c r="BD66">
        <f t="shared" si="28"/>
        <v>-133.82051798039467</v>
      </c>
      <c r="BF66">
        <f t="shared" si="29"/>
        <v>7.3873752352106887</v>
      </c>
      <c r="BG66">
        <f t="shared" si="30"/>
        <v>-119.43632232716583</v>
      </c>
      <c r="BH66">
        <f t="shared" si="45"/>
        <v>60.563677672834174</v>
      </c>
      <c r="BI66">
        <f t="shared" si="46"/>
        <v>60.563677672834174</v>
      </c>
      <c r="BJ66">
        <f t="shared" si="31"/>
        <v>0</v>
      </c>
      <c r="BK66">
        <f t="shared" si="47"/>
        <v>0</v>
      </c>
      <c r="BM66">
        <f t="shared" si="48"/>
        <v>4.46814508134847</v>
      </c>
      <c r="BN66">
        <f t="shared" si="32"/>
        <v>-165.61580434677114</v>
      </c>
      <c r="BQ66" s="56">
        <f t="shared" si="49"/>
        <v>19.821190954147355</v>
      </c>
      <c r="BR66" s="59"/>
      <c r="BS66" s="59"/>
      <c r="BT66" s="59">
        <v>363.07799999999997</v>
      </c>
      <c r="BU66" s="59">
        <v>23.6126</v>
      </c>
      <c r="BV66" s="59">
        <v>-265.39159999999998</v>
      </c>
      <c r="BW66" s="61"/>
      <c r="BY66" s="59"/>
      <c r="BZ66" s="59"/>
      <c r="CA66" s="59"/>
      <c r="CC66" s="59"/>
    </row>
    <row r="67" spans="1:81" x14ac:dyDescent="0.25">
      <c r="A67">
        <f t="shared" si="54"/>
        <v>16500</v>
      </c>
      <c r="B67">
        <f t="shared" si="33"/>
        <v>16.5</v>
      </c>
      <c r="C67">
        <f t="shared" si="0"/>
        <v>1.0093202235914589</v>
      </c>
      <c r="D67">
        <f t="shared" si="1"/>
        <v>0.13600298437008654</v>
      </c>
      <c r="F67">
        <f t="shared" si="2"/>
        <v>0.10330600906253959</v>
      </c>
      <c r="G67">
        <f t="shared" si="3"/>
        <v>0.11478385322314755</v>
      </c>
      <c r="H67">
        <f t="shared" si="4"/>
        <v>-3.0268087967768524</v>
      </c>
      <c r="J67">
        <f t="shared" si="5"/>
        <v>15</v>
      </c>
      <c r="M67">
        <f t="shared" si="6"/>
        <v>9.055175586079324E-2</v>
      </c>
      <c r="N67">
        <f t="shared" si="7"/>
        <v>-1.5707963250000001</v>
      </c>
      <c r="O67">
        <f t="shared" si="8"/>
        <v>4.3365542726255839</v>
      </c>
      <c r="P67">
        <f t="shared" si="9"/>
        <v>1.3381043014975296</v>
      </c>
      <c r="Q67">
        <f t="shared" si="10"/>
        <v>3.7087749670815757</v>
      </c>
      <c r="R67">
        <f t="shared" si="11"/>
        <v>1.2977867047855225</v>
      </c>
      <c r="S67">
        <f t="shared" si="12"/>
        <v>0.99105341810213954</v>
      </c>
      <c r="T67">
        <f t="shared" si="13"/>
        <v>-0.13386526089656986</v>
      </c>
      <c r="U67">
        <f t="shared" si="14"/>
        <v>0.9945270583941791</v>
      </c>
      <c r="V67">
        <f t="shared" si="15"/>
        <v>-0.10467035001512616</v>
      </c>
      <c r="X67">
        <f t="shared" si="34"/>
        <v>7.0246326143949398</v>
      </c>
      <c r="Y67">
        <f t="shared" si="16"/>
        <v>-118.27262632740553</v>
      </c>
      <c r="Z67">
        <f t="shared" si="35"/>
        <v>61.727373672594467</v>
      </c>
      <c r="AC67">
        <v>1</v>
      </c>
      <c r="AD67">
        <f t="shared" si="17"/>
        <v>4.2196804333299003</v>
      </c>
      <c r="AE67">
        <f t="shared" si="18"/>
        <v>-5.2495807457404201E-5</v>
      </c>
      <c r="AF67">
        <f t="shared" si="19"/>
        <v>4.9970172690899997E-4</v>
      </c>
      <c r="AG67">
        <f t="shared" si="36"/>
        <v>8144.2807939452578</v>
      </c>
      <c r="AH67">
        <f t="shared" si="37"/>
        <v>-2856.7853972975222</v>
      </c>
      <c r="AJ67">
        <f t="shared" si="20"/>
        <v>22100</v>
      </c>
      <c r="AK67">
        <f t="shared" si="21"/>
        <v>2976.2214120188555</v>
      </c>
      <c r="AL67">
        <v>1</v>
      </c>
      <c r="AM67">
        <f t="shared" si="22"/>
        <v>3.57141593159505</v>
      </c>
      <c r="AN67">
        <f t="shared" si="38"/>
        <v>2379.4472259530266</v>
      </c>
      <c r="AO67">
        <f t="shared" si="39"/>
        <v>-5521.7743191394311</v>
      </c>
      <c r="AQ67">
        <f t="shared" si="23"/>
        <v>9.1743119266055047</v>
      </c>
      <c r="AR67">
        <f t="shared" si="24"/>
        <v>-302.75229357798167</v>
      </c>
      <c r="AT67">
        <f t="shared" si="52"/>
        <v>-790180.15887039434</v>
      </c>
      <c r="AU67">
        <f t="shared" si="53"/>
        <v>-2491908.7302522114</v>
      </c>
      <c r="AV67">
        <f t="shared" si="42"/>
        <v>-1.8778649421886144</v>
      </c>
      <c r="AW67">
        <f t="shared" si="25"/>
        <v>-1638499.6941268188</v>
      </c>
      <c r="AX67">
        <f t="shared" si="26"/>
        <v>-792010.88789536397</v>
      </c>
      <c r="AY67">
        <f t="shared" si="50"/>
        <v>-2.6913327383772803</v>
      </c>
      <c r="BA67">
        <f t="shared" si="27"/>
        <v>1.4364634672821965</v>
      </c>
      <c r="BB67">
        <f t="shared" si="43"/>
        <v>3.1458917063225837</v>
      </c>
      <c r="BC67">
        <f t="shared" si="44"/>
        <v>0.81346779618866583</v>
      </c>
      <c r="BD67">
        <f t="shared" si="28"/>
        <v>-133.39172845532352</v>
      </c>
      <c r="BF67">
        <f t="shared" si="29"/>
        <v>7.0308080744919854</v>
      </c>
      <c r="BG67">
        <f t="shared" si="30"/>
        <v>-119.02270108737933</v>
      </c>
      <c r="BH67">
        <f t="shared" si="45"/>
        <v>60.977298912620668</v>
      </c>
      <c r="BI67">
        <f t="shared" si="46"/>
        <v>60.977298912620668</v>
      </c>
      <c r="BJ67">
        <f t="shared" si="31"/>
        <v>0</v>
      </c>
      <c r="BK67">
        <f t="shared" si="47"/>
        <v>0</v>
      </c>
      <c r="BM67">
        <f t="shared" si="48"/>
        <v>3.8849163681694026</v>
      </c>
      <c r="BN67">
        <f t="shared" si="32"/>
        <v>-165.63097263205583</v>
      </c>
      <c r="BQ67" s="56">
        <f t="shared" si="49"/>
        <v>20.047852506607722</v>
      </c>
      <c r="BR67" s="59"/>
      <c r="BS67" s="59"/>
      <c r="BT67" s="59">
        <v>371.53500000000003</v>
      </c>
      <c r="BU67" s="59">
        <v>23.315999999999999</v>
      </c>
      <c r="BV67" s="59">
        <v>-265.2439</v>
      </c>
      <c r="BW67" s="61"/>
      <c r="BY67" s="59"/>
      <c r="BZ67" s="59"/>
      <c r="CA67" s="59"/>
      <c r="CC67" s="59"/>
    </row>
    <row r="68" spans="1:81" x14ac:dyDescent="0.25">
      <c r="A68">
        <f t="shared" si="54"/>
        <v>17000</v>
      </c>
      <c r="B68">
        <f t="shared" si="33"/>
        <v>17</v>
      </c>
      <c r="C68">
        <f t="shared" si="0"/>
        <v>1.0098908353191183</v>
      </c>
      <c r="D68">
        <f t="shared" si="1"/>
        <v>0.14007136516191915</v>
      </c>
      <c r="F68">
        <f t="shared" si="2"/>
        <v>9.6776087396540492E-2</v>
      </c>
      <c r="G68">
        <f t="shared" si="3"/>
        <v>0.11077013073670859</v>
      </c>
      <c r="H68">
        <f t="shared" si="4"/>
        <v>-3.0308225192632916</v>
      </c>
      <c r="J68">
        <f t="shared" si="5"/>
        <v>15</v>
      </c>
      <c r="M68">
        <f t="shared" si="6"/>
        <v>8.7888468923711077E-2</v>
      </c>
      <c r="N68">
        <f t="shared" si="7"/>
        <v>-1.5707963250000001</v>
      </c>
      <c r="O68">
        <f t="shared" si="8"/>
        <v>4.4610746440614326</v>
      </c>
      <c r="P68">
        <f t="shared" si="9"/>
        <v>1.3447140435052152</v>
      </c>
      <c r="Q68">
        <f t="shared" si="10"/>
        <v>3.8131031146741901</v>
      </c>
      <c r="R68">
        <f t="shared" si="11"/>
        <v>1.305439528304299</v>
      </c>
      <c r="S68">
        <f t="shared" si="12"/>
        <v>0.99051079628267746</v>
      </c>
      <c r="T68">
        <f t="shared" si="13"/>
        <v>-0.13787131178890927</v>
      </c>
      <c r="U68">
        <f t="shared" si="14"/>
        <v>0.99419326664878704</v>
      </c>
      <c r="V68">
        <f t="shared" si="15"/>
        <v>-0.10781801112434186</v>
      </c>
      <c r="X68">
        <f t="shared" si="34"/>
        <v>6.6822743916678915</v>
      </c>
      <c r="Y68">
        <f t="shared" si="16"/>
        <v>-117.86218733256828</v>
      </c>
      <c r="Z68">
        <f t="shared" si="35"/>
        <v>62.137812667431717</v>
      </c>
      <c r="AC68">
        <v>1</v>
      </c>
      <c r="AD68">
        <f t="shared" si="17"/>
        <v>4.3475495373701998</v>
      </c>
      <c r="AE68">
        <f t="shared" si="18"/>
        <v>-5.5725577062221547E-5</v>
      </c>
      <c r="AF68">
        <f t="shared" si="19"/>
        <v>5.14844203482E-4</v>
      </c>
      <c r="AG68">
        <f t="shared" si="36"/>
        <v>8138.8148039028765</v>
      </c>
      <c r="AH68">
        <f t="shared" si="37"/>
        <v>-2823.2621474990692</v>
      </c>
      <c r="AJ68">
        <f t="shared" si="20"/>
        <v>22100</v>
      </c>
      <c r="AK68">
        <f t="shared" si="21"/>
        <v>3066.4099396557904</v>
      </c>
      <c r="AL68">
        <v>1</v>
      </c>
      <c r="AM68">
        <f t="shared" si="22"/>
        <v>3.6796406567949007</v>
      </c>
      <c r="AN68">
        <f t="shared" si="38"/>
        <v>2296.0005757038111</v>
      </c>
      <c r="AO68">
        <f t="shared" si="39"/>
        <v>-5382.047126728452</v>
      </c>
      <c r="AQ68">
        <f t="shared" si="23"/>
        <v>8.6430423509075194</v>
      </c>
      <c r="AR68">
        <f t="shared" si="24"/>
        <v>-293.86343993085563</v>
      </c>
      <c r="AT68">
        <f t="shared" si="52"/>
        <v>-759309.40545432549</v>
      </c>
      <c r="AU68">
        <f t="shared" si="53"/>
        <v>-2416101.6895436202</v>
      </c>
      <c r="AV68">
        <f t="shared" si="42"/>
        <v>-1.8752933330049149</v>
      </c>
      <c r="AW68">
        <f t="shared" si="25"/>
        <v>-1550458.3885068849</v>
      </c>
      <c r="AX68">
        <f t="shared" si="26"/>
        <v>-741663.31623994384</v>
      </c>
      <c r="AY68">
        <f t="shared" si="50"/>
        <v>-2.6954137572008579</v>
      </c>
      <c r="BA68">
        <f t="shared" si="27"/>
        <v>1.4735456919504941</v>
      </c>
      <c r="BB68">
        <f t="shared" si="43"/>
        <v>3.3672721414087938</v>
      </c>
      <c r="BC68">
        <f t="shared" si="44"/>
        <v>0.820120424195943</v>
      </c>
      <c r="BD68">
        <f t="shared" si="28"/>
        <v>-133.01056094740045</v>
      </c>
      <c r="BF68">
        <f t="shared" si="29"/>
        <v>6.6899471399666908</v>
      </c>
      <c r="BG68">
        <f t="shared" si="30"/>
        <v>-118.63840188923832</v>
      </c>
      <c r="BH68">
        <f t="shared" si="45"/>
        <v>61.361598110761676</v>
      </c>
      <c r="BI68">
        <f t="shared" si="46"/>
        <v>61.361598110761676</v>
      </c>
      <c r="BJ68">
        <f t="shared" si="31"/>
        <v>0</v>
      </c>
      <c r="BK68">
        <f t="shared" si="47"/>
        <v>0</v>
      </c>
      <c r="BM68">
        <f t="shared" si="48"/>
        <v>3.3226749985578992</v>
      </c>
      <c r="BN68">
        <f t="shared" si="32"/>
        <v>-165.62784094183789</v>
      </c>
      <c r="BQ68" s="56">
        <f t="shared" si="49"/>
        <v>20.269232941693929</v>
      </c>
      <c r="BR68" s="59"/>
      <c r="BS68" s="59"/>
      <c r="BT68" s="59">
        <v>380.18900000000002</v>
      </c>
      <c r="BU68" s="59">
        <v>23.2133</v>
      </c>
      <c r="BV68" s="59">
        <v>-265.49869999999999</v>
      </c>
      <c r="BW68" s="61"/>
      <c r="BY68" s="59"/>
      <c r="BZ68" s="59"/>
      <c r="CA68" s="59"/>
      <c r="CC68" s="59"/>
    </row>
    <row r="69" spans="1:81" x14ac:dyDescent="0.25">
      <c r="A69">
        <f t="shared" si="54"/>
        <v>17500</v>
      </c>
      <c r="B69">
        <f t="shared" si="33"/>
        <v>17.5</v>
      </c>
      <c r="C69">
        <f t="shared" si="0"/>
        <v>1.0104781434398857</v>
      </c>
      <c r="D69">
        <f t="shared" si="1"/>
        <v>0.14413508391841051</v>
      </c>
      <c r="F69">
        <f t="shared" si="2"/>
        <v>9.0860966514042726E-2</v>
      </c>
      <c r="G69">
        <f t="shared" si="3"/>
        <v>0.10704399164748125</v>
      </c>
      <c r="H69">
        <f t="shared" si="4"/>
        <v>-3.0345486583525187</v>
      </c>
      <c r="J69">
        <f t="shared" si="5"/>
        <v>15</v>
      </c>
      <c r="M69">
        <f t="shared" si="6"/>
        <v>8.5377369811605042E-2</v>
      </c>
      <c r="N69">
        <f t="shared" si="7"/>
        <v>-1.5707963250000001</v>
      </c>
      <c r="O69">
        <f t="shared" si="8"/>
        <v>4.5857793248132426</v>
      </c>
      <c r="P69">
        <f t="shared" si="9"/>
        <v>1.3509645585964072</v>
      </c>
      <c r="Q69">
        <f t="shared" si="10"/>
        <v>3.9176426779524234</v>
      </c>
      <c r="R69">
        <f t="shared" si="11"/>
        <v>1.3126843369490078</v>
      </c>
      <c r="S69">
        <f t="shared" si="12"/>
        <v>0.98995290734755981</v>
      </c>
      <c r="T69">
        <f t="shared" si="13"/>
        <v>-0.14187291415652228</v>
      </c>
      <c r="U69">
        <f t="shared" si="14"/>
        <v>0.99384986201794279</v>
      </c>
      <c r="V69">
        <f t="shared" si="15"/>
        <v>-0.11096352891155201</v>
      </c>
      <c r="X69">
        <f t="shared" si="34"/>
        <v>6.3542319656628425</v>
      </c>
      <c r="Y69">
        <f t="shared" si="16"/>
        <v>-117.47912016926134</v>
      </c>
      <c r="Z69">
        <f t="shared" si="35"/>
        <v>62.520879830738664</v>
      </c>
      <c r="AC69">
        <v>1</v>
      </c>
      <c r="AD69">
        <f t="shared" si="17"/>
        <v>4.4754186414105002</v>
      </c>
      <c r="AE69">
        <f t="shared" si="18"/>
        <v>-5.9051757700018492E-5</v>
      </c>
      <c r="AF69">
        <f t="shared" si="19"/>
        <v>5.2998668005499992E-4</v>
      </c>
      <c r="AG69">
        <f t="shared" si="36"/>
        <v>8133.1933134097208</v>
      </c>
      <c r="AH69">
        <f t="shared" si="37"/>
        <v>-2793.0501210280681</v>
      </c>
      <c r="AJ69">
        <f t="shared" si="20"/>
        <v>22100</v>
      </c>
      <c r="AK69">
        <f t="shared" si="21"/>
        <v>3156.5984672927252</v>
      </c>
      <c r="AL69">
        <v>1</v>
      </c>
      <c r="AM69">
        <f t="shared" si="22"/>
        <v>3.7878653819947505</v>
      </c>
      <c r="AN69">
        <f t="shared" si="38"/>
        <v>2218.9821712419885</v>
      </c>
      <c r="AO69">
        <f t="shared" si="39"/>
        <v>-5248.6072824183502</v>
      </c>
      <c r="AQ69">
        <f t="shared" si="23"/>
        <v>8.1566068515497552</v>
      </c>
      <c r="AR69">
        <f t="shared" si="24"/>
        <v>-285.48123980424145</v>
      </c>
      <c r="AT69">
        <f t="shared" si="52"/>
        <v>-731024.15108134318</v>
      </c>
      <c r="AU69">
        <f t="shared" si="53"/>
        <v>-2344655.9224336729</v>
      </c>
      <c r="AV69">
        <f t="shared" si="42"/>
        <v>-1.8730279660661782</v>
      </c>
      <c r="AW69">
        <f t="shared" si="25"/>
        <v>-1469103.4206607251</v>
      </c>
      <c r="AX69">
        <f t="shared" si="26"/>
        <v>-696219.87822957872</v>
      </c>
      <c r="AY69">
        <f t="shared" si="50"/>
        <v>-2.6990356601809129</v>
      </c>
      <c r="BA69">
        <f t="shared" si="27"/>
        <v>1.5106930527490716</v>
      </c>
      <c r="BB69">
        <f t="shared" si="43"/>
        <v>3.5835246403330356</v>
      </c>
      <c r="BC69">
        <f t="shared" si="44"/>
        <v>0.82600769411473474</v>
      </c>
      <c r="BD69">
        <f t="shared" si="28"/>
        <v>-132.67324522781391</v>
      </c>
      <c r="BF69">
        <f t="shared" si="29"/>
        <v>6.3634353497696052</v>
      </c>
      <c r="BG69">
        <f t="shared" si="30"/>
        <v>-118.28174427944603</v>
      </c>
      <c r="BH69">
        <f t="shared" si="45"/>
        <v>61.718255720553969</v>
      </c>
      <c r="BI69">
        <f t="shared" si="46"/>
        <v>61.718255720553969</v>
      </c>
      <c r="BJ69">
        <f t="shared" si="31"/>
        <v>0</v>
      </c>
      <c r="BK69">
        <f t="shared" si="47"/>
        <v>0</v>
      </c>
      <c r="BM69">
        <f t="shared" si="48"/>
        <v>2.7799107094365705</v>
      </c>
      <c r="BN69">
        <f t="shared" si="32"/>
        <v>-165.60849905163212</v>
      </c>
      <c r="BQ69" s="56">
        <f t="shared" si="49"/>
        <v>20.48548544061817</v>
      </c>
      <c r="BR69" s="59"/>
      <c r="BS69" s="59"/>
      <c r="BT69" s="59">
        <v>389.04500000000002</v>
      </c>
      <c r="BU69" s="59">
        <v>22.955200000000001</v>
      </c>
      <c r="BV69" s="59">
        <v>-266.06720000000001</v>
      </c>
      <c r="BW69" s="61"/>
      <c r="BY69" s="59"/>
      <c r="BZ69" s="59"/>
      <c r="CA69" s="59"/>
      <c r="CC69" s="59"/>
    </row>
    <row r="70" spans="1:81" x14ac:dyDescent="0.25">
      <c r="A70">
        <f t="shared" si="54"/>
        <v>18000</v>
      </c>
      <c r="B70">
        <f t="shared" si="33"/>
        <v>18</v>
      </c>
      <c r="C70">
        <f t="shared" si="0"/>
        <v>1.0110821188584183</v>
      </c>
      <c r="D70">
        <f t="shared" si="1"/>
        <v>0.1481940146682961</v>
      </c>
      <c r="F70">
        <f t="shared" si="2"/>
        <v>8.5484261660607047E-2</v>
      </c>
      <c r="G70">
        <f t="shared" si="3"/>
        <v>0.10357444911437505</v>
      </c>
      <c r="H70">
        <f t="shared" si="4"/>
        <v>-3.0380182008856251</v>
      </c>
      <c r="J70">
        <f t="shared" si="5"/>
        <v>15</v>
      </c>
      <c r="M70">
        <f t="shared" si="6"/>
        <v>8.3005776205727133E-2</v>
      </c>
      <c r="N70">
        <f t="shared" si="7"/>
        <v>-1.5707963250000001</v>
      </c>
      <c r="O70">
        <f t="shared" si="8"/>
        <v>4.7106536772954879</v>
      </c>
      <c r="P70">
        <f t="shared" si="9"/>
        <v>1.3568839060088482</v>
      </c>
      <c r="Q70">
        <f t="shared" si="10"/>
        <v>4.022377173187472</v>
      </c>
      <c r="R70">
        <f t="shared" si="11"/>
        <v>1.3195522105288626</v>
      </c>
      <c r="S70">
        <f t="shared" si="12"/>
        <v>0.98937983063154189</v>
      </c>
      <c r="T70">
        <f t="shared" si="13"/>
        <v>-0.14586994746849319</v>
      </c>
      <c r="U70">
        <f t="shared" si="14"/>
        <v>0.99349687483465987</v>
      </c>
      <c r="V70">
        <f t="shared" si="15"/>
        <v>-0.11410684338464945</v>
      </c>
      <c r="X70">
        <f t="shared" si="34"/>
        <v>6.0393138984982357</v>
      </c>
      <c r="Y70">
        <f t="shared" si="16"/>
        <v>-117.12180870931721</v>
      </c>
      <c r="Z70">
        <f t="shared" si="35"/>
        <v>62.878191290682793</v>
      </c>
      <c r="AC70">
        <v>1</v>
      </c>
      <c r="AD70">
        <f t="shared" si="17"/>
        <v>4.6032877454507997</v>
      </c>
      <c r="AE70">
        <f t="shared" si="18"/>
        <v>-6.2474349370795083E-5</v>
      </c>
      <c r="AF70">
        <f t="shared" si="19"/>
        <v>5.4512915662799995E-4</v>
      </c>
      <c r="AG70">
        <f t="shared" si="36"/>
        <v>8127.4169818425435</v>
      </c>
      <c r="AH70">
        <f t="shared" si="37"/>
        <v>-2765.8676291179681</v>
      </c>
      <c r="AJ70">
        <f t="shared" si="20"/>
        <v>22100</v>
      </c>
      <c r="AK70">
        <f t="shared" si="21"/>
        <v>3246.7869949296605</v>
      </c>
      <c r="AL70">
        <v>1</v>
      </c>
      <c r="AM70">
        <f t="shared" si="22"/>
        <v>3.8960901071946004</v>
      </c>
      <c r="AN70">
        <f t="shared" si="38"/>
        <v>2147.7632662557253</v>
      </c>
      <c r="AO70">
        <f t="shared" si="39"/>
        <v>-5121.0922193252327</v>
      </c>
      <c r="AQ70">
        <f t="shared" si="23"/>
        <v>7.7101002313030067</v>
      </c>
      <c r="AR70">
        <f t="shared" si="24"/>
        <v>-277.56360832690825</v>
      </c>
      <c r="AT70">
        <f t="shared" si="52"/>
        <v>-705040.99974097393</v>
      </c>
      <c r="AU70">
        <f t="shared" si="53"/>
        <v>-2277200.3005046225</v>
      </c>
      <c r="AV70">
        <f t="shared" si="42"/>
        <v>-1.8710449543721732</v>
      </c>
      <c r="AW70">
        <f t="shared" si="25"/>
        <v>-1393793.6490826567</v>
      </c>
      <c r="AX70">
        <f t="shared" si="26"/>
        <v>-655079.61951987818</v>
      </c>
      <c r="AY70">
        <f t="shared" si="50"/>
        <v>-2.7022337617137597</v>
      </c>
      <c r="BA70">
        <f t="shared" si="27"/>
        <v>1.5478902394451384</v>
      </c>
      <c r="BB70">
        <f t="shared" si="43"/>
        <v>3.7948032342585991</v>
      </c>
      <c r="BC70">
        <f t="shared" si="44"/>
        <v>0.83118880734158651</v>
      </c>
      <c r="BD70">
        <f t="shared" si="28"/>
        <v>-132.37638930639667</v>
      </c>
      <c r="BF70">
        <f t="shared" si="29"/>
        <v>6.0500803129047931</v>
      </c>
      <c r="BG70">
        <f t="shared" si="30"/>
        <v>-117.95111890067403</v>
      </c>
      <c r="BH70">
        <f t="shared" si="45"/>
        <v>62.048881099325968</v>
      </c>
      <c r="BI70">
        <f t="shared" si="46"/>
        <v>62.048881099325968</v>
      </c>
      <c r="BJ70">
        <f t="shared" si="31"/>
        <v>0</v>
      </c>
      <c r="BK70">
        <f t="shared" si="47"/>
        <v>0</v>
      </c>
      <c r="BM70">
        <f t="shared" si="48"/>
        <v>2.2552770786461949</v>
      </c>
      <c r="BN70">
        <f t="shared" si="32"/>
        <v>-165.57472959427736</v>
      </c>
      <c r="BQ70" s="56">
        <f t="shared" si="49"/>
        <v>20.696764034543737</v>
      </c>
      <c r="BR70" s="59"/>
      <c r="BS70" s="59"/>
      <c r="BT70" s="59">
        <v>398.10700000000003</v>
      </c>
      <c r="BU70" s="59">
        <v>22.738499999999998</v>
      </c>
      <c r="BV70" s="59">
        <v>-265.2319</v>
      </c>
      <c r="BW70" s="61"/>
      <c r="BY70" s="59"/>
      <c r="BZ70" s="59"/>
      <c r="CA70" s="59"/>
      <c r="CC70" s="59"/>
    </row>
    <row r="71" spans="1:81" x14ac:dyDescent="0.25">
      <c r="A71">
        <f t="shared" si="54"/>
        <v>18500</v>
      </c>
      <c r="B71">
        <f t="shared" si="33"/>
        <v>18.5</v>
      </c>
      <c r="C71">
        <f t="shared" si="0"/>
        <v>1.0117027317241349</v>
      </c>
      <c r="D71">
        <f t="shared" si="1"/>
        <v>0.15224803236800008</v>
      </c>
      <c r="F71">
        <f t="shared" si="2"/>
        <v>8.058129235741382E-2</v>
      </c>
      <c r="G71">
        <f t="shared" si="3"/>
        <v>0.1003349114470182</v>
      </c>
      <c r="H71">
        <f t="shared" si="4"/>
        <v>-3.0412577385529822</v>
      </c>
      <c r="J71">
        <f t="shared" si="5"/>
        <v>15</v>
      </c>
      <c r="M71">
        <f t="shared" si="6"/>
        <v>8.0762376848815584E-2</v>
      </c>
      <c r="N71">
        <f t="shared" si="7"/>
        <v>-1.5707963250000001</v>
      </c>
      <c r="O71">
        <f t="shared" si="8"/>
        <v>4.8356845569667319</v>
      </c>
      <c r="P71">
        <f t="shared" si="9"/>
        <v>1.3624973418521795</v>
      </c>
      <c r="Q71">
        <f t="shared" si="10"/>
        <v>4.127291760577898</v>
      </c>
      <c r="R71">
        <f t="shared" si="11"/>
        <v>1.3260712199086948</v>
      </c>
      <c r="S71">
        <f t="shared" si="12"/>
        <v>0.98879164737914438</v>
      </c>
      <c r="T71">
        <f t="shared" si="13"/>
        <v>-0.14986229205293142</v>
      </c>
      <c r="U71">
        <f t="shared" si="14"/>
        <v>0.9931343362198739</v>
      </c>
      <c r="V71">
        <f t="shared" si="15"/>
        <v>-0.11724789480969269</v>
      </c>
      <c r="X71">
        <f t="shared" si="34"/>
        <v>5.7364684354026281</v>
      </c>
      <c r="Y71">
        <f t="shared" si="16"/>
        <v>-116.78871801906324</v>
      </c>
      <c r="Z71">
        <f t="shared" si="35"/>
        <v>63.211281980936761</v>
      </c>
      <c r="AC71">
        <v>1</v>
      </c>
      <c r="AD71">
        <f t="shared" si="17"/>
        <v>4.7311568494911</v>
      </c>
      <c r="AE71">
        <f t="shared" si="18"/>
        <v>-6.5993352074551279E-5</v>
      </c>
      <c r="AF71">
        <f t="shared" si="19"/>
        <v>5.6027163320099998E-4</v>
      </c>
      <c r="AG71">
        <f t="shared" si="36"/>
        <v>8121.4864853056833</v>
      </c>
      <c r="AH71">
        <f t="shared" si="37"/>
        <v>-2741.4632938277887</v>
      </c>
      <c r="AJ71">
        <f t="shared" si="20"/>
        <v>22100</v>
      </c>
      <c r="AK71">
        <f t="shared" si="21"/>
        <v>3336.9755225665958</v>
      </c>
      <c r="AL71">
        <v>1</v>
      </c>
      <c r="AM71">
        <f t="shared" si="22"/>
        <v>4.0043148323944502</v>
      </c>
      <c r="AN71">
        <f t="shared" si="38"/>
        <v>2081.788310643974</v>
      </c>
      <c r="AO71">
        <f t="shared" si="39"/>
        <v>-4999.1602876504558</v>
      </c>
      <c r="AQ71">
        <f t="shared" si="23"/>
        <v>7.2992700729927007</v>
      </c>
      <c r="AR71">
        <f t="shared" si="24"/>
        <v>-270.07299270072991</v>
      </c>
      <c r="AT71">
        <f t="shared" si="52"/>
        <v>-681114.272892865</v>
      </c>
      <c r="AU71">
        <f t="shared" si="53"/>
        <v>-2213404.8412418836</v>
      </c>
      <c r="AV71">
        <f t="shared" si="42"/>
        <v>-1.8693227573600417</v>
      </c>
      <c r="AW71">
        <f t="shared" si="25"/>
        <v>-1323960.5540631553</v>
      </c>
      <c r="AX71">
        <f t="shared" si="26"/>
        <v>-617728.27756628545</v>
      </c>
      <c r="AY71">
        <f t="shared" si="50"/>
        <v>-2.7050399128834561</v>
      </c>
      <c r="BA71">
        <f t="shared" si="27"/>
        <v>1.5851233191608245</v>
      </c>
      <c r="BB71">
        <f t="shared" si="43"/>
        <v>4.001261100762501</v>
      </c>
      <c r="BC71">
        <f t="shared" si="44"/>
        <v>0.83571715552341441</v>
      </c>
      <c r="BD71">
        <f t="shared" si="28"/>
        <v>-132.11693406711572</v>
      </c>
      <c r="BF71">
        <f t="shared" si="29"/>
        <v>5.748829300663286</v>
      </c>
      <c r="BG71">
        <f t="shared" si="30"/>
        <v>-117.6449973929886</v>
      </c>
      <c r="BH71">
        <f t="shared" si="45"/>
        <v>62.3550026070114</v>
      </c>
      <c r="BI71">
        <f t="shared" si="46"/>
        <v>62.3550026070114</v>
      </c>
      <c r="BJ71">
        <f t="shared" si="31"/>
        <v>0</v>
      </c>
      <c r="BK71">
        <f t="shared" si="47"/>
        <v>0</v>
      </c>
      <c r="BM71">
        <f t="shared" si="48"/>
        <v>1.7475681999007859</v>
      </c>
      <c r="BN71">
        <f t="shared" si="32"/>
        <v>-165.52806332587286</v>
      </c>
      <c r="BQ71" s="56">
        <f t="shared" si="49"/>
        <v>20.903221901047637</v>
      </c>
      <c r="BR71" s="59"/>
      <c r="BS71" s="59"/>
      <c r="BT71" s="59">
        <v>407.38</v>
      </c>
      <c r="BU71" s="59">
        <v>22.7593</v>
      </c>
      <c r="BV71" s="59">
        <v>-265.7319</v>
      </c>
      <c r="BW71" s="61"/>
      <c r="BY71" s="59"/>
      <c r="BZ71" s="59"/>
      <c r="CA71" s="59"/>
      <c r="CC71" s="59"/>
    </row>
    <row r="72" spans="1:81" x14ac:dyDescent="0.25">
      <c r="A72">
        <f t="shared" si="54"/>
        <v>19000</v>
      </c>
      <c r="B72">
        <f t="shared" si="33"/>
        <v>19</v>
      </c>
      <c r="C72">
        <f t="shared" si="0"/>
        <v>1.0123399514383811</v>
      </c>
      <c r="D72">
        <f t="shared" si="1"/>
        <v>0.15629701292240622</v>
      </c>
      <c r="F72">
        <f t="shared" si="2"/>
        <v>7.6096964779223564E-2</v>
      </c>
      <c r="G72">
        <f t="shared" si="3"/>
        <v>9.7302419894601686E-2</v>
      </c>
      <c r="H72">
        <f t="shared" si="4"/>
        <v>-3.0442902301053985</v>
      </c>
      <c r="J72">
        <f t="shared" si="5"/>
        <v>15</v>
      </c>
      <c r="M72">
        <f t="shared" si="6"/>
        <v>7.8637051142267808E-2</v>
      </c>
      <c r="N72">
        <f t="shared" si="7"/>
        <v>-1.5707963250000001</v>
      </c>
      <c r="O72">
        <f t="shared" si="8"/>
        <v>4.9608601287570817</v>
      </c>
      <c r="P72">
        <f t="shared" si="9"/>
        <v>1.3678276551156199</v>
      </c>
      <c r="Q72">
        <f t="shared" si="10"/>
        <v>4.2323730474496131</v>
      </c>
      <c r="R72">
        <f t="shared" si="11"/>
        <v>1.3322667740939889</v>
      </c>
      <c r="S72">
        <f t="shared" si="12"/>
        <v>0.98818844071357947</v>
      </c>
      <c r="T72">
        <f t="shared" si="13"/>
        <v>-0.15384982911637024</v>
      </c>
      <c r="U72">
        <f t="shared" si="14"/>
        <v>0.99276227807495343</v>
      </c>
      <c r="V72">
        <f t="shared" si="15"/>
        <v>-0.12038662371733562</v>
      </c>
      <c r="X72">
        <f t="shared" si="34"/>
        <v>5.4447629636358288</v>
      </c>
      <c r="Y72">
        <f t="shared" si="16"/>
        <v>-116.47839889276416</v>
      </c>
      <c r="Z72">
        <f t="shared" si="35"/>
        <v>63.521601107235838</v>
      </c>
      <c r="AC72">
        <v>1</v>
      </c>
      <c r="AD72">
        <f t="shared" si="17"/>
        <v>4.8590259535314004</v>
      </c>
      <c r="AE72">
        <f t="shared" si="18"/>
        <v>-6.9608765811287108E-5</v>
      </c>
      <c r="AF72">
        <f t="shared" si="19"/>
        <v>5.7541410977400001E-4</v>
      </c>
      <c r="AG72">
        <f t="shared" si="36"/>
        <v>8115.4025164366658</v>
      </c>
      <c r="AH72">
        <f t="shared" si="37"/>
        <v>-2719.6120613823709</v>
      </c>
      <c r="AJ72">
        <f t="shared" si="20"/>
        <v>22100</v>
      </c>
      <c r="AK72">
        <f t="shared" si="21"/>
        <v>3427.1640502035302</v>
      </c>
      <c r="AL72">
        <v>1</v>
      </c>
      <c r="AM72">
        <f t="shared" si="22"/>
        <v>4.1125395575943005</v>
      </c>
      <c r="AN72">
        <f t="shared" si="38"/>
        <v>2020.5652252223877</v>
      </c>
      <c r="AO72">
        <f t="shared" si="39"/>
        <v>-4882.4903672229775</v>
      </c>
      <c r="AQ72">
        <f t="shared" si="23"/>
        <v>6.9204152249134951</v>
      </c>
      <c r="AR72">
        <f t="shared" si="24"/>
        <v>-262.97577854671277</v>
      </c>
      <c r="AT72">
        <f t="shared" si="52"/>
        <v>-659030.14405600983</v>
      </c>
      <c r="AU72">
        <f t="shared" si="53"/>
        <v>-2152975.1396953333</v>
      </c>
      <c r="AV72">
        <f t="shared" si="42"/>
        <v>-1.8678419049385866</v>
      </c>
      <c r="AW72">
        <f t="shared" si="25"/>
        <v>-1259098.9535521201</v>
      </c>
      <c r="AX72">
        <f t="shared" si="26"/>
        <v>-583724.07399709627</v>
      </c>
      <c r="AY72">
        <f t="shared" si="50"/>
        <v>-2.7074829085011842</v>
      </c>
      <c r="BA72">
        <f t="shared" si="27"/>
        <v>1.6223795563166596</v>
      </c>
      <c r="BB72">
        <f t="shared" si="43"/>
        <v>4.2030493024385578</v>
      </c>
      <c r="BC72">
        <f t="shared" si="44"/>
        <v>0.83964100356259763</v>
      </c>
      <c r="BD72">
        <f t="shared" si="28"/>
        <v>-131.89211413476295</v>
      </c>
      <c r="BF72">
        <f t="shared" si="29"/>
        <v>5.4587487060938731</v>
      </c>
      <c r="BG72">
        <f t="shared" si="30"/>
        <v>-117.36193693083379</v>
      </c>
      <c r="BH72">
        <f t="shared" si="45"/>
        <v>62.638063069166208</v>
      </c>
      <c r="BI72">
        <f t="shared" si="46"/>
        <v>62.638063069166208</v>
      </c>
      <c r="BJ72">
        <f t="shared" si="31"/>
        <v>0</v>
      </c>
      <c r="BK72">
        <f t="shared" si="47"/>
        <v>0</v>
      </c>
      <c r="BM72">
        <f t="shared" si="48"/>
        <v>1.2556994036553144</v>
      </c>
      <c r="BN72">
        <f t="shared" si="32"/>
        <v>-165.46982279607082</v>
      </c>
      <c r="BQ72" s="56">
        <f t="shared" si="49"/>
        <v>21.105010102723693</v>
      </c>
      <c r="BR72" s="59"/>
      <c r="BS72" s="59"/>
      <c r="BT72" s="59">
        <v>416.86900000000003</v>
      </c>
      <c r="BU72" s="59">
        <v>22.4206</v>
      </c>
      <c r="BV72" s="59">
        <v>-265.24939999999998</v>
      </c>
      <c r="BW72" s="61"/>
      <c r="BY72" s="59"/>
      <c r="BZ72" s="59"/>
      <c r="CA72" s="59"/>
      <c r="CC72" s="59"/>
    </row>
    <row r="73" spans="1:81" x14ac:dyDescent="0.25">
      <c r="A73">
        <f t="shared" si="54"/>
        <v>19500</v>
      </c>
      <c r="B73">
        <f t="shared" si="33"/>
        <v>19.5</v>
      </c>
      <c r="C73">
        <f t="shared" ref="C73:C136" si="55">SQRT((A73/Fesr)^2+1)</f>
        <v>1.0129937466617396</v>
      </c>
      <c r="D73">
        <f t="shared" ref="D73:D136" si="56">ATAN(A73/Fesr)</f>
        <v>0.16034083320518536</v>
      </c>
      <c r="F73">
        <f t="shared" ref="F73:F136" si="57">(Ro/(Ro+Rdcr))/SQRT((A73/(Q*Fo))^2+(1-(A73^2/Fo^2))^2)</f>
        <v>7.1984092994992963E-2</v>
      </c>
      <c r="G73">
        <f t="shared" ref="G73:G136" si="58">-ATAN(A73*Fo/(Q*(Fo^2-A73^2)))</f>
        <v>9.445704079951095E-2</v>
      </c>
      <c r="H73">
        <f t="shared" ref="H73:H136" si="59">IF(G73&gt;0,G73-Pi,G73)</f>
        <v>-3.0471356092004891</v>
      </c>
      <c r="J73">
        <f t="shared" ref="J73:J136" si="60">Vin/Vramp</f>
        <v>15</v>
      </c>
      <c r="M73">
        <f t="shared" ref="M73:M136" si="61">1/(2*Pi*_Rfb1*(Cc1ea_u+Cc2ea_u)*A73)</f>
        <v>7.6620716497594277E-2</v>
      </c>
      <c r="N73">
        <f t="shared" ref="N73:N136" si="62">-Pi/2</f>
        <v>-1.5707963250000001</v>
      </c>
      <c r="O73">
        <f t="shared" ref="O73:O136" si="63">SQRT(1+(A73/Fz1_u)^2)</f>
        <v>5.0861697096374057</v>
      </c>
      <c r="P73">
        <f t="shared" ref="P73:P136" si="64">ATAN2(Fz1_u,A73)</f>
        <v>1.3728954572687087</v>
      </c>
      <c r="Q73">
        <f t="shared" ref="Q73:Q136" si="65">SQRT(1+(A73/Fz2_u)^2)</f>
        <v>4.3376089186221964</v>
      </c>
      <c r="R73">
        <f t="shared" ref="R73:R136" si="66">ATAN2(Fz2_u,A73)</f>
        <v>1.3381619215684246</v>
      </c>
      <c r="S73">
        <f t="shared" ref="S73:S136" si="67">1/SQRT(1+(A73/Fp1_u)^2)</f>
        <v>0.98757029560511556</v>
      </c>
      <c r="T73">
        <f t="shared" ref="T73:T136" si="68">-ATAN2(Fp1_u,A73)</f>
        <v>-0.15783244076276651</v>
      </c>
      <c r="U73">
        <f t="shared" ref="U73:U136" si="69">1/SQRT(1+(A73/Fp2_u)^2)</f>
        <v>0.99238073307404451</v>
      </c>
      <c r="V73">
        <f t="shared" ref="V73:V136" si="70">-ATAN2(Fp2_u,A73)</f>
        <v>-0.12352297090918124</v>
      </c>
      <c r="X73">
        <f t="shared" si="34"/>
        <v>5.1633670417118989</v>
      </c>
      <c r="Y73">
        <f t="shared" ref="Y73:Y136" si="71">(180/Pi)*(D73+H73+N73+P73+R73+T73+V73)</f>
        <v>-116.18948882167176</v>
      </c>
      <c r="Z73">
        <f t="shared" si="35"/>
        <v>63.810511178328241</v>
      </c>
      <c r="AC73">
        <v>1</v>
      </c>
      <c r="AD73">
        <f t="shared" ref="AD73:AD136" si="72">Rcea1_u*Cc1ea_u*A73*2*Pi</f>
        <v>4.9868950575716999</v>
      </c>
      <c r="AE73">
        <f t="shared" ref="AE73:AE136" si="73">-Rcea1_u*Cc1ea_u*Cc2ea_u*(A73*2*Pi)^2</f>
        <v>-7.3320590581002568E-5</v>
      </c>
      <c r="AF73">
        <f t="shared" ref="AF73:AF136" si="74">(Cc2ea_u+Cc1ea_u)*A73*2*Pi</f>
        <v>5.9055658634699993E-4</v>
      </c>
      <c r="AG73">
        <f t="shared" si="36"/>
        <v>8109.1657842077329</v>
      </c>
      <c r="AH73">
        <f t="shared" si="37"/>
        <v>-2700.111828878039</v>
      </c>
      <c r="AJ73">
        <f t="shared" ref="AJ73:AJ136" si="75">_Rfb1</f>
        <v>22100</v>
      </c>
      <c r="AK73">
        <f t="shared" ref="AK73:AK136" si="76">_Rfb1*Rcea2_u*Cc3ea_u*A73*2*Pi</f>
        <v>3517.3525778404655</v>
      </c>
      <c r="AL73">
        <v>1</v>
      </c>
      <c r="AM73">
        <f t="shared" ref="AM73:AM136" si="77">(_Rfb1+Rcea2_u)*Cc3ea_u*A73*2*Pi</f>
        <v>4.2207642827941507</v>
      </c>
      <c r="AN73">
        <f t="shared" si="38"/>
        <v>1963.6571064782286</v>
      </c>
      <c r="AO73">
        <f t="shared" si="39"/>
        <v>-4770.7812008377523</v>
      </c>
      <c r="AQ73">
        <f t="shared" ref="AQ73:AQ136" si="78">Eadcg/(1+(Eadcg*A73/GBP)^2)</f>
        <v>6.5703022339027592</v>
      </c>
      <c r="AR73">
        <f t="shared" ref="AR73:AR136" si="79">-(A73*Eadcg*Eadcg/GBP)/(1+(Eadcg*A73/GBP)^2)</f>
        <v>-256.2417871222076</v>
      </c>
      <c r="AT73">
        <f t="shared" si="52"/>
        <v>-638601.81039445323</v>
      </c>
      <c r="AU73">
        <f t="shared" si="53"/>
        <v>-2095647.6833967122</v>
      </c>
      <c r="AV73">
        <f t="shared" si="42"/>
        <v>-1.8665847587085882</v>
      </c>
      <c r="AW73">
        <f t="shared" si="25"/>
        <v>-1198759.009652409</v>
      </c>
      <c r="AX73">
        <f t="shared" si="26"/>
        <v>-552686.0921472254</v>
      </c>
      <c r="AY73">
        <f t="shared" si="50"/>
        <v>-2.7095888391927225</v>
      </c>
      <c r="BA73">
        <f t="shared" ref="BA73:BA136" si="80">SQRT(AT73^2+AU73^2)/SQRT(AW73^2+AX73^2)</f>
        <v>1.6596472602596419</v>
      </c>
      <c r="BB73">
        <f t="shared" si="43"/>
        <v>4.4003158668087377</v>
      </c>
      <c r="BC73">
        <f t="shared" si="44"/>
        <v>0.84300408048413433</v>
      </c>
      <c r="BD73">
        <f t="shared" ref="BD73:BD136" si="81">BC73*180/Pi-180</f>
        <v>-131.69942402076089</v>
      </c>
      <c r="BF73">
        <f t="shared" ref="BF73:BF136" si="82">20*LOG(BA73*J73*F73*C73)</f>
        <v>5.1790070737866376</v>
      </c>
      <c r="BG73">
        <f t="shared" ref="BG73:BG136" si="83">(180/Pi)*(D73+H73+BC73)</f>
        <v>-117.10058119470403</v>
      </c>
      <c r="BH73">
        <f t="shared" si="45"/>
        <v>62.899418805295966</v>
      </c>
      <c r="BI73">
        <f t="shared" si="46"/>
        <v>62.899418805295966</v>
      </c>
      <c r="BJ73">
        <f t="shared" ref="BJ73:BJ136" si="84">SUM((BF74&lt;0)*(BF73&gt;0))*A73</f>
        <v>0</v>
      </c>
      <c r="BK73">
        <f t="shared" si="47"/>
        <v>0</v>
      </c>
      <c r="BM73">
        <f t="shared" si="48"/>
        <v>0.7786912069779004</v>
      </c>
      <c r="BN73">
        <f t="shared" ref="BN73:BN136" si="85">(H73+D73)*180/Pi</f>
        <v>-165.40115717394315</v>
      </c>
      <c r="BQ73" s="56">
        <f t="shared" si="49"/>
        <v>21.302276667093874</v>
      </c>
      <c r="BR73" s="59"/>
      <c r="BS73" s="59"/>
      <c r="BT73" s="59">
        <v>426.58</v>
      </c>
      <c r="BU73" s="59">
        <v>22.373699999999999</v>
      </c>
      <c r="BV73" s="59">
        <v>-265.14060000000001</v>
      </c>
      <c r="BW73" s="61"/>
      <c r="BY73" s="59"/>
      <c r="BZ73" s="59"/>
      <c r="CA73" s="59"/>
      <c r="CC73" s="59"/>
    </row>
    <row r="74" spans="1:81" x14ac:dyDescent="0.25">
      <c r="A74">
        <f t="shared" si="54"/>
        <v>20000</v>
      </c>
      <c r="B74">
        <f t="shared" ref="B74:B137" si="86">A74/1000</f>
        <v>20</v>
      </c>
      <c r="C74">
        <f t="shared" si="55"/>
        <v>1.0136640853214895</v>
      </c>
      <c r="D74">
        <f t="shared" si="56"/>
        <v>0.16437937107867232</v>
      </c>
      <c r="F74">
        <f t="shared" si="57"/>
        <v>6.8202057191148718E-2</v>
      </c>
      <c r="G74">
        <f t="shared" si="58"/>
        <v>9.178137670859432E-2</v>
      </c>
      <c r="H74">
        <f t="shared" si="59"/>
        <v>-3.049811273291406</v>
      </c>
      <c r="J74">
        <f t="shared" si="60"/>
        <v>15</v>
      </c>
      <c r="M74">
        <f t="shared" si="61"/>
        <v>7.4705198585154425E-2</v>
      </c>
      <c r="N74">
        <f t="shared" si="62"/>
        <v>-1.5707963250000001</v>
      </c>
      <c r="O74">
        <f t="shared" si="63"/>
        <v>5.2116036331354385</v>
      </c>
      <c r="P74">
        <f t="shared" si="64"/>
        <v>1.377719432633179</v>
      </c>
      <c r="Q74">
        <f t="shared" si="65"/>
        <v>4.4429883897364491</v>
      </c>
      <c r="R74">
        <f t="shared" si="66"/>
        <v>1.343777612566508</v>
      </c>
      <c r="S74">
        <f t="shared" si="67"/>
        <v>0.98693729883890091</v>
      </c>
      <c r="T74">
        <f t="shared" si="68"/>
        <v>-0.16181001001209488</v>
      </c>
      <c r="U74">
        <f t="shared" si="69"/>
        <v>0.99198973465625551</v>
      </c>
      <c r="V74">
        <f t="shared" si="70"/>
        <v>-0.12665687746405793</v>
      </c>
      <c r="X74">
        <f t="shared" ref="X74:X137" si="87">20*LOG(C74*J74*O74*Q74*F74*M74*S74*U74)</f>
        <v>4.891538290440316</v>
      </c>
      <c r="Y74">
        <f t="shared" si="71"/>
        <v>-115.92071063320567</v>
      </c>
      <c r="Z74">
        <f t="shared" ref="Z74:Z137" si="88">Y74+180</f>
        <v>64.079289366794328</v>
      </c>
      <c r="AC74">
        <v>1</v>
      </c>
      <c r="AD74">
        <f t="shared" si="72"/>
        <v>5.1147641616120003</v>
      </c>
      <c r="AE74">
        <f t="shared" si="73"/>
        <v>-7.7128826383697635E-5</v>
      </c>
      <c r="AF74">
        <f t="shared" si="74"/>
        <v>6.0569906291999996E-4</v>
      </c>
      <c r="AG74">
        <f t="shared" ref="AG74:AG137" si="89">AC74*AE74/(AE74^2+AF74^2)+AD74*AF74/(AE74^2+AF74^2)</f>
        <v>8102.7770137233374</v>
      </c>
      <c r="AH74">
        <f t="shared" ref="AH74:AH137" si="90">AD74*AE74/(AE74^2+AF74^2)-AC74*AF74/(AE74^2+AF74^2)</f>
        <v>-2682.7805770138793</v>
      </c>
      <c r="AJ74">
        <f t="shared" si="75"/>
        <v>22100</v>
      </c>
      <c r="AK74">
        <f t="shared" si="76"/>
        <v>3607.5411054774004</v>
      </c>
      <c r="AL74">
        <v>1</v>
      </c>
      <c r="AM74">
        <f t="shared" si="77"/>
        <v>4.3289890079940001</v>
      </c>
      <c r="AN74">
        <f t="shared" ref="AN74:AN137" si="91">AJ74*AL74/(AL74^2+AM74^2)+AK74*AM74/(AL74^2+AM74^2)</f>
        <v>1910.6751345084413</v>
      </c>
      <c r="AO74">
        <f t="shared" ref="AO74:AO137" si="92">AK74*AL74/(AL74^2+AM74^2)-AJ74*AM74/(AL74^2+AM74^2)</f>
        <v>-4663.7505496570984</v>
      </c>
      <c r="AQ74">
        <f t="shared" si="78"/>
        <v>6.2460961898813245</v>
      </c>
      <c r="AR74">
        <f t="shared" si="79"/>
        <v>-249.84384759525295</v>
      </c>
      <c r="AT74">
        <f t="shared" si="52"/>
        <v>-619665.49698208517</v>
      </c>
      <c r="AU74">
        <f t="shared" si="53"/>
        <v>-2041185.8908553864</v>
      </c>
      <c r="AV74">
        <f t="shared" ref="AV74:AV137" si="93">ATAN2(AT74,AU74)</f>
        <v>-1.865535304801752</v>
      </c>
      <c r="AW74">
        <f t="shared" ref="AW74:AW137" si="94">AG74-AH74*AO74/_Rfb2+AG74*AN74/_Rfb2+AN74-AO74*AR74+AQ74*AN74</f>
        <v>-1142539.337999101</v>
      </c>
      <c r="AX74">
        <f t="shared" ref="AX74:AX137" si="95">AH74+AH74*AN74/_Rfb2+AG74*AO74/_Rfb2+AO74+AO74*AQ74+AN74*AR74</f>
        <v>-524284.7260014434</v>
      </c>
      <c r="AY74">
        <f t="shared" si="50"/>
        <v>-2.7113813968241582</v>
      </c>
      <c r="BA74">
        <f t="shared" si="80"/>
        <v>1.6969156557444627</v>
      </c>
      <c r="BB74">
        <f t="shared" ref="BB74:BB137" si="96">20*LOG(BA74)</f>
        <v>4.5932051297349181</v>
      </c>
      <c r="BC74">
        <f t="shared" ref="BC74:BC137" si="97">AV74-AY74</f>
        <v>0.84584609202240624</v>
      </c>
      <c r="BD74">
        <f t="shared" si="81"/>
        <v>-131.53658875410434</v>
      </c>
      <c r="BF74">
        <f t="shared" si="82"/>
        <v>4.908860991485005</v>
      </c>
      <c r="BG74">
        <f t="shared" si="83"/>
        <v>-116.85965901220797</v>
      </c>
      <c r="BH74">
        <f t="shared" ref="BH74:BH137" si="98">IF(BG74&gt;180,BG74-180,BG74+180)</f>
        <v>63.14034098779203</v>
      </c>
      <c r="BI74">
        <f t="shared" ref="BI74:BI137" si="99">IF(BH74&gt;180,BH74-360,BH74)</f>
        <v>63.14034098779203</v>
      </c>
      <c r="BJ74">
        <f t="shared" si="84"/>
        <v>0</v>
      </c>
      <c r="BK74">
        <f t="shared" ref="BK74:BK137" si="100">IF(BJ74&gt;0,BI74,0)</f>
        <v>0</v>
      </c>
      <c r="BM74">
        <f t="shared" ref="BM74:BM137" si="101">20*LOG(J74*F74*C74)</f>
        <v>0.3156558617500852</v>
      </c>
      <c r="BN74">
        <f t="shared" si="85"/>
        <v>-165.32307025810366</v>
      </c>
      <c r="BQ74" s="56">
        <f t="shared" ref="BQ74:BQ137" si="102">20*LOG(BA74*7)</f>
        <v>21.495165930020054</v>
      </c>
      <c r="BR74" s="59"/>
      <c r="BS74" s="59"/>
      <c r="BT74" s="59">
        <v>436.51600000000002</v>
      </c>
      <c r="BU74" s="59">
        <v>22.074100000000001</v>
      </c>
      <c r="BV74" s="59">
        <v>-264.9151</v>
      </c>
      <c r="BW74" s="61"/>
      <c r="BY74" s="59"/>
      <c r="BZ74" s="59"/>
      <c r="CA74" s="59"/>
      <c r="CC74" s="59"/>
    </row>
    <row r="75" spans="1:81" x14ac:dyDescent="0.25">
      <c r="A75">
        <f t="shared" si="54"/>
        <v>20500</v>
      </c>
      <c r="B75">
        <f t="shared" si="86"/>
        <v>20.5</v>
      </c>
      <c r="C75">
        <f t="shared" si="55"/>
        <v>1.0143509346192046</v>
      </c>
      <c r="D75">
        <f t="shared" si="56"/>
        <v>0.16841250541328598</v>
      </c>
      <c r="F75">
        <f t="shared" si="57"/>
        <v>6.4715723043524409E-2</v>
      </c>
      <c r="G75">
        <f t="shared" si="58"/>
        <v>8.9260170036864858E-2</v>
      </c>
      <c r="H75">
        <f t="shared" si="59"/>
        <v>-3.0523324799631353</v>
      </c>
      <c r="J75">
        <f t="shared" si="60"/>
        <v>15</v>
      </c>
      <c r="M75">
        <f t="shared" si="61"/>
        <v>7.2883120570882365E-2</v>
      </c>
      <c r="N75">
        <f t="shared" si="62"/>
        <v>-1.5707963250000001</v>
      </c>
      <c r="O75">
        <f t="shared" si="63"/>
        <v>5.337153132347253</v>
      </c>
      <c r="P75">
        <f t="shared" si="64"/>
        <v>1.3823165554870327</v>
      </c>
      <c r="Q75">
        <f t="shared" si="65"/>
        <v>4.5485014800529751</v>
      </c>
      <c r="R75">
        <f t="shared" si="66"/>
        <v>1.3491329279087632</v>
      </c>
      <c r="S75">
        <f t="shared" si="67"/>
        <v>0.98628953898226912</v>
      </c>
      <c r="T75">
        <f t="shared" si="68"/>
        <v>-0.1657824208185304</v>
      </c>
      <c r="U75">
        <f t="shared" si="69"/>
        <v>0.99158931701768349</v>
      </c>
      <c r="V75">
        <f t="shared" si="70"/>
        <v>-0.12978828474421672</v>
      </c>
      <c r="X75">
        <f t="shared" si="87"/>
        <v>4.6286105942069282</v>
      </c>
      <c r="Y75">
        <f t="shared" si="71"/>
        <v>-115.67086964919658</v>
      </c>
      <c r="Z75">
        <f t="shared" si="88"/>
        <v>64.329130350803425</v>
      </c>
      <c r="AC75">
        <v>1</v>
      </c>
      <c r="AD75">
        <f t="shared" si="72"/>
        <v>5.2426332656523007</v>
      </c>
      <c r="AE75">
        <f t="shared" si="73"/>
        <v>-8.1033473219372333E-5</v>
      </c>
      <c r="AF75">
        <f t="shared" si="74"/>
        <v>6.2084153949299998E-4</v>
      </c>
      <c r="AG75">
        <f t="shared" si="89"/>
        <v>8096.236946013747</v>
      </c>
      <c r="AH75">
        <f t="shared" si="90"/>
        <v>-2667.4539224532191</v>
      </c>
      <c r="AJ75">
        <f t="shared" si="75"/>
        <v>22100</v>
      </c>
      <c r="AK75">
        <f t="shared" si="76"/>
        <v>3697.7296331143357</v>
      </c>
      <c r="AL75">
        <v>1</v>
      </c>
      <c r="AM75">
        <f t="shared" si="77"/>
        <v>4.4372137331938504</v>
      </c>
      <c r="AN75">
        <f t="shared" si="91"/>
        <v>1861.2724951640478</v>
      </c>
      <c r="AO75">
        <f t="shared" si="92"/>
        <v>-4561.1342436435607</v>
      </c>
      <c r="AQ75">
        <f t="shared" si="78"/>
        <v>5.9453032104637336</v>
      </c>
      <c r="AR75">
        <f t="shared" si="79"/>
        <v>-243.75743162901307</v>
      </c>
      <c r="AT75">
        <f t="shared" si="52"/>
        <v>-602077.13361812267</v>
      </c>
      <c r="AU75">
        <f t="shared" si="53"/>
        <v>-1989376.7461891607</v>
      </c>
      <c r="AV75">
        <f t="shared" si="93"/>
        <v>-1.8646789736742586</v>
      </c>
      <c r="AW75">
        <f t="shared" si="94"/>
        <v>-1090081.0593355589</v>
      </c>
      <c r="AX75">
        <f t="shared" si="95"/>
        <v>-498233.79693098157</v>
      </c>
      <c r="AY75">
        <f t="shared" ref="AY75:AY138" si="103">ATAN2(AW75,AX75)</f>
        <v>-2.71288214018784</v>
      </c>
      <c r="BA75">
        <f t="shared" si="80"/>
        <v>1.734174772377282</v>
      </c>
      <c r="BB75">
        <f t="shared" si="96"/>
        <v>4.7818572821132772</v>
      </c>
      <c r="BC75">
        <f t="shared" si="97"/>
        <v>0.84820316651358141</v>
      </c>
      <c r="BD75">
        <f t="shared" si="81"/>
        <v>-131.40153833360773</v>
      </c>
      <c r="BF75">
        <f t="shared" si="82"/>
        <v>4.6476432919476238</v>
      </c>
      <c r="BG75">
        <f t="shared" si="83"/>
        <v>-116.63798151760005</v>
      </c>
      <c r="BH75">
        <f t="shared" si="98"/>
        <v>63.362018482399947</v>
      </c>
      <c r="BI75">
        <f t="shared" si="99"/>
        <v>63.362018482399947</v>
      </c>
      <c r="BJ75">
        <f t="shared" si="84"/>
        <v>0</v>
      </c>
      <c r="BK75">
        <f t="shared" si="100"/>
        <v>0</v>
      </c>
      <c r="BM75">
        <f t="shared" si="101"/>
        <v>-0.13421399016565358</v>
      </c>
      <c r="BN75">
        <f t="shared" si="85"/>
        <v>-165.23644318399232</v>
      </c>
      <c r="BQ75" s="56">
        <f t="shared" si="102"/>
        <v>21.683818082398414</v>
      </c>
      <c r="BR75" s="59"/>
      <c r="BS75" s="59"/>
      <c r="BT75" s="59">
        <v>446.68400000000003</v>
      </c>
      <c r="BU75" s="59">
        <v>21.761099999999999</v>
      </c>
      <c r="BV75" s="59">
        <v>-265.3082</v>
      </c>
      <c r="BW75" s="61"/>
      <c r="BY75" s="59"/>
      <c r="BZ75" s="59"/>
      <c r="CA75" s="59"/>
      <c r="CC75" s="59"/>
    </row>
    <row r="76" spans="1:81" x14ac:dyDescent="0.25">
      <c r="A76">
        <f t="shared" si="54"/>
        <v>21000</v>
      </c>
      <c r="B76">
        <f t="shared" si="86"/>
        <v>21</v>
      </c>
      <c r="C76">
        <f t="shared" si="55"/>
        <v>1.0150542610384896</v>
      </c>
      <c r="D76">
        <f t="shared" si="56"/>
        <v>0.17244011610648602</v>
      </c>
      <c r="F76">
        <f t="shared" si="57"/>
        <v>6.1494565213878596E-2</v>
      </c>
      <c r="G76">
        <f t="shared" si="58"/>
        <v>8.6879979383513495E-2</v>
      </c>
      <c r="H76">
        <f t="shared" si="59"/>
        <v>-3.0547126706164867</v>
      </c>
      <c r="J76">
        <f t="shared" si="60"/>
        <v>15</v>
      </c>
      <c r="M76">
        <f t="shared" si="61"/>
        <v>7.1147808176337535E-2</v>
      </c>
      <c r="N76">
        <f t="shared" si="62"/>
        <v>-1.5707963250000001</v>
      </c>
      <c r="O76">
        <f t="shared" si="63"/>
        <v>5.4628102385927537</v>
      </c>
      <c r="P76">
        <f t="shared" si="64"/>
        <v>1.3867022788671244</v>
      </c>
      <c r="Q76">
        <f t="shared" si="65"/>
        <v>4.654139101815125</v>
      </c>
      <c r="R76">
        <f t="shared" si="66"/>
        <v>1.3542452791477149</v>
      </c>
      <c r="S76">
        <f t="shared" si="67"/>
        <v>0.98562710635155326</v>
      </c>
      <c r="T76">
        <f t="shared" si="68"/>
        <v>-0.16974955808821393</v>
      </c>
      <c r="U76">
        <f t="shared" si="69"/>
        <v>0.99117951510328317</v>
      </c>
      <c r="V76">
        <f t="shared" si="70"/>
        <v>-0.13291713440144784</v>
      </c>
      <c r="X76">
        <f t="shared" si="87"/>
        <v>4.3739841796641379</v>
      </c>
      <c r="Y76">
        <f t="shared" si="71"/>
        <v>-115.43884994678356</v>
      </c>
      <c r="Z76">
        <f t="shared" si="88"/>
        <v>64.561150053216437</v>
      </c>
      <c r="AC76">
        <v>1</v>
      </c>
      <c r="AD76">
        <f t="shared" si="72"/>
        <v>5.3705023696926002</v>
      </c>
      <c r="AE76">
        <f t="shared" si="73"/>
        <v>-8.5034531088026651E-5</v>
      </c>
      <c r="AF76">
        <f t="shared" si="74"/>
        <v>6.359840160659999E-4</v>
      </c>
      <c r="AG76">
        <f t="shared" si="89"/>
        <v>8089.546337824846</v>
      </c>
      <c r="AH76">
        <f t="shared" si="90"/>
        <v>-2653.9830198761415</v>
      </c>
      <c r="AJ76">
        <f t="shared" si="75"/>
        <v>22100</v>
      </c>
      <c r="AK76">
        <f t="shared" si="76"/>
        <v>3787.9181607512705</v>
      </c>
      <c r="AL76">
        <v>1</v>
      </c>
      <c r="AM76">
        <f t="shared" si="77"/>
        <v>4.5454384583937006</v>
      </c>
      <c r="AN76">
        <f t="shared" si="91"/>
        <v>1815.1391588412807</v>
      </c>
      <c r="AO76">
        <f t="shared" si="92"/>
        <v>-4462.6851791822801</v>
      </c>
      <c r="AQ76">
        <f t="shared" si="78"/>
        <v>5.6657223796033991</v>
      </c>
      <c r="AR76">
        <f t="shared" si="79"/>
        <v>-237.96033994334277</v>
      </c>
      <c r="AT76">
        <f t="shared" si="52"/>
        <v>-585709.57788653311</v>
      </c>
      <c r="AU76">
        <f t="shared" si="53"/>
        <v>-1940027.9275270235</v>
      </c>
      <c r="AV76">
        <f t="shared" si="93"/>
        <v>-1.8640024829390467</v>
      </c>
      <c r="AW76">
        <f t="shared" si="94"/>
        <v>-1041062.6562360293</v>
      </c>
      <c r="AX76">
        <f t="shared" si="95"/>
        <v>-474284.01952161302</v>
      </c>
      <c r="AY76">
        <f t="shared" si="103"/>
        <v>-2.7141107267452056</v>
      </c>
      <c r="BA76">
        <f t="shared" si="80"/>
        <v>1.7714153498709653</v>
      </c>
      <c r="BB76">
        <f t="shared" si="96"/>
        <v>4.9664080731263791</v>
      </c>
      <c r="BC76">
        <f t="shared" si="97"/>
        <v>0.8501082438061589</v>
      </c>
      <c r="BD76">
        <f t="shared" si="81"/>
        <v>-131.29238544497213</v>
      </c>
      <c r="BF76">
        <f t="shared" si="82"/>
        <v>4.3947531322291749</v>
      </c>
      <c r="BG76">
        <f t="shared" si="83"/>
        <v>-116.43443841348797</v>
      </c>
      <c r="BH76">
        <f t="shared" si="98"/>
        <v>63.565561586512032</v>
      </c>
      <c r="BI76">
        <f t="shared" si="99"/>
        <v>63.565561586512032</v>
      </c>
      <c r="BJ76">
        <f t="shared" si="84"/>
        <v>0</v>
      </c>
      <c r="BK76">
        <f t="shared" si="100"/>
        <v>0</v>
      </c>
      <c r="BM76">
        <f t="shared" si="101"/>
        <v>-0.57165494089720414</v>
      </c>
      <c r="BN76">
        <f t="shared" si="85"/>
        <v>-165.14205296851586</v>
      </c>
      <c r="BQ76" s="56">
        <f t="shared" si="102"/>
        <v>21.868368873411516</v>
      </c>
      <c r="BR76" s="59"/>
      <c r="BS76" s="59"/>
      <c r="BT76" s="59">
        <v>457.08800000000002</v>
      </c>
      <c r="BU76" s="59">
        <v>21.6126</v>
      </c>
      <c r="BV76" s="59">
        <v>-265.65139999999997</v>
      </c>
      <c r="BW76" s="61"/>
      <c r="BY76" s="59"/>
      <c r="BZ76" s="59"/>
      <c r="CA76" s="59"/>
      <c r="CC76" s="59"/>
    </row>
    <row r="77" spans="1:81" x14ac:dyDescent="0.25">
      <c r="A77">
        <f t="shared" si="54"/>
        <v>21500</v>
      </c>
      <c r="B77">
        <f t="shared" si="86"/>
        <v>21.5</v>
      </c>
      <c r="C77">
        <f t="shared" si="55"/>
        <v>1.01577403035285</v>
      </c>
      <c r="D77">
        <f t="shared" si="56"/>
        <v>0.17646208410126055</v>
      </c>
      <c r="F77">
        <f t="shared" si="57"/>
        <v>5.8511951682255071E-2</v>
      </c>
      <c r="G77">
        <f t="shared" si="58"/>
        <v>8.4628913354803978E-2</v>
      </c>
      <c r="H77">
        <f t="shared" si="59"/>
        <v>-3.0569637366451961</v>
      </c>
      <c r="J77">
        <f t="shared" si="60"/>
        <v>15</v>
      </c>
      <c r="M77">
        <f t="shared" si="61"/>
        <v>6.9493207986190159E-2</v>
      </c>
      <c r="N77">
        <f t="shared" si="62"/>
        <v>-1.5707963250000001</v>
      </c>
      <c r="O77">
        <f t="shared" si="63"/>
        <v>5.5885676933503898</v>
      </c>
      <c r="P77">
        <f t="shared" si="64"/>
        <v>1.3908906992210213</v>
      </c>
      <c r="Q77">
        <f t="shared" si="65"/>
        <v>4.7598929637476157</v>
      </c>
      <c r="R77">
        <f t="shared" si="66"/>
        <v>1.3591305840393777</v>
      </c>
      <c r="S77">
        <f t="shared" si="67"/>
        <v>0.98495009297842495</v>
      </c>
      <c r="T77">
        <f t="shared" si="68"/>
        <v>-0.17371130769659487</v>
      </c>
      <c r="U77">
        <f t="shared" si="69"/>
        <v>0.99076036459859063</v>
      </c>
      <c r="V77">
        <f t="shared" si="70"/>
        <v>-0.13604336838311554</v>
      </c>
      <c r="X77">
        <f t="shared" si="87"/>
        <v>4.1271172296547922</v>
      </c>
      <c r="Y77">
        <f t="shared" si="71"/>
        <v>-115.22361012188657</v>
      </c>
      <c r="Z77">
        <f t="shared" si="88"/>
        <v>64.776389878113434</v>
      </c>
      <c r="AC77">
        <v>1</v>
      </c>
      <c r="AD77">
        <f t="shared" si="72"/>
        <v>5.4983714737328997</v>
      </c>
      <c r="AE77">
        <f t="shared" si="73"/>
        <v>-8.9131999989660587E-5</v>
      </c>
      <c r="AF77">
        <f t="shared" si="74"/>
        <v>6.5112649263900004E-4</v>
      </c>
      <c r="AG77">
        <f t="shared" si="89"/>
        <v>8082.7059614042664</v>
      </c>
      <c r="AH77">
        <f t="shared" si="90"/>
        <v>-2642.2327567957836</v>
      </c>
      <c r="AJ77">
        <f t="shared" si="75"/>
        <v>22100</v>
      </c>
      <c r="AK77">
        <f t="shared" si="76"/>
        <v>3878.1066883882058</v>
      </c>
      <c r="AL77">
        <v>1</v>
      </c>
      <c r="AM77">
        <f t="shared" si="77"/>
        <v>4.6536631835935509</v>
      </c>
      <c r="AN77">
        <f t="shared" si="91"/>
        <v>1771.9973843862942</v>
      </c>
      <c r="AO77">
        <f t="shared" si="92"/>
        <v>-4368.1723007543615</v>
      </c>
      <c r="AQ77">
        <f t="shared" si="78"/>
        <v>5.4054054054054053</v>
      </c>
      <c r="AR77">
        <f t="shared" si="79"/>
        <v>-232.43243243243242</v>
      </c>
      <c r="AT77">
        <f t="shared" si="52"/>
        <v>-570450.28422061855</v>
      </c>
      <c r="AU77">
        <f t="shared" si="53"/>
        <v>-1892965.3464712391</v>
      </c>
      <c r="AV77">
        <f t="shared" si="93"/>
        <v>-1.8634936999414247</v>
      </c>
      <c r="AW77">
        <f t="shared" si="94"/>
        <v>-995195.51834016468</v>
      </c>
      <c r="AX77">
        <f t="shared" si="95"/>
        <v>-452217.56360552728</v>
      </c>
      <c r="AY77">
        <f t="shared" si="103"/>
        <v>-2.7150851152948996</v>
      </c>
      <c r="BA77">
        <f t="shared" si="80"/>
        <v>1.8086287565457138</v>
      </c>
      <c r="BB77">
        <f t="shared" si="96"/>
        <v>5.1469886337177773</v>
      </c>
      <c r="BC77">
        <f t="shared" si="97"/>
        <v>0.85159141535347493</v>
      </c>
      <c r="BD77">
        <f t="shared" si="81"/>
        <v>-131.20740597491994</v>
      </c>
      <c r="BF77">
        <f t="shared" si="82"/>
        <v>4.149647608204095</v>
      </c>
      <c r="BG77">
        <f t="shared" si="83"/>
        <v>-116.24799373473289</v>
      </c>
      <c r="BH77">
        <f t="shared" si="98"/>
        <v>63.752006265267113</v>
      </c>
      <c r="BI77">
        <f t="shared" si="99"/>
        <v>63.752006265267113</v>
      </c>
      <c r="BJ77">
        <f t="shared" si="84"/>
        <v>0</v>
      </c>
      <c r="BK77">
        <f t="shared" si="100"/>
        <v>0</v>
      </c>
      <c r="BM77">
        <f t="shared" si="101"/>
        <v>-0.99734102551368176</v>
      </c>
      <c r="BN77">
        <f t="shared" si="85"/>
        <v>-165.04058775981295</v>
      </c>
      <c r="BQ77" s="56">
        <f t="shared" si="102"/>
        <v>22.048949434002914</v>
      </c>
      <c r="BR77" s="58"/>
      <c r="BS77" s="58"/>
      <c r="BT77" s="58">
        <v>467.73500000000001</v>
      </c>
      <c r="BU77" s="58">
        <v>21.3672</v>
      </c>
      <c r="BV77" s="58">
        <v>-265.05009999999999</v>
      </c>
      <c r="BW77" s="61"/>
      <c r="BY77" s="58"/>
      <c r="BZ77" s="58"/>
      <c r="CA77" s="58"/>
      <c r="CC77" s="58"/>
    </row>
    <row r="78" spans="1:81" x14ac:dyDescent="0.25">
      <c r="A78">
        <f t="shared" si="54"/>
        <v>22000</v>
      </c>
      <c r="B78">
        <f t="shared" si="86"/>
        <v>22</v>
      </c>
      <c r="C78">
        <f t="shared" si="55"/>
        <v>1.0165102076336907</v>
      </c>
      <c r="D78">
        <f t="shared" si="56"/>
        <v>0.18047829140413918</v>
      </c>
      <c r="F78">
        <f t="shared" si="57"/>
        <v>5.5744555760470105E-2</v>
      </c>
      <c r="G78">
        <f t="shared" si="58"/>
        <v>8.2496410260923136E-2</v>
      </c>
      <c r="H78">
        <f t="shared" si="59"/>
        <v>-3.0590962397390769</v>
      </c>
      <c r="J78">
        <f t="shared" si="60"/>
        <v>15</v>
      </c>
      <c r="M78">
        <f t="shared" si="61"/>
        <v>6.791381689559492E-2</v>
      </c>
      <c r="N78">
        <f t="shared" si="62"/>
        <v>-1.5707963250000001</v>
      </c>
      <c r="O78">
        <f t="shared" si="63"/>
        <v>5.714418871502307</v>
      </c>
      <c r="P78">
        <f t="shared" si="64"/>
        <v>1.3948947003882131</v>
      </c>
      <c r="Q78">
        <f t="shared" si="65"/>
        <v>4.8657554866549537</v>
      </c>
      <c r="R78">
        <f t="shared" si="66"/>
        <v>1.3638034207421761</v>
      </c>
      <c r="S78">
        <f t="shared" si="67"/>
        <v>0.98425859257579151</v>
      </c>
      <c r="T78">
        <f t="shared" si="68"/>
        <v>-0.17766755650534605</v>
      </c>
      <c r="U78">
        <f t="shared" si="69"/>
        <v>0.99033190192129539</v>
      </c>
      <c r="V78">
        <f t="shared" si="70"/>
        <v>-0.13916692893810922</v>
      </c>
      <c r="X78">
        <f t="shared" si="87"/>
        <v>3.887518759969125</v>
      </c>
      <c r="Y78">
        <f t="shared" si="71"/>
        <v>-115.02417882746214</v>
      </c>
      <c r="Z78">
        <f t="shared" si="88"/>
        <v>64.975821172537863</v>
      </c>
      <c r="AC78">
        <v>1</v>
      </c>
      <c r="AD78">
        <f t="shared" si="72"/>
        <v>5.6262405777732001</v>
      </c>
      <c r="AE78">
        <f t="shared" si="73"/>
        <v>-9.3325879924274129E-5</v>
      </c>
      <c r="AF78">
        <f t="shared" si="74"/>
        <v>6.6626896921199996E-4</v>
      </c>
      <c r="AG78">
        <f t="shared" si="89"/>
        <v>8075.716604283929</v>
      </c>
      <c r="AH78">
        <f t="shared" si="90"/>
        <v>-2632.0801945615867</v>
      </c>
      <c r="AJ78">
        <f t="shared" si="75"/>
        <v>22100</v>
      </c>
      <c r="AK78">
        <f t="shared" si="76"/>
        <v>3968.2952160251402</v>
      </c>
      <c r="AL78">
        <v>1</v>
      </c>
      <c r="AM78">
        <f t="shared" si="77"/>
        <v>4.7618879087934003</v>
      </c>
      <c r="AN78">
        <f t="shared" si="91"/>
        <v>1731.5978381372947</v>
      </c>
      <c r="AO78">
        <f t="shared" si="92"/>
        <v>-4277.3795922936351</v>
      </c>
      <c r="AQ78">
        <f t="shared" si="78"/>
        <v>5.1626226122870422</v>
      </c>
      <c r="AR78">
        <f t="shared" si="79"/>
        <v>-227.15539494062983</v>
      </c>
      <c r="AT78">
        <f t="shared" si="52"/>
        <v>-556199.33895934897</v>
      </c>
      <c r="AU78">
        <f t="shared" si="53"/>
        <v>-1848031.0314045143</v>
      </c>
      <c r="AV78">
        <f t="shared" si="93"/>
        <v>-1.8631415212980482</v>
      </c>
      <c r="AW78">
        <f t="shared" si="94"/>
        <v>-952220.07695810788</v>
      </c>
      <c r="AX78">
        <f t="shared" si="95"/>
        <v>-431843.51088043599</v>
      </c>
      <c r="AY78">
        <f t="shared" si="103"/>
        <v>-2.7158217436668632</v>
      </c>
      <c r="BA78">
        <f t="shared" si="80"/>
        <v>1.8458069189746016</v>
      </c>
      <c r="BB78">
        <f t="shared" si="96"/>
        <v>5.3237253919828937</v>
      </c>
      <c r="BC78">
        <f t="shared" si="97"/>
        <v>0.85268022236881502</v>
      </c>
      <c r="BD78">
        <f t="shared" si="81"/>
        <v>-131.14502192816542</v>
      </c>
      <c r="BF78">
        <f t="shared" si="82"/>
        <v>3.9118346319322717</v>
      </c>
      <c r="BG78">
        <f t="shared" si="83"/>
        <v>-116.07768138682844</v>
      </c>
      <c r="BH78">
        <f t="shared" si="98"/>
        <v>63.922318613171555</v>
      </c>
      <c r="BI78">
        <f t="shared" si="99"/>
        <v>63.922318613171555</v>
      </c>
      <c r="BJ78">
        <f t="shared" si="84"/>
        <v>0</v>
      </c>
      <c r="BK78">
        <f t="shared" si="100"/>
        <v>0</v>
      </c>
      <c r="BM78">
        <f t="shared" si="101"/>
        <v>-1.4118907600506234</v>
      </c>
      <c r="BN78">
        <f t="shared" si="85"/>
        <v>-164.93265945866304</v>
      </c>
      <c r="BQ78" s="56">
        <f t="shared" si="102"/>
        <v>22.225686192268029</v>
      </c>
      <c r="BR78" s="58"/>
      <c r="BS78" s="58"/>
      <c r="BT78" s="58">
        <v>478.63</v>
      </c>
      <c r="BU78" s="58">
        <v>21.195799999999998</v>
      </c>
      <c r="BV78" s="58">
        <v>-264.35129999999998</v>
      </c>
      <c r="BW78" s="61"/>
      <c r="BY78" s="58"/>
      <c r="BZ78" s="58"/>
      <c r="CA78" s="58"/>
      <c r="CC78" s="58"/>
    </row>
    <row r="79" spans="1:81" x14ac:dyDescent="0.25">
      <c r="A79">
        <f t="shared" si="54"/>
        <v>22500</v>
      </c>
      <c r="B79">
        <f t="shared" si="86"/>
        <v>22.5</v>
      </c>
      <c r="C79">
        <f t="shared" si="55"/>
        <v>1.0172627572584403</v>
      </c>
      <c r="D79">
        <f t="shared" si="56"/>
        <v>0.18448862110272696</v>
      </c>
      <c r="F79">
        <f t="shared" si="57"/>
        <v>5.3171870181672201E-2</v>
      </c>
      <c r="G79">
        <f t="shared" si="58"/>
        <v>8.0473054674692471E-2</v>
      </c>
      <c r="H79">
        <f t="shared" si="59"/>
        <v>-3.0611195953253079</v>
      </c>
      <c r="J79">
        <f t="shared" si="60"/>
        <v>15</v>
      </c>
      <c r="M79">
        <f t="shared" si="61"/>
        <v>6.6404620964581704E-2</v>
      </c>
      <c r="N79">
        <f t="shared" si="62"/>
        <v>-1.5707963250000001</v>
      </c>
      <c r="O79">
        <f t="shared" si="63"/>
        <v>5.8403577142448952</v>
      </c>
      <c r="P79">
        <f t="shared" si="64"/>
        <v>1.3987260798374967</v>
      </c>
      <c r="Q79">
        <f t="shared" si="65"/>
        <v>4.9717197294075897</v>
      </c>
      <c r="R79">
        <f t="shared" si="66"/>
        <v>1.3682771636324302</v>
      </c>
      <c r="S79">
        <f t="shared" si="67"/>
        <v>0.98355270050326471</v>
      </c>
      <c r="T79">
        <f t="shared" si="68"/>
        <v>-0.18161819237884602</v>
      </c>
      <c r="U79">
        <f t="shared" si="69"/>
        <v>0.98989416421267107</v>
      </c>
      <c r="V79">
        <f t="shared" si="70"/>
        <v>-0.1422877586227102</v>
      </c>
      <c r="X79">
        <f t="shared" si="87"/>
        <v>3.6547425406527116</v>
      </c>
      <c r="Y79">
        <f t="shared" si="71"/>
        <v>-114.83965026966747</v>
      </c>
      <c r="Z79">
        <f t="shared" si="88"/>
        <v>65.160349730332527</v>
      </c>
      <c r="AC79">
        <v>1</v>
      </c>
      <c r="AD79">
        <f t="shared" si="72"/>
        <v>5.7541096818134996</v>
      </c>
      <c r="AE79">
        <f t="shared" si="73"/>
        <v>-9.7616170891867316E-5</v>
      </c>
      <c r="AF79">
        <f t="shared" si="74"/>
        <v>6.8141144578499999E-4</v>
      </c>
      <c r="AG79">
        <f t="shared" si="89"/>
        <v>8068.579069059102</v>
      </c>
      <c r="AH79">
        <f t="shared" si="90"/>
        <v>-2623.4132172529589</v>
      </c>
      <c r="AJ79">
        <f t="shared" si="75"/>
        <v>22100</v>
      </c>
      <c r="AK79">
        <f t="shared" si="76"/>
        <v>4058.4837436620755</v>
      </c>
      <c r="AL79">
        <v>1</v>
      </c>
      <c r="AM79">
        <f t="shared" si="77"/>
        <v>4.8701126339932506</v>
      </c>
      <c r="AN79">
        <f t="shared" si="91"/>
        <v>1693.7162359904676</v>
      </c>
      <c r="AO79">
        <f t="shared" si="92"/>
        <v>-4190.1050956345944</v>
      </c>
      <c r="AQ79">
        <f t="shared" si="78"/>
        <v>4.9358341559723593</v>
      </c>
      <c r="AR79">
        <f t="shared" si="79"/>
        <v>-222.11253701875617</v>
      </c>
      <c r="AT79">
        <f t="shared" si="52"/>
        <v>-542867.79717336642</v>
      </c>
      <c r="AU79">
        <f t="shared" si="53"/>
        <v>-1805081.2997280974</v>
      </c>
      <c r="AV79">
        <f t="shared" si="93"/>
        <v>-1.8629357670482873</v>
      </c>
      <c r="AW79">
        <f t="shared" si="94"/>
        <v>-911902.44481340714</v>
      </c>
      <c r="AX79">
        <f t="shared" si="95"/>
        <v>-412994.04463871219</v>
      </c>
      <c r="AY79">
        <f t="shared" si="103"/>
        <v>-2.7163356849062472</v>
      </c>
      <c r="BA79">
        <f t="shared" si="80"/>
        <v>1.8829422610461259</v>
      </c>
      <c r="BB79">
        <f t="shared" si="96"/>
        <v>5.4967400583947086</v>
      </c>
      <c r="BC79">
        <f t="shared" si="97"/>
        <v>0.85339991785795988</v>
      </c>
      <c r="BD79">
        <f t="shared" si="81"/>
        <v>-131.10378641405569</v>
      </c>
      <c r="BF79">
        <f t="shared" si="82"/>
        <v>3.6808668535841331</v>
      </c>
      <c r="BG79">
        <f t="shared" si="83"/>
        <v>-115.92260064194883</v>
      </c>
      <c r="BH79">
        <f t="shared" si="98"/>
        <v>64.077399358051167</v>
      </c>
      <c r="BI79">
        <f t="shared" si="99"/>
        <v>64.077399358051167</v>
      </c>
      <c r="BJ79">
        <f t="shared" si="84"/>
        <v>0</v>
      </c>
      <c r="BK79">
        <f t="shared" si="100"/>
        <v>0</v>
      </c>
      <c r="BM79">
        <f t="shared" si="101"/>
        <v>-1.8158732048105761</v>
      </c>
      <c r="BN79">
        <f t="shared" si="85"/>
        <v>-164.81881422789314</v>
      </c>
      <c r="BQ79" s="56">
        <f t="shared" si="102"/>
        <v>22.398700858679845</v>
      </c>
      <c r="BR79" s="59"/>
      <c r="BS79" s="59"/>
      <c r="BT79" s="59">
        <v>489.779</v>
      </c>
      <c r="BU79" s="59">
        <v>20.944800000000001</v>
      </c>
      <c r="BV79" s="59">
        <v>-263.91079999999999</v>
      </c>
      <c r="BW79" s="61"/>
      <c r="BY79" s="59"/>
      <c r="BZ79" s="59"/>
      <c r="CA79" s="59"/>
      <c r="CC79" s="59"/>
    </row>
    <row r="80" spans="1:81" x14ac:dyDescent="0.25">
      <c r="A80">
        <f t="shared" si="54"/>
        <v>23000</v>
      </c>
      <c r="B80">
        <f t="shared" si="86"/>
        <v>23</v>
      </c>
      <c r="C80">
        <f t="shared" si="55"/>
        <v>1.0180316429187934</v>
      </c>
      <c r="D80">
        <f t="shared" si="56"/>
        <v>0.18849295738275343</v>
      </c>
      <c r="F80">
        <f t="shared" si="57"/>
        <v>5.0775803336550615E-2</v>
      </c>
      <c r="G80">
        <f t="shared" si="58"/>
        <v>7.8550423813919218E-2</v>
      </c>
      <c r="H80">
        <f t="shared" si="59"/>
        <v>-3.0630422261860808</v>
      </c>
      <c r="J80">
        <f t="shared" si="60"/>
        <v>15</v>
      </c>
      <c r="M80">
        <f t="shared" si="61"/>
        <v>6.4961042247960371E-2</v>
      </c>
      <c r="N80">
        <f t="shared" si="62"/>
        <v>-1.5707963250000001</v>
      </c>
      <c r="O80">
        <f t="shared" si="63"/>
        <v>5.9663786702851951</v>
      </c>
      <c r="P80">
        <f t="shared" si="64"/>
        <v>1.4023956596295524</v>
      </c>
      <c r="Q80">
        <f t="shared" si="65"/>
        <v>5.0777793238715816</v>
      </c>
      <c r="R80">
        <f t="shared" si="66"/>
        <v>1.3725641031956455</v>
      </c>
      <c r="S80">
        <f t="shared" si="67"/>
        <v>0.98283251373223401</v>
      </c>
      <c r="T80">
        <f t="shared" si="68"/>
        <v>-0.18556310420022459</v>
      </c>
      <c r="U80">
        <f t="shared" si="69"/>
        <v>0.98944718932886755</v>
      </c>
      <c r="V80">
        <f t="shared" si="70"/>
        <v>-0.14540580030637204</v>
      </c>
      <c r="X80">
        <f t="shared" si="87"/>
        <v>3.428381885862736</v>
      </c>
      <c r="Y80">
        <f t="shared" si="71"/>
        <v>-114.6691797828247</v>
      </c>
      <c r="Z80">
        <f t="shared" si="88"/>
        <v>65.330820217175301</v>
      </c>
      <c r="AC80">
        <v>1</v>
      </c>
      <c r="AD80">
        <f t="shared" si="72"/>
        <v>5.8819787858538</v>
      </c>
      <c r="AE80">
        <f t="shared" si="73"/>
        <v>-1.0200287289244012E-4</v>
      </c>
      <c r="AF80">
        <f t="shared" si="74"/>
        <v>6.9655392235800002E-4</v>
      </c>
      <c r="AG80">
        <f t="shared" si="89"/>
        <v>8061.2941731641549</v>
      </c>
      <c r="AH80">
        <f t="shared" si="90"/>
        <v>-2616.1293568271049</v>
      </c>
      <c r="AJ80">
        <f t="shared" si="75"/>
        <v>22100</v>
      </c>
      <c r="AK80">
        <f t="shared" si="76"/>
        <v>4148.6722712990104</v>
      </c>
      <c r="AL80">
        <v>1</v>
      </c>
      <c r="AM80">
        <f t="shared" si="77"/>
        <v>4.9783373591930999</v>
      </c>
      <c r="AN80">
        <f t="shared" si="91"/>
        <v>1658.1504311899653</v>
      </c>
      <c r="AO80">
        <f t="shared" si="92"/>
        <v>-4106.1599674561412</v>
      </c>
      <c r="AQ80">
        <f t="shared" si="78"/>
        <v>4.7236655644780345</v>
      </c>
      <c r="AR80">
        <f t="shared" si="79"/>
        <v>-217.28861596598961</v>
      </c>
      <c r="AT80">
        <f t="shared" si="52"/>
        <v>-530376.26944205328</v>
      </c>
      <c r="AU80">
        <f t="shared" si="53"/>
        <v>-1763985.1739366001</v>
      </c>
      <c r="AV80">
        <f t="shared" si="93"/>
        <v>-1.8628670874248203</v>
      </c>
      <c r="AW80">
        <f t="shared" si="94"/>
        <v>-874031.48935109191</v>
      </c>
      <c r="AX80">
        <f t="shared" si="95"/>
        <v>-395521.24270447192</v>
      </c>
      <c r="AY80">
        <f t="shared" si="103"/>
        <v>-2.7166407848813172</v>
      </c>
      <c r="BA80">
        <f t="shared" si="80"/>
        <v>1.9200276510157757</v>
      </c>
      <c r="BB80">
        <f t="shared" si="96"/>
        <v>5.6661496636241093</v>
      </c>
      <c r="BC80">
        <f t="shared" si="97"/>
        <v>0.85377369745649689</v>
      </c>
      <c r="BD80">
        <f t="shared" si="81"/>
        <v>-131.08237042056697</v>
      </c>
      <c r="BF80">
        <f t="shared" si="82"/>
        <v>3.4563364519221897</v>
      </c>
      <c r="BG80">
        <f t="shared" si="83"/>
        <v>-115.78191171361105</v>
      </c>
      <c r="BH80">
        <f t="shared" si="98"/>
        <v>64.218088286388948</v>
      </c>
      <c r="BI80">
        <f t="shared" si="99"/>
        <v>64.218088286388948</v>
      </c>
      <c r="BJ80">
        <f t="shared" si="84"/>
        <v>0</v>
      </c>
      <c r="BK80">
        <f t="shared" si="100"/>
        <v>0</v>
      </c>
      <c r="BM80">
        <f t="shared" si="101"/>
        <v>-2.2098132117019205</v>
      </c>
      <c r="BN80">
        <f t="shared" si="85"/>
        <v>-164.69954129304412</v>
      </c>
      <c r="BQ80" s="56">
        <f t="shared" si="102"/>
        <v>22.56811046390925</v>
      </c>
      <c r="BR80" s="59"/>
      <c r="BS80" s="59"/>
      <c r="BT80" s="59">
        <v>501.18700000000001</v>
      </c>
      <c r="BU80" s="59">
        <v>20.7819</v>
      </c>
      <c r="BV80" s="59">
        <v>-264.7826</v>
      </c>
      <c r="BW80" s="61"/>
      <c r="BY80" s="59"/>
      <c r="BZ80" s="59"/>
      <c r="CA80" s="59"/>
      <c r="CC80" s="59"/>
    </row>
    <row r="81" spans="1:81" x14ac:dyDescent="0.25">
      <c r="A81">
        <f t="shared" si="54"/>
        <v>23500</v>
      </c>
      <c r="B81">
        <f t="shared" si="86"/>
        <v>23.5</v>
      </c>
      <c r="C81">
        <f t="shared" si="55"/>
        <v>1.0188168276290734</v>
      </c>
      <c r="D81">
        <f t="shared" si="56"/>
        <v>0.19249118554463379</v>
      </c>
      <c r="F81">
        <f t="shared" si="57"/>
        <v>4.8540342030102573E-2</v>
      </c>
      <c r="G81">
        <f t="shared" si="58"/>
        <v>7.6720958208893852E-2</v>
      </c>
      <c r="H81">
        <f t="shared" si="59"/>
        <v>-3.0648716917911063</v>
      </c>
      <c r="J81">
        <f t="shared" si="60"/>
        <v>15</v>
      </c>
      <c r="M81">
        <f t="shared" si="61"/>
        <v>6.3578892412897381E-2</v>
      </c>
      <c r="N81">
        <f t="shared" si="62"/>
        <v>-1.5707963250000001</v>
      </c>
      <c r="O81">
        <f t="shared" si="63"/>
        <v>6.0924766441624181</v>
      </c>
      <c r="P81">
        <f t="shared" si="64"/>
        <v>1.4059133841937614</v>
      </c>
      <c r="Q81">
        <f t="shared" si="65"/>
        <v>5.1839284175597919</v>
      </c>
      <c r="R81">
        <f t="shared" si="66"/>
        <v>1.3766755520917333</v>
      </c>
      <c r="S81">
        <f t="shared" si="67"/>
        <v>0.98209813081056041</v>
      </c>
      <c r="T81">
        <f t="shared" si="68"/>
        <v>-0.18950218188696727</v>
      </c>
      <c r="U81">
        <f t="shared" si="69"/>
        <v>0.98899101583206639</v>
      </c>
      <c r="V81">
        <f t="shared" si="70"/>
        <v>-0.14852099717741385</v>
      </c>
      <c r="X81">
        <f t="shared" si="87"/>
        <v>3.2080651695267774</v>
      </c>
      <c r="Y81">
        <f t="shared" si="71"/>
        <v>-114.51197956061065</v>
      </c>
      <c r="Z81">
        <f t="shared" si="88"/>
        <v>65.488020439389345</v>
      </c>
      <c r="AC81">
        <v>1</v>
      </c>
      <c r="AD81">
        <f t="shared" si="72"/>
        <v>6.0098478898941003</v>
      </c>
      <c r="AE81">
        <f t="shared" si="73"/>
        <v>-1.0648598592599255E-4</v>
      </c>
      <c r="AF81">
        <f t="shared" si="74"/>
        <v>7.1169639893099994E-4</v>
      </c>
      <c r="AG81">
        <f t="shared" si="89"/>
        <v>8053.8627486450359</v>
      </c>
      <c r="AH81">
        <f t="shared" si="90"/>
        <v>-2610.1347682696232</v>
      </c>
      <c r="AJ81">
        <f t="shared" si="75"/>
        <v>22100</v>
      </c>
      <c r="AK81">
        <f t="shared" si="76"/>
        <v>4238.8607989359452</v>
      </c>
      <c r="AL81">
        <v>1</v>
      </c>
      <c r="AM81">
        <f t="shared" si="77"/>
        <v>5.0865620843929511</v>
      </c>
      <c r="AN81">
        <f t="shared" si="91"/>
        <v>1624.7178828425933</v>
      </c>
      <c r="AO81">
        <f t="shared" si="92"/>
        <v>-4025.3675817663793</v>
      </c>
      <c r="AQ81">
        <f t="shared" si="78"/>
        <v>4.5248868778280542</v>
      </c>
      <c r="AR81">
        <f t="shared" si="79"/>
        <v>-212.66968325791856</v>
      </c>
      <c r="AT81">
        <f t="shared" si="52"/>
        <v>-518653.71656120935</v>
      </c>
      <c r="AU81">
        <f t="shared" si="53"/>
        <v>-1724623.0043193952</v>
      </c>
      <c r="AV81">
        <f t="shared" si="93"/>
        <v>-1.8629268805493844</v>
      </c>
      <c r="AW81">
        <f t="shared" si="94"/>
        <v>-838416.27876412019</v>
      </c>
      <c r="AX81">
        <f t="shared" si="95"/>
        <v>-379294.36862995027</v>
      </c>
      <c r="AY81">
        <f t="shared" si="103"/>
        <v>-2.7167497838076908</v>
      </c>
      <c r="BA81">
        <f t="shared" si="80"/>
        <v>1.9570563553610925</v>
      </c>
      <c r="BB81">
        <f t="shared" si="96"/>
        <v>5.8320666354896753</v>
      </c>
      <c r="BC81">
        <f t="shared" si="97"/>
        <v>0.85382290325830645</v>
      </c>
      <c r="BD81">
        <f t="shared" si="81"/>
        <v>-131.07955113579249</v>
      </c>
      <c r="BF81">
        <f t="shared" si="82"/>
        <v>3.2378706505926163</v>
      </c>
      <c r="BG81">
        <f t="shared" si="83"/>
        <v>-115.65483148742082</v>
      </c>
      <c r="BH81">
        <f t="shared" si="98"/>
        <v>64.345168512579178</v>
      </c>
      <c r="BI81">
        <f t="shared" si="99"/>
        <v>64.345168512579178</v>
      </c>
      <c r="BJ81">
        <f t="shared" si="84"/>
        <v>0</v>
      </c>
      <c r="BK81">
        <f t="shared" si="100"/>
        <v>0</v>
      </c>
      <c r="BM81">
        <f t="shared" si="101"/>
        <v>-2.594195984897059</v>
      </c>
      <c r="BN81">
        <f t="shared" si="85"/>
        <v>-164.57528035162832</v>
      </c>
      <c r="BQ81" s="56">
        <f t="shared" si="102"/>
        <v>22.734027435774813</v>
      </c>
      <c r="BR81" s="59"/>
      <c r="BS81" s="59"/>
      <c r="BT81" s="59">
        <v>512.86099999999999</v>
      </c>
      <c r="BU81" s="59">
        <v>20.634799999999998</v>
      </c>
      <c r="BV81" s="59">
        <v>-265.04300000000001</v>
      </c>
      <c r="BW81" s="61"/>
      <c r="BY81" s="59"/>
      <c r="BZ81" s="59"/>
      <c r="CA81" s="59"/>
      <c r="CC81" s="59"/>
    </row>
    <row r="82" spans="1:81" x14ac:dyDescent="0.25">
      <c r="A82">
        <f t="shared" si="54"/>
        <v>24000</v>
      </c>
      <c r="B82">
        <f t="shared" si="86"/>
        <v>24</v>
      </c>
      <c r="C82">
        <f t="shared" si="55"/>
        <v>1.0196182737347048</v>
      </c>
      <c r="D82">
        <f t="shared" si="56"/>
        <v>0.19648319201953715</v>
      </c>
      <c r="F82">
        <f t="shared" si="57"/>
        <v>4.6451268422006552E-2</v>
      </c>
      <c r="G82">
        <f t="shared" si="58"/>
        <v>7.4977852265473238E-2</v>
      </c>
      <c r="H82">
        <f t="shared" si="59"/>
        <v>-3.0666147977345268</v>
      </c>
      <c r="J82">
        <f t="shared" si="60"/>
        <v>15</v>
      </c>
      <c r="M82">
        <f t="shared" si="61"/>
        <v>6.2254332154295343E-2</v>
      </c>
      <c r="N82">
        <f t="shared" si="62"/>
        <v>-1.5707963250000001</v>
      </c>
      <c r="O82">
        <f t="shared" si="63"/>
        <v>6.2186469507145299</v>
      </c>
      <c r="P82">
        <f t="shared" si="64"/>
        <v>1.4092884066919824</v>
      </c>
      <c r="Q82">
        <f t="shared" si="65"/>
        <v>5.2901616229676147</v>
      </c>
      <c r="R82">
        <f t="shared" si="66"/>
        <v>1.3806219391883359</v>
      </c>
      <c r="S82">
        <f t="shared" si="67"/>
        <v>0.98134965182692158</v>
      </c>
      <c r="T82">
        <f t="shared" si="68"/>
        <v>-0.19343531640607475</v>
      </c>
      <c r="U82">
        <f t="shared" si="69"/>
        <v>0.98852568298150501</v>
      </c>
      <c r="V82">
        <f t="shared" si="70"/>
        <v>-0.15163329274862469</v>
      </c>
      <c r="X82">
        <f t="shared" si="87"/>
        <v>2.9934519503871471</v>
      </c>
      <c r="Y82">
        <f t="shared" si="71"/>
        <v>-114.36731459060636</v>
      </c>
      <c r="Z82">
        <f t="shared" si="88"/>
        <v>65.632685409393645</v>
      </c>
      <c r="AC82">
        <v>1</v>
      </c>
      <c r="AD82">
        <f t="shared" si="72"/>
        <v>6.1377169939343998</v>
      </c>
      <c r="AE82">
        <f t="shared" si="73"/>
        <v>-1.1106550999252461E-4</v>
      </c>
      <c r="AF82">
        <f t="shared" si="74"/>
        <v>7.2683887550399997E-4</v>
      </c>
      <c r="AG82">
        <f t="shared" si="89"/>
        <v>8046.285641928619</v>
      </c>
      <c r="AH82">
        <f t="shared" si="90"/>
        <v>-2605.3433328717283</v>
      </c>
      <c r="AJ82">
        <f t="shared" si="75"/>
        <v>22100</v>
      </c>
      <c r="AK82">
        <f t="shared" si="76"/>
        <v>4329.0493265728801</v>
      </c>
      <c r="AL82">
        <v>1</v>
      </c>
      <c r="AM82">
        <f t="shared" si="77"/>
        <v>5.1947868095928005</v>
      </c>
      <c r="AN82">
        <f t="shared" si="91"/>
        <v>1593.2534503859993</v>
      </c>
      <c r="AO82">
        <f t="shared" si="92"/>
        <v>-3947.5626818305273</v>
      </c>
      <c r="AQ82">
        <f t="shared" si="78"/>
        <v>4.3383947939262475</v>
      </c>
      <c r="AR82">
        <f t="shared" si="79"/>
        <v>-208.24295010845987</v>
      </c>
      <c r="AT82">
        <f t="shared" si="52"/>
        <v>-507636.4179432292</v>
      </c>
      <c r="AU82">
        <f t="shared" si="53"/>
        <v>-1686885.2674422795</v>
      </c>
      <c r="AV82">
        <f t="shared" si="93"/>
        <v>-1.8631072196102183</v>
      </c>
      <c r="AW82">
        <f t="shared" si="94"/>
        <v>-804883.84896631062</v>
      </c>
      <c r="AX82">
        <f t="shared" si="95"/>
        <v>-364197.57601157163</v>
      </c>
      <c r="AY82">
        <f t="shared" si="103"/>
        <v>-2.7166744238116638</v>
      </c>
      <c r="BA82">
        <f t="shared" si="80"/>
        <v>1.9940219984519052</v>
      </c>
      <c r="BB82">
        <f t="shared" si="96"/>
        <v>5.9945989045234995</v>
      </c>
      <c r="BC82">
        <f t="shared" si="97"/>
        <v>0.8535672042014455</v>
      </c>
      <c r="BD82">
        <f t="shared" si="81"/>
        <v>-131.09420161259283</v>
      </c>
      <c r="BF82">
        <f t="shared" si="82"/>
        <v>3.0251278438096278</v>
      </c>
      <c r="BG82">
        <f t="shared" si="83"/>
        <v>-115.54062945507523</v>
      </c>
      <c r="BH82">
        <f t="shared" si="98"/>
        <v>64.459370544924766</v>
      </c>
      <c r="BI82">
        <f t="shared" si="99"/>
        <v>64.459370544924766</v>
      </c>
      <c r="BJ82">
        <f t="shared" si="84"/>
        <v>0</v>
      </c>
      <c r="BK82">
        <f t="shared" si="100"/>
        <v>0</v>
      </c>
      <c r="BM82">
        <f t="shared" si="101"/>
        <v>-2.9694710607138708</v>
      </c>
      <c r="BN82">
        <f t="shared" si="85"/>
        <v>-164.44642784248239</v>
      </c>
      <c r="BQ82" s="56">
        <f t="shared" si="102"/>
        <v>22.896559704808634</v>
      </c>
      <c r="BR82" s="59"/>
      <c r="BS82" s="59"/>
      <c r="BT82" s="59">
        <v>524.80700000000002</v>
      </c>
      <c r="BU82" s="59">
        <v>20.243600000000001</v>
      </c>
      <c r="BV82" s="59">
        <v>-263.95569999999998</v>
      </c>
      <c r="BW82" s="61"/>
      <c r="BY82" s="59"/>
      <c r="BZ82" s="59"/>
      <c r="CA82" s="59"/>
      <c r="CC82" s="59"/>
    </row>
    <row r="83" spans="1:81" x14ac:dyDescent="0.25">
      <c r="A83">
        <f t="shared" si="54"/>
        <v>24500</v>
      </c>
      <c r="B83">
        <f t="shared" si="86"/>
        <v>24.5</v>
      </c>
      <c r="C83">
        <f t="shared" si="55"/>
        <v>1.0204359429207928</v>
      </c>
      <c r="D83">
        <f t="shared" si="56"/>
        <v>0.20046886438495914</v>
      </c>
      <c r="F83">
        <f t="shared" si="57"/>
        <v>4.4495921346714311E-2</v>
      </c>
      <c r="G83">
        <f t="shared" si="58"/>
        <v>7.3314961221265379E-2</v>
      </c>
      <c r="H83">
        <f t="shared" si="59"/>
        <v>-3.0682776887787346</v>
      </c>
      <c r="J83">
        <f t="shared" si="60"/>
        <v>15</v>
      </c>
      <c r="M83">
        <f t="shared" si="61"/>
        <v>6.0983835579717899E-2</v>
      </c>
      <c r="N83">
        <f t="shared" si="62"/>
        <v>-1.5707963250000001</v>
      </c>
      <c r="O83">
        <f t="shared" si="63"/>
        <v>6.3448852748598865</v>
      </c>
      <c r="P83">
        <f t="shared" si="64"/>
        <v>1.4125291654778511</v>
      </c>
      <c r="Q83">
        <f t="shared" si="65"/>
        <v>5.396473972710691</v>
      </c>
      <c r="R83">
        <f t="shared" si="66"/>
        <v>1.3844128931000308</v>
      </c>
      <c r="S83">
        <f t="shared" si="67"/>
        <v>0.9805871783748259</v>
      </c>
      <c r="T83">
        <f t="shared" si="68"/>
        <v>-0.19736239978877454</v>
      </c>
      <c r="U83">
        <f t="shared" si="69"/>
        <v>0.98805123072437495</v>
      </c>
      <c r="V83">
        <f t="shared" si="70"/>
        <v>-0.15474263086277865</v>
      </c>
      <c r="X83">
        <f t="shared" si="87"/>
        <v>2.7842296109856886</v>
      </c>
      <c r="Y83">
        <f t="shared" si="71"/>
        <v>-114.2344988183431</v>
      </c>
      <c r="Z83">
        <f t="shared" si="88"/>
        <v>65.765501181656902</v>
      </c>
      <c r="AC83">
        <v>1</v>
      </c>
      <c r="AD83">
        <f t="shared" si="72"/>
        <v>6.2655860979747002</v>
      </c>
      <c r="AE83">
        <f t="shared" si="73"/>
        <v>-1.1574144509203624E-4</v>
      </c>
      <c r="AF83">
        <f t="shared" si="74"/>
        <v>7.41981352077E-4</v>
      </c>
      <c r="AG83">
        <f t="shared" si="89"/>
        <v>8038.5637135890811</v>
      </c>
      <c r="AH83">
        <f t="shared" si="90"/>
        <v>-2601.6758713295485</v>
      </c>
      <c r="AJ83">
        <f t="shared" si="75"/>
        <v>22100</v>
      </c>
      <c r="AK83">
        <f t="shared" si="76"/>
        <v>4419.2378542098159</v>
      </c>
      <c r="AL83">
        <v>1</v>
      </c>
      <c r="AM83">
        <f t="shared" si="77"/>
        <v>5.3030115347926507</v>
      </c>
      <c r="AN83">
        <f t="shared" si="91"/>
        <v>1563.6074677583242</v>
      </c>
      <c r="AO83">
        <f t="shared" si="92"/>
        <v>-3872.5905832005051</v>
      </c>
      <c r="AQ83">
        <f t="shared" si="78"/>
        <v>4.1631973355537051</v>
      </c>
      <c r="AR83">
        <f t="shared" si="79"/>
        <v>-203.99666944213155</v>
      </c>
      <c r="AT83">
        <f t="shared" si="52"/>
        <v>-497267.08568509074</v>
      </c>
      <c r="AU83">
        <f t="shared" si="53"/>
        <v>-1650671.5147260388</v>
      </c>
      <c r="AV83">
        <f t="shared" si="93"/>
        <v>-1.8634007882881825</v>
      </c>
      <c r="AW83">
        <f t="shared" si="94"/>
        <v>-773277.24741321872</v>
      </c>
      <c r="AX83">
        <f t="shared" si="95"/>
        <v>-350127.95657975756</v>
      </c>
      <c r="AY83">
        <f t="shared" si="103"/>
        <v>-2.7164255443454355</v>
      </c>
      <c r="BA83">
        <f t="shared" si="80"/>
        <v>2.0309185272083892</v>
      </c>
      <c r="BB83">
        <f t="shared" si="96"/>
        <v>6.1538500299520464</v>
      </c>
      <c r="BC83">
        <f t="shared" si="97"/>
        <v>0.85302475605725303</v>
      </c>
      <c r="BD83">
        <f t="shared" si="81"/>
        <v>-131.1252816018953</v>
      </c>
      <c r="BF83">
        <f t="shared" si="82"/>
        <v>2.8177942359870753</v>
      </c>
      <c r="BG83">
        <f t="shared" si="83"/>
        <v>-115.43862387778825</v>
      </c>
      <c r="BH83">
        <f t="shared" si="98"/>
        <v>64.561376122211755</v>
      </c>
      <c r="BI83">
        <f t="shared" si="99"/>
        <v>64.561376122211755</v>
      </c>
      <c r="BJ83">
        <f t="shared" si="84"/>
        <v>0</v>
      </c>
      <c r="BK83">
        <f t="shared" si="100"/>
        <v>0</v>
      </c>
      <c r="BM83">
        <f t="shared" si="101"/>
        <v>-3.3360557939649698</v>
      </c>
      <c r="BN83">
        <f t="shared" si="85"/>
        <v>-164.31334227589295</v>
      </c>
      <c r="BQ83" s="56">
        <f t="shared" si="102"/>
        <v>23.055810830237181</v>
      </c>
      <c r="BR83" s="59"/>
      <c r="BS83" s="59"/>
      <c r="BT83" s="59">
        <v>537.03200000000004</v>
      </c>
      <c r="BU83" s="59">
        <v>20.2926</v>
      </c>
      <c r="BV83" s="59">
        <v>-264.56819999999999</v>
      </c>
      <c r="BW83" s="61"/>
      <c r="BY83" s="59"/>
      <c r="BZ83" s="59"/>
      <c r="CA83" s="59"/>
      <c r="CC83" s="59"/>
    </row>
    <row r="84" spans="1:81" x14ac:dyDescent="0.25">
      <c r="A84">
        <f t="shared" si="54"/>
        <v>25000</v>
      </c>
      <c r="B84">
        <f t="shared" si="86"/>
        <v>25</v>
      </c>
      <c r="C84">
        <f t="shared" si="55"/>
        <v>1.0212697962208097</v>
      </c>
      <c r="D84">
        <f t="shared" si="56"/>
        <v>0.20444809137979539</v>
      </c>
      <c r="F84">
        <f t="shared" si="57"/>
        <v>4.2662994174163138E-2</v>
      </c>
      <c r="G84">
        <f t="shared" si="58"/>
        <v>7.172672168239036E-2</v>
      </c>
      <c r="H84">
        <f t="shared" si="59"/>
        <v>-3.06986592831761</v>
      </c>
      <c r="J84">
        <f t="shared" si="60"/>
        <v>15</v>
      </c>
      <c r="M84">
        <f t="shared" si="61"/>
        <v>5.9764158868123536E-2</v>
      </c>
      <c r="N84">
        <f t="shared" si="62"/>
        <v>-1.5707963250000001</v>
      </c>
      <c r="O84">
        <f t="shared" si="63"/>
        <v>6.471187635988672</v>
      </c>
      <c r="P84">
        <f t="shared" si="64"/>
        <v>1.4156434519389678</v>
      </c>
      <c r="Q84">
        <f t="shared" si="65"/>
        <v>5.5028608797113554</v>
      </c>
      <c r="R84">
        <f t="shared" si="66"/>
        <v>1.3880573165544534</v>
      </c>
      <c r="S84">
        <f t="shared" si="67"/>
        <v>0.97981081351632504</v>
      </c>
      <c r="T84">
        <f t="shared" si="68"/>
        <v>-0.20128332514478128</v>
      </c>
      <c r="U84">
        <f t="shared" si="69"/>
        <v>0.98756769968659364</v>
      </c>
      <c r="V84">
        <f t="shared" si="70"/>
        <v>-0.15784895569805854</v>
      </c>
      <c r="X84">
        <f t="shared" si="87"/>
        <v>2.5801104319459025</v>
      </c>
      <c r="Y84">
        <f t="shared" si="71"/>
        <v>-114.11289155253847</v>
      </c>
      <c r="Z84">
        <f t="shared" si="88"/>
        <v>65.887108447461529</v>
      </c>
      <c r="AC84">
        <v>1</v>
      </c>
      <c r="AD84">
        <f t="shared" si="72"/>
        <v>6.3934552020149997</v>
      </c>
      <c r="AE84">
        <f t="shared" si="73"/>
        <v>-1.2051379122452755E-4</v>
      </c>
      <c r="AF84">
        <f t="shared" si="74"/>
        <v>7.5712382865000003E-4</v>
      </c>
      <c r="AG84">
        <f t="shared" si="89"/>
        <v>8030.697838111344</v>
      </c>
      <c r="AH84">
        <f t="shared" si="90"/>
        <v>-2599.059451289686</v>
      </c>
      <c r="AJ84">
        <f t="shared" si="75"/>
        <v>22100</v>
      </c>
      <c r="AK84">
        <f t="shared" si="76"/>
        <v>4509.4263818467498</v>
      </c>
      <c r="AL84">
        <v>1</v>
      </c>
      <c r="AM84">
        <f t="shared" si="77"/>
        <v>5.4112362599925001</v>
      </c>
      <c r="AN84">
        <f t="shared" si="91"/>
        <v>1535.6440581258187</v>
      </c>
      <c r="AO84">
        <f t="shared" si="92"/>
        <v>-3800.3064279257105</v>
      </c>
      <c r="AQ84">
        <f t="shared" si="78"/>
        <v>3.9984006397441023</v>
      </c>
      <c r="AR84">
        <f t="shared" si="79"/>
        <v>-199.92003198720511</v>
      </c>
      <c r="AT84">
        <f t="shared" si="52"/>
        <v>-487494.1012649858</v>
      </c>
      <c r="AU84">
        <f t="shared" si="53"/>
        <v>-1615889.4496475684</v>
      </c>
      <c r="AV84">
        <f t="shared" si="93"/>
        <v>-1.8638008233757333</v>
      </c>
      <c r="AW84">
        <f t="shared" si="94"/>
        <v>-743453.81616018224</v>
      </c>
      <c r="AX84">
        <f t="shared" si="95"/>
        <v>-336993.87536178064</v>
      </c>
      <c r="AY84">
        <f t="shared" si="103"/>
        <v>-2.716013167006337</v>
      </c>
      <c r="BA84">
        <f t="shared" si="80"/>
        <v>2.0677401800516466</v>
      </c>
      <c r="BB84">
        <f t="shared" si="96"/>
        <v>6.3099193397063669</v>
      </c>
      <c r="BC84">
        <f t="shared" si="97"/>
        <v>0.85221234363060372</v>
      </c>
      <c r="BD84">
        <f t="shared" si="81"/>
        <v>-131.17182940521946</v>
      </c>
      <c r="BF84">
        <f t="shared" si="82"/>
        <v>2.6155809166736854</v>
      </c>
      <c r="BG84">
        <f t="shared" si="83"/>
        <v>-115.34817819086058</v>
      </c>
      <c r="BH84">
        <f t="shared" si="98"/>
        <v>64.65182180913942</v>
      </c>
      <c r="BI84">
        <f t="shared" si="99"/>
        <v>64.65182180913942</v>
      </c>
      <c r="BJ84">
        <f t="shared" si="84"/>
        <v>0</v>
      </c>
      <c r="BK84">
        <f t="shared" si="100"/>
        <v>0</v>
      </c>
      <c r="BM84">
        <f t="shared" si="101"/>
        <v>-3.6943384230326819</v>
      </c>
      <c r="BN84">
        <f t="shared" si="85"/>
        <v>-164.17634878564112</v>
      </c>
      <c r="BQ84" s="56">
        <f t="shared" si="102"/>
        <v>23.211880139991507</v>
      </c>
      <c r="BR84" s="59"/>
      <c r="BS84" s="59"/>
      <c r="BT84" s="59">
        <v>549.54100000000005</v>
      </c>
      <c r="BU84" s="59">
        <v>19.992000000000001</v>
      </c>
      <c r="BV84" s="59">
        <v>-264.47620000000001</v>
      </c>
      <c r="BW84" s="61"/>
      <c r="BY84" s="59"/>
      <c r="BZ84" s="59"/>
      <c r="CA84" s="59"/>
      <c r="CC84" s="59"/>
    </row>
    <row r="85" spans="1:81" x14ac:dyDescent="0.25">
      <c r="A85">
        <f t="shared" si="54"/>
        <v>25500</v>
      </c>
      <c r="B85">
        <f t="shared" si="86"/>
        <v>25.5</v>
      </c>
      <c r="C85">
        <f t="shared" si="55"/>
        <v>1.022119794025377</v>
      </c>
      <c r="D85">
        <f t="shared" si="56"/>
        <v>0.20842076291891298</v>
      </c>
      <c r="F85">
        <f t="shared" si="57"/>
        <v>4.0942362906349568E-2</v>
      </c>
      <c r="G85">
        <f t="shared" si="58"/>
        <v>7.0208083468685067E-2</v>
      </c>
      <c r="H85">
        <f t="shared" si="59"/>
        <v>-3.0713845665313153</v>
      </c>
      <c r="J85">
        <f t="shared" si="60"/>
        <v>15</v>
      </c>
      <c r="M85">
        <f t="shared" si="61"/>
        <v>5.8592312615807392E-2</v>
      </c>
      <c r="N85">
        <f t="shared" si="62"/>
        <v>-1.5707963250000001</v>
      </c>
      <c r="O85">
        <f t="shared" si="63"/>
        <v>6.5975503563631577</v>
      </c>
      <c r="P85">
        <f t="shared" si="64"/>
        <v>1.418638470823536</v>
      </c>
      <c r="Q85">
        <f t="shared" si="65"/>
        <v>5.6093181017892473</v>
      </c>
      <c r="R85">
        <f t="shared" si="66"/>
        <v>1.3915634527227374</v>
      </c>
      <c r="S85">
        <f t="shared" si="67"/>
        <v>0.97902066174544444</v>
      </c>
      <c r="T85">
        <f t="shared" si="68"/>
        <v>-0.2051979866761032</v>
      </c>
      <c r="U85">
        <f t="shared" si="69"/>
        <v>0.9870751311634598</v>
      </c>
      <c r="V85">
        <f t="shared" si="70"/>
        <v>-0.160952211773388</v>
      </c>
      <c r="X85">
        <f t="shared" si="87"/>
        <v>2.3808290364448332</v>
      </c>
      <c r="Y85">
        <f t="shared" si="71"/>
        <v>-114.00189411342411</v>
      </c>
      <c r="Z85">
        <f t="shared" si="88"/>
        <v>65.998105886575885</v>
      </c>
      <c r="AC85">
        <v>1</v>
      </c>
      <c r="AD85">
        <f t="shared" si="72"/>
        <v>6.5213243060553001</v>
      </c>
      <c r="AE85">
        <f t="shared" si="73"/>
        <v>-1.2538254838999848E-4</v>
      </c>
      <c r="AF85">
        <f t="shared" si="74"/>
        <v>7.7226630522299984E-4</v>
      </c>
      <c r="AG85">
        <f t="shared" si="89"/>
        <v>8022.6889036517823</v>
      </c>
      <c r="AH85">
        <f t="shared" si="90"/>
        <v>-2597.4267763770918</v>
      </c>
      <c r="AJ85">
        <f t="shared" si="75"/>
        <v>22100</v>
      </c>
      <c r="AK85">
        <f t="shared" si="76"/>
        <v>4599.6149094836856</v>
      </c>
      <c r="AL85">
        <v>1</v>
      </c>
      <c r="AM85">
        <f t="shared" si="77"/>
        <v>5.5194609851923504</v>
      </c>
      <c r="AN85">
        <f t="shared" si="91"/>
        <v>1509.239655967725</v>
      </c>
      <c r="AO85">
        <f t="shared" si="92"/>
        <v>-3730.5744889352991</v>
      </c>
      <c r="AQ85">
        <f t="shared" si="78"/>
        <v>3.8431975403535743</v>
      </c>
      <c r="AR85">
        <f t="shared" si="79"/>
        <v>-196.0030745580323</v>
      </c>
      <c r="AT85">
        <f t="shared" si="52"/>
        <v>-478270.85584773216</v>
      </c>
      <c r="AU85">
        <f t="shared" si="53"/>
        <v>-1582454.1155365796</v>
      </c>
      <c r="AV85">
        <f t="shared" si="93"/>
        <v>-1.8643010636824406</v>
      </c>
      <c r="AW85">
        <f t="shared" si="94"/>
        <v>-715283.68203412998</v>
      </c>
      <c r="AX85">
        <f t="shared" si="95"/>
        <v>-324713.54638277896</v>
      </c>
      <c r="AY85">
        <f t="shared" si="103"/>
        <v>-2.7154465710923326</v>
      </c>
      <c r="BA85">
        <f t="shared" si="80"/>
        <v>2.1044814595603785</v>
      </c>
      <c r="BB85">
        <f t="shared" si="96"/>
        <v>6.4629020795036922</v>
      </c>
      <c r="BC85">
        <f t="shared" si="97"/>
        <v>0.85114550740989192</v>
      </c>
      <c r="BD85">
        <f t="shared" si="81"/>
        <v>-131.23295461816778</v>
      </c>
      <c r="BF85">
        <f t="shared" si="82"/>
        <v>2.4182213056839217</v>
      </c>
      <c r="BG85">
        <f t="shared" si="83"/>
        <v>-115.26869765131767</v>
      </c>
      <c r="BH85">
        <f t="shared" si="98"/>
        <v>64.731302348682334</v>
      </c>
      <c r="BI85">
        <f t="shared" si="99"/>
        <v>64.731302348682334</v>
      </c>
      <c r="BJ85">
        <f t="shared" si="84"/>
        <v>0</v>
      </c>
      <c r="BK85">
        <f t="shared" si="100"/>
        <v>0</v>
      </c>
      <c r="BM85">
        <f t="shared" si="101"/>
        <v>-4.0446807738197696</v>
      </c>
      <c r="BN85">
        <f t="shared" si="85"/>
        <v>-164.03574303314986</v>
      </c>
      <c r="BQ85" s="56">
        <f t="shared" si="102"/>
        <v>23.364862879788827</v>
      </c>
      <c r="BR85" s="59"/>
      <c r="BS85" s="59"/>
      <c r="BT85" s="59">
        <v>562.34100000000001</v>
      </c>
      <c r="BU85" s="59">
        <v>19.682300000000001</v>
      </c>
      <c r="BV85" s="59">
        <v>-264.60399999999998</v>
      </c>
      <c r="BW85" s="61"/>
      <c r="BY85" s="59"/>
      <c r="BZ85" s="59"/>
      <c r="CA85" s="59"/>
      <c r="CC85" s="59"/>
    </row>
    <row r="86" spans="1:81" x14ac:dyDescent="0.25">
      <c r="A86">
        <f t="shared" si="54"/>
        <v>26000</v>
      </c>
      <c r="B86">
        <f t="shared" si="86"/>
        <v>26</v>
      </c>
      <c r="C86">
        <f t="shared" si="55"/>
        <v>1.0229858960911447</v>
      </c>
      <c r="D86">
        <f t="shared" si="56"/>
        <v>0.21238677010721776</v>
      </c>
      <c r="F86">
        <f t="shared" si="57"/>
        <v>3.9324939410901254E-2</v>
      </c>
      <c r="G86">
        <f t="shared" si="58"/>
        <v>6.8754450921268223E-2</v>
      </c>
      <c r="H86">
        <f t="shared" si="59"/>
        <v>-3.0728381990787321</v>
      </c>
      <c r="J86">
        <f t="shared" si="60"/>
        <v>15</v>
      </c>
      <c r="M86">
        <f t="shared" si="61"/>
        <v>5.7465537373195708E-2</v>
      </c>
      <c r="N86">
        <f t="shared" si="62"/>
        <v>-1.5707963250000001</v>
      </c>
      <c r="O86">
        <f t="shared" si="63"/>
        <v>6.723970033013142</v>
      </c>
      <c r="P86">
        <f t="shared" si="64"/>
        <v>1.4215208939965323</v>
      </c>
      <c r="Q86">
        <f t="shared" si="65"/>
        <v>5.7158417101029455</v>
      </c>
      <c r="R86">
        <f t="shared" si="66"/>
        <v>1.3949389444957667</v>
      </c>
      <c r="S86">
        <f t="shared" si="67"/>
        <v>0.97821682895135775</v>
      </c>
      <c r="T86">
        <f t="shared" si="68"/>
        <v>-0.209106279690392</v>
      </c>
      <c r="U86">
        <f t="shared" si="69"/>
        <v>0.9865735671101904</v>
      </c>
      <c r="V86">
        <f t="shared" si="70"/>
        <v>-0.16405234395367038</v>
      </c>
      <c r="X86">
        <f t="shared" si="87"/>
        <v>2.1861401507280624</v>
      </c>
      <c r="Y86">
        <f t="shared" si="71"/>
        <v>-113.90094671955322</v>
      </c>
      <c r="Z86">
        <f t="shared" si="88"/>
        <v>66.099053280446782</v>
      </c>
      <c r="AC86">
        <v>1</v>
      </c>
      <c r="AD86">
        <f t="shared" si="72"/>
        <v>6.6491934100956005</v>
      </c>
      <c r="AE86">
        <f t="shared" si="73"/>
        <v>-1.3034771658844901E-4</v>
      </c>
      <c r="AF86">
        <f t="shared" si="74"/>
        <v>7.8740878179600008E-4</v>
      </c>
      <c r="AG86">
        <f t="shared" si="89"/>
        <v>8014.5378117962191</v>
      </c>
      <c r="AH86">
        <f t="shared" si="90"/>
        <v>-2596.7156457357769</v>
      </c>
      <c r="AJ86">
        <f t="shared" si="75"/>
        <v>22100</v>
      </c>
      <c r="AK86">
        <f t="shared" si="76"/>
        <v>4689.8034371206204</v>
      </c>
      <c r="AL86">
        <v>1</v>
      </c>
      <c r="AM86">
        <f t="shared" si="77"/>
        <v>5.6276857103922007</v>
      </c>
      <c r="AN86">
        <f t="shared" si="91"/>
        <v>1484.2817082959582</v>
      </c>
      <c r="AO86">
        <f t="shared" si="92"/>
        <v>-3663.2675228530679</v>
      </c>
      <c r="AQ86">
        <f t="shared" si="78"/>
        <v>3.6968576709796674</v>
      </c>
      <c r="AR86">
        <f t="shared" si="79"/>
        <v>-192.2365988909427</v>
      </c>
      <c r="AT86">
        <f t="shared" ref="AT86:AT149" si="104">-AR86*AH86+AG86*AQ86</f>
        <v>-469555.17843424837</v>
      </c>
      <c r="AU86">
        <f t="shared" ref="AU86:AU149" si="105">AQ86*AH86+AG86*AR86</f>
        <v>-1550287.1787768544</v>
      </c>
      <c r="AV86">
        <f t="shared" si="93"/>
        <v>-1.8648957044472241</v>
      </c>
      <c r="AW86">
        <f t="shared" si="94"/>
        <v>-688648.42644018691</v>
      </c>
      <c r="AX86">
        <f t="shared" si="95"/>
        <v>-313213.81057487748</v>
      </c>
      <c r="AY86">
        <f t="shared" si="103"/>
        <v>-2.7147343610402146</v>
      </c>
      <c r="BA86">
        <f t="shared" si="80"/>
        <v>2.1411371083371269</v>
      </c>
      <c r="BB86">
        <f t="shared" si="96"/>
        <v>6.6128895671656762</v>
      </c>
      <c r="BC86">
        <f t="shared" si="97"/>
        <v>0.84983865659299052</v>
      </c>
      <c r="BD86">
        <f t="shared" si="81"/>
        <v>-131.30783165451501</v>
      </c>
      <c r="BF86">
        <f t="shared" si="82"/>
        <v>2.2254689142773936</v>
      </c>
      <c r="BG86">
        <f t="shared" si="83"/>
        <v>-115.19962622402184</v>
      </c>
      <c r="BH86">
        <f t="shared" si="98"/>
        <v>64.800373775978159</v>
      </c>
      <c r="BI86">
        <f t="shared" si="99"/>
        <v>64.800373775978159</v>
      </c>
      <c r="BJ86">
        <f t="shared" si="84"/>
        <v>0</v>
      </c>
      <c r="BK86">
        <f t="shared" si="100"/>
        <v>0</v>
      </c>
      <c r="BM86">
        <f t="shared" si="101"/>
        <v>-4.3874206528882809</v>
      </c>
      <c r="BN86">
        <f t="shared" si="85"/>
        <v>-163.89179456950683</v>
      </c>
      <c r="BQ86" s="56">
        <f t="shared" si="102"/>
        <v>23.514850367450816</v>
      </c>
      <c r="BR86" s="59"/>
      <c r="BS86" s="59"/>
      <c r="BT86" s="59">
        <v>575.44000000000005</v>
      </c>
      <c r="BU86" s="59">
        <v>19.596</v>
      </c>
      <c r="BV86" s="59">
        <v>-264.9076</v>
      </c>
      <c r="BW86" s="61"/>
      <c r="BY86" s="59"/>
      <c r="BZ86" s="59"/>
      <c r="CA86" s="59"/>
      <c r="CC86" s="59"/>
    </row>
    <row r="87" spans="1:81" x14ac:dyDescent="0.25">
      <c r="A87">
        <f t="shared" si="54"/>
        <v>26500</v>
      </c>
      <c r="B87">
        <f t="shared" si="86"/>
        <v>26.5</v>
      </c>
      <c r="C87">
        <f t="shared" si="55"/>
        <v>1.0238680615497604</v>
      </c>
      <c r="D87">
        <f t="shared" si="56"/>
        <v>0.21634600525321562</v>
      </c>
      <c r="F87">
        <f t="shared" si="57"/>
        <v>3.7802545646317902E-2</v>
      </c>
      <c r="G87">
        <f t="shared" si="58"/>
        <v>6.7361632164389534E-2</v>
      </c>
      <c r="H87">
        <f t="shared" si="59"/>
        <v>-3.0742310178356105</v>
      </c>
      <c r="J87">
        <f t="shared" si="60"/>
        <v>15</v>
      </c>
      <c r="M87">
        <f t="shared" si="61"/>
        <v>5.6381281951059938E-2</v>
      </c>
      <c r="N87">
        <f t="shared" si="62"/>
        <v>-1.5707963250000001</v>
      </c>
      <c r="O87">
        <f t="shared" si="63"/>
        <v>6.8504435126863132</v>
      </c>
      <c r="P87">
        <f t="shared" si="64"/>
        <v>1.4242969084383126</v>
      </c>
      <c r="Q87">
        <f t="shared" si="65"/>
        <v>5.8224280609668151</v>
      </c>
      <c r="R87">
        <f t="shared" si="66"/>
        <v>1.3981908875550382</v>
      </c>
      <c r="S87">
        <f t="shared" si="67"/>
        <v>0.97739942238132893</v>
      </c>
      <c r="T87">
        <f t="shared" si="68"/>
        <v>-0.21300810061383466</v>
      </c>
      <c r="U87">
        <f t="shared" si="69"/>
        <v>0.98606305013235018</v>
      </c>
      <c r="V87">
        <f t="shared" si="70"/>
        <v>-0.16714929745493359</v>
      </c>
      <c r="X87">
        <f t="shared" si="87"/>
        <v>1.9958166354424056</v>
      </c>
      <c r="Y87">
        <f t="shared" si="71"/>
        <v>-113.80952560428425</v>
      </c>
      <c r="Z87">
        <f t="shared" si="88"/>
        <v>66.190474395715754</v>
      </c>
      <c r="AC87">
        <v>1</v>
      </c>
      <c r="AD87">
        <f t="shared" si="72"/>
        <v>6.7770625141359</v>
      </c>
      <c r="AE87">
        <f t="shared" si="73"/>
        <v>-1.3540929581987919E-4</v>
      </c>
      <c r="AF87">
        <f t="shared" si="74"/>
        <v>8.02551258369E-4</v>
      </c>
      <c r="AG87">
        <f t="shared" si="89"/>
        <v>8006.2454773154532</v>
      </c>
      <c r="AH87">
        <f t="shared" si="90"/>
        <v>-2596.8684747686657</v>
      </c>
      <c r="AJ87">
        <f t="shared" si="75"/>
        <v>22100</v>
      </c>
      <c r="AK87">
        <f t="shared" si="76"/>
        <v>4779.9919647575553</v>
      </c>
      <c r="AL87">
        <v>1</v>
      </c>
      <c r="AM87">
        <f t="shared" si="77"/>
        <v>5.7359104355920509</v>
      </c>
      <c r="AN87">
        <f t="shared" si="91"/>
        <v>1460.667530965854</v>
      </c>
      <c r="AO87">
        <f t="shared" si="92"/>
        <v>-3598.2661690399618</v>
      </c>
      <c r="AQ87">
        <f t="shared" si="78"/>
        <v>3.5587188612099645</v>
      </c>
      <c r="AR87">
        <f t="shared" si="79"/>
        <v>-188.61209964412811</v>
      </c>
      <c r="AT87">
        <f t="shared" si="104"/>
        <v>-461308.83873816306</v>
      </c>
      <c r="AU87">
        <f t="shared" si="105"/>
        <v>-1519316.2945640129</v>
      </c>
      <c r="AV87">
        <f t="shared" si="93"/>
        <v>-1.8655793565847434</v>
      </c>
      <c r="AW87">
        <f t="shared" si="94"/>
        <v>-663439.91125881067</v>
      </c>
      <c r="AX87">
        <f t="shared" si="95"/>
        <v>-302429.08421185683</v>
      </c>
      <c r="AY87">
        <f t="shared" si="103"/>
        <v>-2.7138845267353502</v>
      </c>
      <c r="BA87">
        <f t="shared" si="80"/>
        <v>2.1777020876624316</v>
      </c>
      <c r="BB87">
        <f t="shared" si="96"/>
        <v>6.7599693492245025</v>
      </c>
      <c r="BC87">
        <f t="shared" si="97"/>
        <v>0.8483051701506068</v>
      </c>
      <c r="BD87">
        <f t="shared" si="81"/>
        <v>-131.39569395570453</v>
      </c>
      <c r="BF87">
        <f t="shared" si="82"/>
        <v>2.037095377160953</v>
      </c>
      <c r="BG87">
        <f t="shared" si="83"/>
        <v>-115.14044369747357</v>
      </c>
      <c r="BH87">
        <f t="shared" si="98"/>
        <v>64.859556302526428</v>
      </c>
      <c r="BI87">
        <f t="shared" si="99"/>
        <v>64.859556302526428</v>
      </c>
      <c r="BJ87">
        <f t="shared" si="84"/>
        <v>0</v>
      </c>
      <c r="BK87">
        <f t="shared" si="100"/>
        <v>0</v>
      </c>
      <c r="BM87">
        <f t="shared" si="101"/>
        <v>-4.7228739720635495</v>
      </c>
      <c r="BN87">
        <f t="shared" si="85"/>
        <v>-163.74474974176903</v>
      </c>
      <c r="BQ87" s="56">
        <f t="shared" si="102"/>
        <v>23.66193014950964</v>
      </c>
      <c r="BR87" s="59"/>
      <c r="BS87" s="59"/>
      <c r="BT87" s="59">
        <v>588.84400000000005</v>
      </c>
      <c r="BU87" s="59">
        <v>19.373200000000001</v>
      </c>
      <c r="BV87" s="59">
        <v>-263.88170000000002</v>
      </c>
      <c r="BW87" s="61"/>
      <c r="BY87" s="59"/>
      <c r="BZ87" s="59"/>
      <c r="CA87" s="59"/>
      <c r="CC87" s="59"/>
    </row>
    <row r="88" spans="1:81" x14ac:dyDescent="0.25">
      <c r="A88">
        <f t="shared" si="54"/>
        <v>27000</v>
      </c>
      <c r="B88">
        <f t="shared" si="86"/>
        <v>27</v>
      </c>
      <c r="C88">
        <f t="shared" si="55"/>
        <v>1.0247662489169245</v>
      </c>
      <c r="D88">
        <f t="shared" si="56"/>
        <v>0.2202983618820655</v>
      </c>
      <c r="F88">
        <f t="shared" si="57"/>
        <v>3.6367805491902161E-2</v>
      </c>
      <c r="G88">
        <f t="shared" si="58"/>
        <v>6.60257950832457E-2</v>
      </c>
      <c r="H88">
        <f t="shared" si="59"/>
        <v>-3.0755668549167545</v>
      </c>
      <c r="J88">
        <f t="shared" si="60"/>
        <v>15</v>
      </c>
      <c r="M88">
        <f t="shared" si="61"/>
        <v>5.533718413715142E-2</v>
      </c>
      <c r="N88">
        <f t="shared" si="62"/>
        <v>-1.5707963250000001</v>
      </c>
      <c r="O88">
        <f t="shared" si="63"/>
        <v>6.9769678694752058</v>
      </c>
      <c r="P88">
        <f t="shared" si="64"/>
        <v>1.4269722591866294</v>
      </c>
      <c r="Q88">
        <f t="shared" si="65"/>
        <v>5.9290737706326597</v>
      </c>
      <c r="R88">
        <f t="shared" si="66"/>
        <v>1.4013258779737898</v>
      </c>
      <c r="S88">
        <f t="shared" si="67"/>
        <v>0.97656855060344416</v>
      </c>
      <c r="T88">
        <f t="shared" si="68"/>
        <v>-0.21690334700358493</v>
      </c>
      <c r="U88">
        <f t="shared" si="69"/>
        <v>0.98554362347616975</v>
      </c>
      <c r="V88">
        <f t="shared" si="70"/>
        <v>-0.17024301784938001</v>
      </c>
      <c r="X88">
        <f t="shared" si="87"/>
        <v>1.8096477498555013</v>
      </c>
      <c r="Y88">
        <f t="shared" si="71"/>
        <v>-113.72714035058051</v>
      </c>
      <c r="Z88">
        <f t="shared" si="88"/>
        <v>66.272859649419487</v>
      </c>
      <c r="AC88">
        <v>1</v>
      </c>
      <c r="AD88">
        <f t="shared" si="72"/>
        <v>6.9049316181762004</v>
      </c>
      <c r="AE88">
        <f t="shared" si="73"/>
        <v>-1.4056728608428891E-4</v>
      </c>
      <c r="AF88">
        <f t="shared" si="74"/>
        <v>8.1769373494200003E-4</v>
      </c>
      <c r="AG88">
        <f t="shared" si="89"/>
        <v>7997.8128279182893</v>
      </c>
      <c r="AH88">
        <f t="shared" si="90"/>
        <v>-2597.8318691426198</v>
      </c>
      <c r="AJ88">
        <f t="shared" si="75"/>
        <v>22100</v>
      </c>
      <c r="AK88">
        <f t="shared" si="76"/>
        <v>4870.180492394491</v>
      </c>
      <c r="AL88">
        <v>1</v>
      </c>
      <c r="AM88">
        <f t="shared" si="77"/>
        <v>5.8441351607919003</v>
      </c>
      <c r="AN88">
        <f t="shared" si="91"/>
        <v>1438.3032995492767</v>
      </c>
      <c r="AO88">
        <f t="shared" si="92"/>
        <v>-3535.4583923844416</v>
      </c>
      <c r="AQ88">
        <f t="shared" si="78"/>
        <v>3.4281796366129584</v>
      </c>
      <c r="AR88">
        <f t="shared" si="79"/>
        <v>-185.12170037709976</v>
      </c>
      <c r="AT88">
        <f t="shared" si="104"/>
        <v>-453497.11383538967</v>
      </c>
      <c r="AU88">
        <f t="shared" si="105"/>
        <v>-1489474.5443151533</v>
      </c>
      <c r="AV88">
        <f t="shared" si="93"/>
        <v>-1.8663470101845347</v>
      </c>
      <c r="AW88">
        <f t="shared" si="94"/>
        <v>-639559.24062645913</v>
      </c>
      <c r="AX88">
        <f t="shared" si="95"/>
        <v>-292300.45159253612</v>
      </c>
      <c r="AY88">
        <f t="shared" si="103"/>
        <v>-2.7129044975479641</v>
      </c>
      <c r="BA88">
        <f t="shared" si="80"/>
        <v>2.2141715585774073</v>
      </c>
      <c r="BB88">
        <f t="shared" si="96"/>
        <v>6.9042253575653785</v>
      </c>
      <c r="BC88">
        <f t="shared" si="97"/>
        <v>0.8465574873634294</v>
      </c>
      <c r="BD88">
        <f t="shared" si="81"/>
        <v>-131.49582880345187</v>
      </c>
      <c r="BF88">
        <f t="shared" si="82"/>
        <v>1.852888717382152</v>
      </c>
      <c r="BG88">
        <f t="shared" si="83"/>
        <v>-115.09066301795261</v>
      </c>
      <c r="BH88">
        <f t="shared" si="98"/>
        <v>64.909336982047392</v>
      </c>
      <c r="BI88">
        <f t="shared" si="99"/>
        <v>64.909336982047392</v>
      </c>
      <c r="BJ88">
        <f t="shared" si="84"/>
        <v>0</v>
      </c>
      <c r="BK88">
        <f t="shared" si="100"/>
        <v>0</v>
      </c>
      <c r="BM88">
        <f t="shared" si="101"/>
        <v>-5.0513366401832274</v>
      </c>
      <c r="BN88">
        <f t="shared" si="85"/>
        <v>-163.59483421450074</v>
      </c>
      <c r="BQ88" s="56">
        <f t="shared" si="102"/>
        <v>23.806186157850515</v>
      </c>
      <c r="BR88" s="59"/>
      <c r="BS88" s="59"/>
      <c r="BT88" s="59">
        <v>602.55999999999995</v>
      </c>
      <c r="BU88" s="59">
        <v>19.198</v>
      </c>
      <c r="BV88" s="59">
        <v>-264.00260000000003</v>
      </c>
      <c r="BW88" s="61"/>
      <c r="BY88" s="59"/>
      <c r="BZ88" s="59"/>
      <c r="CA88" s="59"/>
      <c r="CC88" s="59"/>
    </row>
    <row r="89" spans="1:81" x14ac:dyDescent="0.25">
      <c r="A89">
        <f t="shared" si="54"/>
        <v>27500</v>
      </c>
      <c r="B89">
        <f t="shared" si="86"/>
        <v>27.5</v>
      </c>
      <c r="C89">
        <f t="shared" si="55"/>
        <v>1.0256804161015272</v>
      </c>
      <c r="D89">
        <f t="shared" si="56"/>
        <v>0.22424373474812351</v>
      </c>
      <c r="F89">
        <f t="shared" si="57"/>
        <v>3.5014051401839857E-2</v>
      </c>
      <c r="G89">
        <f t="shared" si="58"/>
        <v>6.4743428995954463E-2</v>
      </c>
      <c r="H89">
        <f t="shared" si="59"/>
        <v>-3.0768492210040459</v>
      </c>
      <c r="J89">
        <f t="shared" si="60"/>
        <v>15</v>
      </c>
      <c r="M89">
        <f t="shared" si="61"/>
        <v>5.4331053516475943E-2</v>
      </c>
      <c r="N89">
        <f t="shared" si="62"/>
        <v>-1.5707963250000001</v>
      </c>
      <c r="O89">
        <f t="shared" si="63"/>
        <v>7.1035403847946768</v>
      </c>
      <c r="P89">
        <f t="shared" si="64"/>
        <v>1.4295522878279818</v>
      </c>
      <c r="Q89">
        <f t="shared" si="65"/>
        <v>6.0357756926814083</v>
      </c>
      <c r="R89">
        <f t="shared" si="66"/>
        <v>1.4043500549873209</v>
      </c>
      <c r="S89">
        <f t="shared" si="67"/>
        <v>0.97572432346916005</v>
      </c>
      <c r="T89">
        <f t="shared" si="68"/>
        <v>-0.22079191755973349</v>
      </c>
      <c r="U89">
        <f t="shared" si="69"/>
        <v>0.98501533101876337</v>
      </c>
      <c r="V89">
        <f t="shared" si="70"/>
        <v>-0.17333345107034026</v>
      </c>
      <c r="X89">
        <f t="shared" si="87"/>
        <v>1.6274376170243849</v>
      </c>
      <c r="Y89">
        <f t="shared" si="71"/>
        <v>-113.65333143134413</v>
      </c>
      <c r="Z89">
        <f t="shared" si="88"/>
        <v>66.346668568655872</v>
      </c>
      <c r="AC89">
        <v>1</v>
      </c>
      <c r="AD89">
        <f t="shared" si="72"/>
        <v>7.0328007222165008</v>
      </c>
      <c r="AE89">
        <f t="shared" si="73"/>
        <v>-1.4582168738167832E-4</v>
      </c>
      <c r="AF89">
        <f t="shared" si="74"/>
        <v>8.3283621151500006E-4</v>
      </c>
      <c r="AG89">
        <f t="shared" si="89"/>
        <v>7989.2408040023402</v>
      </c>
      <c r="AH89">
        <f t="shared" si="90"/>
        <v>-2599.5562452788286</v>
      </c>
      <c r="AJ89">
        <f t="shared" si="75"/>
        <v>22100</v>
      </c>
      <c r="AK89">
        <f t="shared" si="76"/>
        <v>4960.3690200314259</v>
      </c>
      <c r="AL89">
        <v>1</v>
      </c>
      <c r="AM89">
        <f t="shared" si="77"/>
        <v>5.9523598859917506</v>
      </c>
      <c r="AN89">
        <f t="shared" si="91"/>
        <v>1417.1031572043241</v>
      </c>
      <c r="AO89">
        <f t="shared" si="92"/>
        <v>-3474.7389672238546</v>
      </c>
      <c r="AQ89">
        <f t="shared" si="78"/>
        <v>3.3046926635822866</v>
      </c>
      <c r="AR89">
        <f t="shared" si="79"/>
        <v>-181.75809649702578</v>
      </c>
      <c r="AT89">
        <f t="shared" si="104"/>
        <v>-446088.40940625651</v>
      </c>
      <c r="AU89">
        <f t="shared" si="105"/>
        <v>-1460699.9354441755</v>
      </c>
      <c r="AV89">
        <f t="shared" si="93"/>
        <v>-1.8671940017591733</v>
      </c>
      <c r="AW89">
        <f t="shared" si="94"/>
        <v>-616915.84122700919</v>
      </c>
      <c r="AX89">
        <f t="shared" si="95"/>
        <v>-282774.88010778866</v>
      </c>
      <c r="AY89">
        <f t="shared" si="103"/>
        <v>-2.7118011908368818</v>
      </c>
      <c r="BA89">
        <f t="shared" si="80"/>
        <v>2.2505408650875425</v>
      </c>
      <c r="BB89">
        <f t="shared" si="96"/>
        <v>7.0457380644047971</v>
      </c>
      <c r="BC89">
        <f t="shared" si="97"/>
        <v>0.84460718907770849</v>
      </c>
      <c r="BD89">
        <f t="shared" si="81"/>
        <v>-131.60757266414296</v>
      </c>
      <c r="BF89">
        <f t="shared" si="82"/>
        <v>1.6726518121758247</v>
      </c>
      <c r="BG89">
        <f t="shared" si="83"/>
        <v>-115.04982782923128</v>
      </c>
      <c r="BH89">
        <f t="shared" si="98"/>
        <v>64.950172170768724</v>
      </c>
      <c r="BI89">
        <f t="shared" si="99"/>
        <v>64.950172170768724</v>
      </c>
      <c r="BJ89">
        <f t="shared" si="84"/>
        <v>0</v>
      </c>
      <c r="BK89">
        <f t="shared" si="100"/>
        <v>0</v>
      </c>
      <c r="BM89">
        <f t="shared" si="101"/>
        <v>-5.3730862522289735</v>
      </c>
      <c r="BN89">
        <f t="shared" si="85"/>
        <v>-163.44225516508831</v>
      </c>
      <c r="BQ89" s="56">
        <f t="shared" si="102"/>
        <v>23.947698864689933</v>
      </c>
      <c r="BR89" s="59"/>
      <c r="BS89" s="59"/>
      <c r="BT89" s="59">
        <v>616.59500000000003</v>
      </c>
      <c r="BU89" s="59">
        <v>18.983699999999999</v>
      </c>
      <c r="BV89" s="59">
        <v>-264.13310000000001</v>
      </c>
      <c r="BW89" s="61"/>
      <c r="BY89" s="59"/>
      <c r="BZ89" s="59"/>
      <c r="CA89" s="59"/>
      <c r="CC89" s="59"/>
    </row>
    <row r="90" spans="1:81" x14ac:dyDescent="0.25">
      <c r="A90">
        <f t="shared" si="54"/>
        <v>28000</v>
      </c>
      <c r="B90">
        <f t="shared" si="86"/>
        <v>28</v>
      </c>
      <c r="C90">
        <f t="shared" si="55"/>
        <v>1.0266105204148643</v>
      </c>
      <c r="D90">
        <f t="shared" si="56"/>
        <v>0.22818201984697678</v>
      </c>
      <c r="F90">
        <f t="shared" si="57"/>
        <v>3.3735243590388375E-2</v>
      </c>
      <c r="G90">
        <f t="shared" si="58"/>
        <v>6.3511311172588181E-2</v>
      </c>
      <c r="H90">
        <f t="shared" si="59"/>
        <v>-3.078081338827412</v>
      </c>
      <c r="J90">
        <f t="shared" si="60"/>
        <v>15</v>
      </c>
      <c r="M90">
        <f t="shared" si="61"/>
        <v>5.3360856132253158E-2</v>
      </c>
      <c r="N90">
        <f t="shared" si="62"/>
        <v>-1.5707963250000001</v>
      </c>
      <c r="O90">
        <f t="shared" si="63"/>
        <v>7.2301585294282855</v>
      </c>
      <c r="P90">
        <f t="shared" si="64"/>
        <v>1.4320419670633098</v>
      </c>
      <c r="Q90">
        <f t="shared" si="65"/>
        <v>6.1425308977173616</v>
      </c>
      <c r="R90">
        <f t="shared" si="66"/>
        <v>1.4072691394885952</v>
      </c>
      <c r="S90">
        <f t="shared" si="67"/>
        <v>0.97486685207568735</v>
      </c>
      <c r="T90">
        <f t="shared" si="68"/>
        <v>-0.22467371213681511</v>
      </c>
      <c r="U90">
        <f t="shared" si="69"/>
        <v>0.98447821725824713</v>
      </c>
      <c r="V90">
        <f t="shared" si="70"/>
        <v>-0.17642054341713073</v>
      </c>
      <c r="X90">
        <f t="shared" si="87"/>
        <v>1.4490038629189801</v>
      </c>
      <c r="Y90">
        <f t="shared" si="71"/>
        <v>-113.58766794187837</v>
      </c>
      <c r="Z90">
        <f t="shared" si="88"/>
        <v>66.412332058121635</v>
      </c>
      <c r="AC90">
        <v>1</v>
      </c>
      <c r="AD90">
        <f t="shared" si="72"/>
        <v>7.1606698262568003</v>
      </c>
      <c r="AE90">
        <f t="shared" si="73"/>
        <v>-1.5117249971204736E-4</v>
      </c>
      <c r="AF90">
        <f t="shared" si="74"/>
        <v>8.4797868808799998E-4</v>
      </c>
      <c r="AG90">
        <f t="shared" si="89"/>
        <v>7980.5303584025796</v>
      </c>
      <c r="AH90">
        <f t="shared" si="90"/>
        <v>-2601.9954915171447</v>
      </c>
      <c r="AJ90">
        <f t="shared" si="75"/>
        <v>22100</v>
      </c>
      <c r="AK90">
        <f t="shared" si="76"/>
        <v>5050.5575476683607</v>
      </c>
      <c r="AL90">
        <v>1</v>
      </c>
      <c r="AM90">
        <f t="shared" si="77"/>
        <v>6.0605846111916009</v>
      </c>
      <c r="AN90">
        <f t="shared" si="91"/>
        <v>1396.9884244788259</v>
      </c>
      <c r="AO90">
        <f t="shared" si="92"/>
        <v>-3416.0089997408109</v>
      </c>
      <c r="AQ90">
        <f t="shared" si="78"/>
        <v>3.1877590054191902</v>
      </c>
      <c r="AR90">
        <f t="shared" si="79"/>
        <v>-178.51450430347467</v>
      </c>
      <c r="AT90">
        <f t="shared" si="104"/>
        <v>-439053.92785003997</v>
      </c>
      <c r="AU90">
        <f t="shared" si="105"/>
        <v>-1432934.9555692114</v>
      </c>
      <c r="AV90">
        <f t="shared" si="93"/>
        <v>-1.8681159848040616</v>
      </c>
      <c r="AW90">
        <f t="shared" si="94"/>
        <v>-595426.64613158314</v>
      </c>
      <c r="AX90">
        <f t="shared" si="95"/>
        <v>-273804.53943919891</v>
      </c>
      <c r="AY90">
        <f t="shared" si="103"/>
        <v>-2.7105810555642496</v>
      </c>
      <c r="BA90">
        <f t="shared" si="80"/>
        <v>2.2868055192241257</v>
      </c>
      <c r="BB90">
        <f t="shared" si="96"/>
        <v>7.1845846343368249</v>
      </c>
      <c r="BC90">
        <f t="shared" si="97"/>
        <v>0.84246507076018795</v>
      </c>
      <c r="BD90">
        <f t="shared" si="81"/>
        <v>-131.73030700309482</v>
      </c>
      <c r="BF90">
        <f t="shared" si="82"/>
        <v>1.4962010327690929</v>
      </c>
      <c r="BG90">
        <f t="shared" si="83"/>
        <v>-115.0175102044641</v>
      </c>
      <c r="BH90">
        <f t="shared" si="98"/>
        <v>64.982489795535898</v>
      </c>
      <c r="BI90">
        <f t="shared" si="99"/>
        <v>64.982489795535898</v>
      </c>
      <c r="BJ90">
        <f t="shared" si="84"/>
        <v>0</v>
      </c>
      <c r="BK90">
        <f t="shared" si="100"/>
        <v>0</v>
      </c>
      <c r="BM90">
        <f t="shared" si="101"/>
        <v>-5.6883836015677307</v>
      </c>
      <c r="BN90">
        <f t="shared" si="85"/>
        <v>-163.28720320136932</v>
      </c>
      <c r="BQ90" s="56">
        <f t="shared" si="102"/>
        <v>24.086545434621961</v>
      </c>
      <c r="BR90" s="59"/>
      <c r="BS90" s="59"/>
      <c r="BT90" s="59">
        <v>630.95699999999999</v>
      </c>
      <c r="BU90" s="59">
        <v>18.802900000000001</v>
      </c>
      <c r="BV90" s="59">
        <v>-263.74850000000004</v>
      </c>
      <c r="BW90" s="61"/>
      <c r="BY90" s="59"/>
      <c r="BZ90" s="59"/>
      <c r="CA90" s="59"/>
      <c r="CC90" s="59"/>
    </row>
    <row r="91" spans="1:81" x14ac:dyDescent="0.25">
      <c r="A91">
        <f t="shared" si="54"/>
        <v>28500</v>
      </c>
      <c r="B91">
        <f t="shared" si="86"/>
        <v>28.5</v>
      </c>
      <c r="C91">
        <f t="shared" si="55"/>
        <v>1.0275565185799238</v>
      </c>
      <c r="D91">
        <f t="shared" si="56"/>
        <v>0.23211311442696705</v>
      </c>
      <c r="F91">
        <f t="shared" si="57"/>
        <v>3.2525899848976872E-2</v>
      </c>
      <c r="G91">
        <f t="shared" si="58"/>
        <v>6.2326477495872293E-2</v>
      </c>
      <c r="H91">
        <f t="shared" si="59"/>
        <v>-3.0792661725041279</v>
      </c>
      <c r="J91">
        <f t="shared" si="60"/>
        <v>15</v>
      </c>
      <c r="M91">
        <f t="shared" si="61"/>
        <v>5.2424700761511872E-2</v>
      </c>
      <c r="N91">
        <f t="shared" si="62"/>
        <v>-1.5707963250000001</v>
      </c>
      <c r="O91">
        <f t="shared" si="63"/>
        <v>7.3568199473995817</v>
      </c>
      <c r="P91">
        <f t="shared" si="64"/>
        <v>1.4344459318039724</v>
      </c>
      <c r="Q91">
        <f t="shared" si="65"/>
        <v>6.2493366550979106</v>
      </c>
      <c r="R91">
        <f t="shared" si="66"/>
        <v>1.4100884687340998</v>
      </c>
      <c r="S91">
        <f t="shared" si="67"/>
        <v>0.97399624872823654</v>
      </c>
      <c r="T91">
        <f t="shared" si="68"/>
        <v>-0.22854863175485304</v>
      </c>
      <c r="U91">
        <f t="shared" si="69"/>
        <v>0.98393232730376146</v>
      </c>
      <c r="V91">
        <f t="shared" si="70"/>
        <v>-0.17950424155981268</v>
      </c>
      <c r="X91">
        <f t="shared" si="87"/>
        <v>1.2741764066025349</v>
      </c>
      <c r="Y91">
        <f t="shared" si="71"/>
        <v>-113.52974551098336</v>
      </c>
      <c r="Z91">
        <f t="shared" si="88"/>
        <v>66.470254489016639</v>
      </c>
      <c r="AC91">
        <v>1</v>
      </c>
      <c r="AD91">
        <f t="shared" si="72"/>
        <v>7.2885389302971006</v>
      </c>
      <c r="AE91">
        <f t="shared" si="73"/>
        <v>-1.5661972307539601E-4</v>
      </c>
      <c r="AF91">
        <f t="shared" si="74"/>
        <v>8.6312116466100001E-4</v>
      </c>
      <c r="AG91">
        <f t="shared" si="89"/>
        <v>7971.6824561378899</v>
      </c>
      <c r="AH91">
        <f t="shared" si="90"/>
        <v>-2605.1066649587265</v>
      </c>
      <c r="AJ91">
        <f t="shared" si="75"/>
        <v>22100</v>
      </c>
      <c r="AK91">
        <f t="shared" si="76"/>
        <v>5140.7460753052956</v>
      </c>
      <c r="AL91">
        <v>1</v>
      </c>
      <c r="AM91">
        <f t="shared" si="77"/>
        <v>6.1688093363914511</v>
      </c>
      <c r="AN91">
        <f t="shared" si="91"/>
        <v>1377.8868981036348</v>
      </c>
      <c r="AO91">
        <f t="shared" si="92"/>
        <v>-3359.1754862078642</v>
      </c>
      <c r="AQ91">
        <f t="shared" si="78"/>
        <v>3.0769230769230771</v>
      </c>
      <c r="AR91">
        <f t="shared" si="79"/>
        <v>-175.38461538461539</v>
      </c>
      <c r="AT91">
        <f t="shared" si="104"/>
        <v>-432367.37675849081</v>
      </c>
      <c r="AU91">
        <f t="shared" si="105"/>
        <v>-1406126.1743532876</v>
      </c>
      <c r="AV91">
        <f t="shared" si="93"/>
        <v>-1.8691089032882311</v>
      </c>
      <c r="AW91">
        <f t="shared" si="94"/>
        <v>-575015.36927755433</v>
      </c>
      <c r="AX91">
        <f t="shared" si="95"/>
        <v>-265346.20960639016</v>
      </c>
      <c r="AY91">
        <f t="shared" si="103"/>
        <v>-2.7092501115813947</v>
      </c>
      <c r="BA91">
        <f t="shared" si="80"/>
        <v>2.3229611877366838</v>
      </c>
      <c r="BB91">
        <f t="shared" si="96"/>
        <v>7.320839072521256</v>
      </c>
      <c r="BC91">
        <f t="shared" si="97"/>
        <v>0.84014120829316363</v>
      </c>
      <c r="BD91">
        <f t="shared" si="81"/>
        <v>-131.86345451477632</v>
      </c>
      <c r="BF91">
        <f t="shared" si="82"/>
        <v>1.3233650352464865</v>
      </c>
      <c r="BG91">
        <f t="shared" si="83"/>
        <v>-114.99330855676641</v>
      </c>
      <c r="BH91">
        <f t="shared" si="98"/>
        <v>65.006691443233592</v>
      </c>
      <c r="BI91">
        <f t="shared" si="99"/>
        <v>65.006691443233592</v>
      </c>
      <c r="BJ91">
        <f t="shared" si="84"/>
        <v>0</v>
      </c>
      <c r="BK91">
        <f t="shared" si="100"/>
        <v>0</v>
      </c>
      <c r="BM91">
        <f t="shared" si="101"/>
        <v>-5.9974740372747695</v>
      </c>
      <c r="BN91">
        <f t="shared" si="85"/>
        <v>-163.12985404199011</v>
      </c>
      <c r="BQ91" s="56">
        <f t="shared" si="102"/>
        <v>24.222799872806391</v>
      </c>
      <c r="BR91" s="59"/>
      <c r="BS91" s="59"/>
      <c r="BT91" s="59">
        <v>645.654</v>
      </c>
      <c r="BU91" s="59">
        <v>18.598600000000001</v>
      </c>
      <c r="BV91" s="59">
        <v>-263.7636</v>
      </c>
      <c r="BW91" s="61"/>
      <c r="BY91" s="59"/>
      <c r="BZ91" s="59"/>
      <c r="CA91" s="59"/>
      <c r="CC91" s="59"/>
    </row>
    <row r="92" spans="1:81" x14ac:dyDescent="0.25">
      <c r="A92">
        <f t="shared" si="54"/>
        <v>29000</v>
      </c>
      <c r="B92">
        <f t="shared" si="86"/>
        <v>29</v>
      </c>
      <c r="C92">
        <f t="shared" si="55"/>
        <v>1.0285183667407434</v>
      </c>
      <c r="D92">
        <f t="shared" si="56"/>
        <v>0.23603691700020288</v>
      </c>
      <c r="F92">
        <f t="shared" si="57"/>
        <v>3.1381034415721105E-2</v>
      </c>
      <c r="G92">
        <f t="shared" si="58"/>
        <v>6.1186196673653798E-2</v>
      </c>
      <c r="H92">
        <f t="shared" si="59"/>
        <v>-3.0804064533263462</v>
      </c>
      <c r="J92">
        <f t="shared" si="60"/>
        <v>15</v>
      </c>
      <c r="M92">
        <f t="shared" si="61"/>
        <v>5.152082661045132E-2</v>
      </c>
      <c r="N92">
        <f t="shared" si="62"/>
        <v>-1.5707963250000001</v>
      </c>
      <c r="O92">
        <f t="shared" si="63"/>
        <v>7.4835224414565849</v>
      </c>
      <c r="P92">
        <f t="shared" si="64"/>
        <v>1.4367685071948704</v>
      </c>
      <c r="Q92">
        <f t="shared" si="65"/>
        <v>6.3561904164662497</v>
      </c>
      <c r="R92">
        <f t="shared" si="66"/>
        <v>1.4128130276837549</v>
      </c>
      <c r="S92">
        <f t="shared" si="67"/>
        <v>0.97311262690214817</v>
      </c>
      <c r="T92">
        <f t="shared" si="68"/>
        <v>-0.23241657860993903</v>
      </c>
      <c r="U92">
        <f t="shared" si="69"/>
        <v>0.98337770686540527</v>
      </c>
      <c r="V92">
        <f t="shared" si="70"/>
        <v>-0.18258449254385381</v>
      </c>
      <c r="X92">
        <f t="shared" si="87"/>
        <v>1.1027963819780739</v>
      </c>
      <c r="Y92">
        <f t="shared" si="71"/>
        <v>-113.47918437746408</v>
      </c>
      <c r="Z92">
        <f t="shared" si="88"/>
        <v>66.52081562253592</v>
      </c>
      <c r="AC92">
        <v>1</v>
      </c>
      <c r="AD92">
        <f t="shared" si="72"/>
        <v>7.416408034337401</v>
      </c>
      <c r="AE92">
        <f t="shared" si="73"/>
        <v>-1.6216335747172429E-4</v>
      </c>
      <c r="AF92">
        <f t="shared" si="74"/>
        <v>8.7826364123400004E-4</v>
      </c>
      <c r="AG92">
        <f t="shared" si="89"/>
        <v>7962.6980741556254</v>
      </c>
      <c r="AH92">
        <f t="shared" si="90"/>
        <v>-2608.8497196802873</v>
      </c>
      <c r="AJ92">
        <f t="shared" si="75"/>
        <v>22100</v>
      </c>
      <c r="AK92">
        <f t="shared" si="76"/>
        <v>5230.9346029422313</v>
      </c>
      <c r="AL92">
        <v>1</v>
      </c>
      <c r="AM92">
        <f t="shared" si="77"/>
        <v>6.2770340615913005</v>
      </c>
      <c r="AN92">
        <f t="shared" si="91"/>
        <v>1359.7322276292084</v>
      </c>
      <c r="AO92">
        <f t="shared" si="92"/>
        <v>-3304.1509045297253</v>
      </c>
      <c r="AQ92">
        <f t="shared" si="78"/>
        <v>2.9717682020802378</v>
      </c>
      <c r="AR92">
        <f t="shared" si="79"/>
        <v>-172.3625557206538</v>
      </c>
      <c r="AT92">
        <f t="shared" si="104"/>
        <v>-426004.71223566437</v>
      </c>
      <c r="AU92">
        <f t="shared" si="105"/>
        <v>-1380223.8871343434</v>
      </c>
      <c r="AV92">
        <f t="shared" si="93"/>
        <v>-1.870168967744247</v>
      </c>
      <c r="AW92">
        <f t="shared" si="94"/>
        <v>-555611.85942903464</v>
      </c>
      <c r="AX92">
        <f t="shared" si="95"/>
        <v>-257360.76502781914</v>
      </c>
      <c r="AY92">
        <f t="shared" si="103"/>
        <v>-2.7078139850744312</v>
      </c>
      <c r="BA92">
        <f t="shared" si="80"/>
        <v>2.3590036802209013</v>
      </c>
      <c r="BB92">
        <f t="shared" si="96"/>
        <v>7.4545723683552563</v>
      </c>
      <c r="BC92">
        <f t="shared" si="97"/>
        <v>0.83764501733018415</v>
      </c>
      <c r="BD92">
        <f t="shared" si="81"/>
        <v>-132.00647572197715</v>
      </c>
      <c r="BF92">
        <f t="shared" si="82"/>
        <v>1.1539836829836898</v>
      </c>
      <c r="BG92">
        <f t="shared" si="83"/>
        <v>-114.97684571526885</v>
      </c>
      <c r="BH92">
        <f t="shared" si="98"/>
        <v>65.023154284731149</v>
      </c>
      <c r="BI92">
        <f t="shared" si="99"/>
        <v>65.023154284731149</v>
      </c>
      <c r="BJ92">
        <f t="shared" si="84"/>
        <v>0</v>
      </c>
      <c r="BK92">
        <f t="shared" si="100"/>
        <v>0</v>
      </c>
      <c r="BM92">
        <f t="shared" si="101"/>
        <v>-6.3005886853715678</v>
      </c>
      <c r="BN92">
        <f t="shared" si="85"/>
        <v>-162.97036999329171</v>
      </c>
      <c r="BQ92" s="56">
        <f t="shared" si="102"/>
        <v>24.356533168640393</v>
      </c>
      <c r="BR92" s="59"/>
      <c r="BS92" s="59"/>
      <c r="BT92" s="59">
        <v>660.69299999999998</v>
      </c>
      <c r="BU92" s="59">
        <v>18.468</v>
      </c>
      <c r="BV92" s="59">
        <v>-263.60980000000001</v>
      </c>
      <c r="BW92" s="61"/>
      <c r="BY92" s="59"/>
      <c r="BZ92" s="59"/>
      <c r="CA92" s="59"/>
      <c r="CC92" s="59"/>
    </row>
    <row r="93" spans="1:81" x14ac:dyDescent="0.25">
      <c r="A93">
        <f t="shared" si="54"/>
        <v>29500</v>
      </c>
      <c r="B93">
        <f t="shared" si="86"/>
        <v>29.5</v>
      </c>
      <c r="C93">
        <f t="shared" si="55"/>
        <v>1.0294960204718315</v>
      </c>
      <c r="D93">
        <f t="shared" si="56"/>
        <v>0.23995332735306185</v>
      </c>
      <c r="F93">
        <f t="shared" si="57"/>
        <v>3.0296104578549761E-2</v>
      </c>
      <c r="G93">
        <f t="shared" si="58"/>
        <v>6.0087947507823834E-2</v>
      </c>
      <c r="H93">
        <f t="shared" si="59"/>
        <v>-3.0815047024921762</v>
      </c>
      <c r="J93">
        <f t="shared" si="60"/>
        <v>15</v>
      </c>
      <c r="M93">
        <f t="shared" si="61"/>
        <v>5.0647592261121636E-2</v>
      </c>
      <c r="N93">
        <f t="shared" si="62"/>
        <v>-1.5707963250000001</v>
      </c>
      <c r="O93">
        <f t="shared" si="63"/>
        <v>7.6102639599851214</v>
      </c>
      <c r="P93">
        <f t="shared" si="64"/>
        <v>1.4390137339108917</v>
      </c>
      <c r="Q93">
        <f t="shared" si="65"/>
        <v>6.4630898008842177</v>
      </c>
      <c r="R93">
        <f t="shared" si="66"/>
        <v>1.4154474773459538</v>
      </c>
      <c r="S93">
        <f t="shared" si="67"/>
        <v>0.97221610120492785</v>
      </c>
      <c r="T93">
        <f t="shared" si="68"/>
        <v>-0.23627745608434972</v>
      </c>
      <c r="U93">
        <f t="shared" si="69"/>
        <v>0.98281440224408056</v>
      </c>
      <c r="V93">
        <f t="shared" si="70"/>
        <v>-0.18566124379469007</v>
      </c>
      <c r="X93">
        <f t="shared" si="87"/>
        <v>0.93471517445439345</v>
      </c>
      <c r="Y93">
        <f t="shared" si="71"/>
        <v>-113.43562761933362</v>
      </c>
      <c r="Z93">
        <f t="shared" si="88"/>
        <v>66.564372380666384</v>
      </c>
      <c r="AC93">
        <v>1</v>
      </c>
      <c r="AD93">
        <f t="shared" si="72"/>
        <v>7.5442771383777005</v>
      </c>
      <c r="AE93">
        <f t="shared" si="73"/>
        <v>-1.6780340290103215E-4</v>
      </c>
      <c r="AF93">
        <f t="shared" si="74"/>
        <v>8.9340611780699996E-4</v>
      </c>
      <c r="AG93">
        <f t="shared" si="89"/>
        <v>7953.578201074376</v>
      </c>
      <c r="AH93">
        <f t="shared" si="90"/>
        <v>-2613.1872625972942</v>
      </c>
      <c r="AJ93">
        <f t="shared" si="75"/>
        <v>22100</v>
      </c>
      <c r="AK93">
        <f t="shared" si="76"/>
        <v>5321.1231305791653</v>
      </c>
      <c r="AL93">
        <v>1</v>
      </c>
      <c r="AM93">
        <f t="shared" si="77"/>
        <v>6.3852587867911517</v>
      </c>
      <c r="AN93">
        <f t="shared" si="91"/>
        <v>1342.4633602870379</v>
      </c>
      <c r="AO93">
        <f t="shared" si="92"/>
        <v>-3250.8528366388191</v>
      </c>
      <c r="AQ93">
        <f t="shared" si="78"/>
        <v>2.8719126938541066</v>
      </c>
      <c r="AR93">
        <f t="shared" si="79"/>
        <v>-169.44284893739231</v>
      </c>
      <c r="AT93">
        <f t="shared" si="104"/>
        <v>-419943.91238416429</v>
      </c>
      <c r="AU93">
        <f t="shared" si="105"/>
        <v>-1355181.795307253</v>
      </c>
      <c r="AV93">
        <f t="shared" si="93"/>
        <v>-1.8712926336671867</v>
      </c>
      <c r="AW93">
        <f t="shared" si="94"/>
        <v>-537151.52395785204</v>
      </c>
      <c r="AX93">
        <f t="shared" si="95"/>
        <v>-249812.72378428042</v>
      </c>
      <c r="AY93">
        <f t="shared" si="103"/>
        <v>-2.7062779405967246</v>
      </c>
      <c r="BA93">
        <f t="shared" si="80"/>
        <v>2.3949289385129293</v>
      </c>
      <c r="BB93">
        <f t="shared" si="96"/>
        <v>7.5858526341802124</v>
      </c>
      <c r="BC93">
        <f t="shared" si="97"/>
        <v>0.83498530692953787</v>
      </c>
      <c r="BD93">
        <f t="shared" si="81"/>
        <v>-132.15886590283537</v>
      </c>
      <c r="BF93">
        <f t="shared" si="82"/>
        <v>0.98790708400311389</v>
      </c>
      <c r="BG93">
        <f t="shared" si="83"/>
        <v>-114.96776715393821</v>
      </c>
      <c r="BH93">
        <f t="shared" si="98"/>
        <v>65.032232846061788</v>
      </c>
      <c r="BI93">
        <f t="shared" si="99"/>
        <v>65.032232846061788</v>
      </c>
      <c r="BJ93">
        <f t="shared" si="84"/>
        <v>0</v>
      </c>
      <c r="BK93">
        <f t="shared" si="100"/>
        <v>0</v>
      </c>
      <c r="BM93">
        <f t="shared" si="101"/>
        <v>-6.5979455501770978</v>
      </c>
      <c r="BN93">
        <f t="shared" si="85"/>
        <v>-162.80890125110287</v>
      </c>
      <c r="BQ93" s="56">
        <f t="shared" si="102"/>
        <v>24.487813434465345</v>
      </c>
      <c r="BR93" s="59"/>
      <c r="BS93" s="59"/>
      <c r="BT93" s="59">
        <v>676.08299999999997</v>
      </c>
      <c r="BU93" s="59">
        <v>18.2744</v>
      </c>
      <c r="BV93" s="59">
        <v>-263.3252</v>
      </c>
      <c r="BW93" s="61"/>
      <c r="BY93" s="59"/>
      <c r="BZ93" s="59"/>
      <c r="CA93" s="59"/>
      <c r="CC93" s="59"/>
    </row>
    <row r="94" spans="1:81" x14ac:dyDescent="0.25">
      <c r="A94">
        <f t="shared" si="54"/>
        <v>30000</v>
      </c>
      <c r="B94">
        <f t="shared" si="86"/>
        <v>30</v>
      </c>
      <c r="C94">
        <f t="shared" si="55"/>
        <v>1.0304894347876488</v>
      </c>
      <c r="D94">
        <f t="shared" si="56"/>
        <v>0.24386224655618216</v>
      </c>
      <c r="F94">
        <f t="shared" si="57"/>
        <v>2.9266963906643864E-2</v>
      </c>
      <c r="G94">
        <f t="shared" si="58"/>
        <v>5.9029398802178216E-2</v>
      </c>
      <c r="H94">
        <f t="shared" si="59"/>
        <v>-3.082563251197822</v>
      </c>
      <c r="J94">
        <f t="shared" si="60"/>
        <v>15</v>
      </c>
      <c r="M94">
        <f t="shared" si="61"/>
        <v>4.9803465723436274E-2</v>
      </c>
      <c r="N94">
        <f t="shared" si="62"/>
        <v>-1.5707963250000001</v>
      </c>
      <c r="O94">
        <f t="shared" si="63"/>
        <v>7.7370425851903271</v>
      </c>
      <c r="P94">
        <f t="shared" si="64"/>
        <v>1.4411853910292964</v>
      </c>
      <c r="Q94">
        <f t="shared" si="65"/>
        <v>6.5700325813879328</v>
      </c>
      <c r="R94">
        <f t="shared" si="66"/>
        <v>1.417996180453243</v>
      </c>
      <c r="S94">
        <f t="shared" si="67"/>
        <v>0.97130678733821252</v>
      </c>
      <c r="T94">
        <f t="shared" si="68"/>
        <v>-0.24013116875619908</v>
      </c>
      <c r="U94">
        <f t="shared" si="69"/>
        <v>0.98224246032125806</v>
      </c>
      <c r="V94">
        <f t="shared" si="70"/>
        <v>-0.18873444312218807</v>
      </c>
      <c r="X94">
        <f t="shared" si="87"/>
        <v>0.7697935582693689</v>
      </c>
      <c r="Y94">
        <f t="shared" si="71"/>
        <v>-113.39873952364505</v>
      </c>
      <c r="Z94">
        <f t="shared" si="88"/>
        <v>66.601260476354952</v>
      </c>
      <c r="AC94">
        <v>1</v>
      </c>
      <c r="AD94">
        <f t="shared" si="72"/>
        <v>7.6721462424180009</v>
      </c>
      <c r="AE94">
        <f t="shared" si="73"/>
        <v>-1.7353985936331963E-4</v>
      </c>
      <c r="AF94">
        <f t="shared" si="74"/>
        <v>9.0854859437999999E-4</v>
      </c>
      <c r="AG94">
        <f t="shared" si="89"/>
        <v>7944.3238369250239</v>
      </c>
      <c r="AH94">
        <f t="shared" si="90"/>
        <v>-2618.0843337497527</v>
      </c>
      <c r="AJ94">
        <f t="shared" si="75"/>
        <v>22100</v>
      </c>
      <c r="AK94">
        <f t="shared" si="76"/>
        <v>5411.311658216101</v>
      </c>
      <c r="AL94">
        <v>1</v>
      </c>
      <c r="AM94">
        <f t="shared" si="77"/>
        <v>6.493483511991001</v>
      </c>
      <c r="AN94">
        <f t="shared" si="91"/>
        <v>1326.0240457592813</v>
      </c>
      <c r="AO94">
        <f t="shared" si="92"/>
        <v>-3199.2036194253924</v>
      </c>
      <c r="AQ94">
        <f t="shared" si="78"/>
        <v>2.7770063871146902</v>
      </c>
      <c r="AR94">
        <f t="shared" si="79"/>
        <v>-166.62038322688142</v>
      </c>
      <c r="AT94">
        <f t="shared" si="104"/>
        <v>-414164.77697323001</v>
      </c>
      <c r="AU94">
        <f t="shared" si="105"/>
        <v>-1330956.7191037245</v>
      </c>
      <c r="AV94">
        <f t="shared" si="93"/>
        <v>-1.8724765819687439</v>
      </c>
      <c r="AW94">
        <f t="shared" si="94"/>
        <v>-519574.81406509649</v>
      </c>
      <c r="AX94">
        <f t="shared" si="95"/>
        <v>-242669.85295387774</v>
      </c>
      <c r="AY94">
        <f t="shared" si="103"/>
        <v>-2.7046469100623058</v>
      </c>
      <c r="BA94">
        <f t="shared" si="80"/>
        <v>2.4307330272033978</v>
      </c>
      <c r="BB94">
        <f t="shared" si="96"/>
        <v>7.7147452387392992</v>
      </c>
      <c r="BC94">
        <f t="shared" si="97"/>
        <v>0.83217032809356195</v>
      </c>
      <c r="BD94">
        <f t="shared" si="81"/>
        <v>-132.32015230973974</v>
      </c>
      <c r="BF94">
        <f t="shared" si="82"/>
        <v>0.82499472898832837</v>
      </c>
      <c r="BG94">
        <f t="shared" si="83"/>
        <v>-114.96573936110207</v>
      </c>
      <c r="BH94">
        <f t="shared" si="98"/>
        <v>65.034260638897933</v>
      </c>
      <c r="BI94">
        <f t="shared" si="99"/>
        <v>65.034260638897933</v>
      </c>
      <c r="BJ94">
        <f t="shared" si="84"/>
        <v>0</v>
      </c>
      <c r="BK94">
        <f t="shared" si="100"/>
        <v>0</v>
      </c>
      <c r="BM94">
        <f t="shared" si="101"/>
        <v>-6.8897505097509715</v>
      </c>
      <c r="BN94">
        <f t="shared" si="85"/>
        <v>-162.64558705136236</v>
      </c>
      <c r="BQ94" s="56">
        <f t="shared" si="102"/>
        <v>24.616706039024436</v>
      </c>
      <c r="BR94" s="59"/>
      <c r="BS94" s="59"/>
      <c r="BT94" s="59">
        <v>691.83100000000002</v>
      </c>
      <c r="BU94" s="59">
        <v>18.092600000000001</v>
      </c>
      <c r="BV94" s="59">
        <v>-263.57819999999998</v>
      </c>
      <c r="BW94" s="61"/>
      <c r="BY94" s="59"/>
      <c r="BZ94" s="59"/>
      <c r="CA94" s="59"/>
      <c r="CC94" s="59"/>
    </row>
    <row r="95" spans="1:81" x14ac:dyDescent="0.25">
      <c r="A95">
        <f t="shared" si="54"/>
        <v>30500</v>
      </c>
      <c r="B95">
        <f t="shared" si="86"/>
        <v>30.5</v>
      </c>
      <c r="C95">
        <f t="shared" si="55"/>
        <v>1.0314985641521446</v>
      </c>
      <c r="D95">
        <f t="shared" si="56"/>
        <v>0.24776357697394499</v>
      </c>
      <c r="F95">
        <f t="shared" si="57"/>
        <v>2.8289821180477251E-2</v>
      </c>
      <c r="G95">
        <f t="shared" si="58"/>
        <v>5.8008391555966064E-2</v>
      </c>
      <c r="H95">
        <f t="shared" si="59"/>
        <v>-3.0835842584440343</v>
      </c>
      <c r="J95">
        <f t="shared" si="60"/>
        <v>15</v>
      </c>
      <c r="M95">
        <f t="shared" si="61"/>
        <v>4.8987015465675021E-2</v>
      </c>
      <c r="N95">
        <f t="shared" si="62"/>
        <v>-1.5707963250000001</v>
      </c>
      <c r="O95">
        <f t="shared" si="63"/>
        <v>7.8638565224058468</v>
      </c>
      <c r="P95">
        <f t="shared" si="64"/>
        <v>1.443287016743122</v>
      </c>
      <c r="Q95">
        <f t="shared" si="65"/>
        <v>6.6770166728108098</v>
      </c>
      <c r="R95">
        <f t="shared" si="66"/>
        <v>1.4204632247547517</v>
      </c>
      <c r="S95">
        <f t="shared" si="67"/>
        <v>0.97038480205968747</v>
      </c>
      <c r="T95">
        <f t="shared" si="68"/>
        <v>-0.24397762240862775</v>
      </c>
      <c r="U95">
        <f t="shared" si="69"/>
        <v>0.98166192854866263</v>
      </c>
      <c r="V95">
        <f t="shared" si="70"/>
        <v>-0.19180403872500701</v>
      </c>
      <c r="X95">
        <f t="shared" si="87"/>
        <v>0.60790092221282865</v>
      </c>
      <c r="Y95">
        <f t="shared" si="71"/>
        <v>-113.36820408561019</v>
      </c>
      <c r="Z95">
        <f t="shared" si="88"/>
        <v>66.631795914389812</v>
      </c>
      <c r="AC95">
        <v>1</v>
      </c>
      <c r="AD95">
        <f t="shared" si="72"/>
        <v>7.8000153464582995</v>
      </c>
      <c r="AE95">
        <f t="shared" si="73"/>
        <v>-1.7937272685858679E-4</v>
      </c>
      <c r="AF95">
        <f t="shared" si="74"/>
        <v>9.2369107095300002E-4</v>
      </c>
      <c r="AG95">
        <f t="shared" si="89"/>
        <v>7934.9359928902013</v>
      </c>
      <c r="AH95">
        <f t="shared" si="90"/>
        <v>-2623.5082082073823</v>
      </c>
      <c r="AJ95">
        <f t="shared" si="75"/>
        <v>22100</v>
      </c>
      <c r="AK95">
        <f t="shared" si="76"/>
        <v>5501.5001858530359</v>
      </c>
      <c r="AL95">
        <v>1</v>
      </c>
      <c r="AM95">
        <f t="shared" si="77"/>
        <v>6.6017082371908513</v>
      </c>
      <c r="AN95">
        <f t="shared" si="91"/>
        <v>1310.3623936511901</v>
      </c>
      <c r="AO95">
        <f t="shared" si="92"/>
        <v>-3149.130022019147</v>
      </c>
      <c r="AQ95">
        <f t="shared" si="78"/>
        <v>2.6867275658248255</v>
      </c>
      <c r="AR95">
        <f t="shared" si="79"/>
        <v>-163.89038151531435</v>
      </c>
      <c r="AT95">
        <f t="shared" si="104"/>
        <v>-408648.74988651293</v>
      </c>
      <c r="AU95">
        <f t="shared" si="105"/>
        <v>-1307508.3389965331</v>
      </c>
      <c r="AV95">
        <f t="shared" si="93"/>
        <v>-1.8737177012636728</v>
      </c>
      <c r="AW95">
        <f t="shared" si="94"/>
        <v>-502826.76416168356</v>
      </c>
      <c r="AX95">
        <f t="shared" si="95"/>
        <v>-235902.82228473615</v>
      </c>
      <c r="AY95">
        <f t="shared" si="103"/>
        <v>-2.7029255190285504</v>
      </c>
      <c r="BA95">
        <f t="shared" si="80"/>
        <v>2.4664121251436435</v>
      </c>
      <c r="BB95">
        <f t="shared" si="96"/>
        <v>7.8413129352288555</v>
      </c>
      <c r="BC95">
        <f t="shared" si="97"/>
        <v>0.82920781776487762</v>
      </c>
      <c r="BD95">
        <f t="shared" si="81"/>
        <v>-132.48989164853123</v>
      </c>
      <c r="BF95">
        <f t="shared" si="82"/>
        <v>0.66511471769940089</v>
      </c>
      <c r="BG95">
        <f t="shared" si="83"/>
        <v>-114.97044833834141</v>
      </c>
      <c r="BH95">
        <f t="shared" si="98"/>
        <v>65.029551661658587</v>
      </c>
      <c r="BI95">
        <f t="shared" si="99"/>
        <v>65.029551661658587</v>
      </c>
      <c r="BJ95">
        <f t="shared" si="84"/>
        <v>0</v>
      </c>
      <c r="BK95">
        <f t="shared" si="100"/>
        <v>0</v>
      </c>
      <c r="BM95">
        <f t="shared" si="101"/>
        <v>-7.1761982175294534</v>
      </c>
      <c r="BN95">
        <f t="shared" si="85"/>
        <v>-162.48055668981021</v>
      </c>
      <c r="BQ95" s="56">
        <f t="shared" si="102"/>
        <v>24.743273735513995</v>
      </c>
      <c r="BR95" s="59"/>
      <c r="BS95" s="59"/>
      <c r="BT95" s="59">
        <v>707.94600000000003</v>
      </c>
      <c r="BU95" s="59">
        <v>17.887</v>
      </c>
      <c r="BV95" s="59">
        <v>-262.84989999999999</v>
      </c>
      <c r="BW95" s="61"/>
      <c r="BY95" s="59"/>
      <c r="BZ95" s="59"/>
      <c r="CA95" s="59"/>
      <c r="CC95" s="59"/>
    </row>
    <row r="96" spans="1:81" x14ac:dyDescent="0.25">
      <c r="A96">
        <f t="shared" si="54"/>
        <v>31000</v>
      </c>
      <c r="B96">
        <f t="shared" si="86"/>
        <v>31</v>
      </c>
      <c r="C96">
        <f t="shared" si="55"/>
        <v>1.0325233624883468</v>
      </c>
      <c r="D96">
        <f t="shared" si="56"/>
        <v>0.25165722227344905</v>
      </c>
      <c r="F96">
        <f t="shared" si="57"/>
        <v>2.7361204235724489E-2</v>
      </c>
      <c r="G96">
        <f t="shared" si="58"/>
        <v>5.7022923143186327E-2</v>
      </c>
      <c r="H96">
        <f t="shared" si="59"/>
        <v>-3.084569726856814</v>
      </c>
      <c r="J96">
        <f t="shared" si="60"/>
        <v>15</v>
      </c>
      <c r="M96">
        <f t="shared" si="61"/>
        <v>4.8196902313002853E-2</v>
      </c>
      <c r="N96">
        <f t="shared" si="62"/>
        <v>-1.5707963250000001</v>
      </c>
      <c r="O96">
        <f t="shared" si="63"/>
        <v>7.990704090407645</v>
      </c>
      <c r="P96">
        <f t="shared" si="64"/>
        <v>1.4453219271482793</v>
      </c>
      <c r="Q96">
        <f t="shared" si="65"/>
        <v>6.7840401207375871</v>
      </c>
      <c r="R96">
        <f t="shared" si="66"/>
        <v>1.4228524441772783</v>
      </c>
      <c r="S96">
        <f t="shared" si="67"/>
        <v>0.96945026314497595</v>
      </c>
      <c r="T96">
        <f t="shared" si="68"/>
        <v>-0.24781672403852967</v>
      </c>
      <c r="U96">
        <f t="shared" si="69"/>
        <v>0.98107285493788488</v>
      </c>
      <c r="V96">
        <f t="shared" si="70"/>
        <v>-0.19486997919485932</v>
      </c>
      <c r="X96">
        <f t="shared" si="87"/>
        <v>0.4489145731831472</v>
      </c>
      <c r="Y96">
        <f t="shared" si="71"/>
        <v>-113.34372362642726</v>
      </c>
      <c r="Z96">
        <f t="shared" si="88"/>
        <v>66.656276373572737</v>
      </c>
      <c r="AC96">
        <v>1</v>
      </c>
      <c r="AD96">
        <f t="shared" si="72"/>
        <v>7.927884450498599</v>
      </c>
      <c r="AE96">
        <f t="shared" si="73"/>
        <v>-1.8530200538683359E-4</v>
      </c>
      <c r="AF96">
        <f t="shared" si="74"/>
        <v>9.3883354752600004E-4</v>
      </c>
      <c r="AG96">
        <f t="shared" si="89"/>
        <v>7925.4156910423144</v>
      </c>
      <c r="AH96">
        <f t="shared" si="90"/>
        <v>-2629.428217152682</v>
      </c>
      <c r="AJ96">
        <f t="shared" si="75"/>
        <v>22100</v>
      </c>
      <c r="AK96">
        <f t="shared" si="76"/>
        <v>5591.6887134899707</v>
      </c>
      <c r="AL96">
        <v>1</v>
      </c>
      <c r="AM96">
        <f t="shared" si="77"/>
        <v>6.7099329623907007</v>
      </c>
      <c r="AN96">
        <f t="shared" si="91"/>
        <v>1295.4304774115662</v>
      </c>
      <c r="AO96">
        <f t="shared" si="92"/>
        <v>-3100.5629473794202</v>
      </c>
      <c r="AQ96">
        <f t="shared" si="78"/>
        <v>2.6007802340702209</v>
      </c>
      <c r="AR96">
        <f t="shared" si="79"/>
        <v>-161.24837451235371</v>
      </c>
      <c r="AT96">
        <f t="shared" si="104"/>
        <v>-403378.76143673336</v>
      </c>
      <c r="AU96">
        <f t="shared" si="105"/>
        <v>-1284798.962449353</v>
      </c>
      <c r="AV96">
        <f t="shared" si="93"/>
        <v>-1.8750130717927369</v>
      </c>
      <c r="AW96">
        <f t="shared" si="94"/>
        <v>-486856.57906973048</v>
      </c>
      <c r="AX96">
        <f t="shared" si="95"/>
        <v>-229484.89963800719</v>
      </c>
      <c r="AY96">
        <f t="shared" si="103"/>
        <v>-2.7011181105567927</v>
      </c>
      <c r="BA96">
        <f t="shared" si="80"/>
        <v>2.5019625178329665</v>
      </c>
      <c r="BB96">
        <f t="shared" si="96"/>
        <v>7.9656159838846721</v>
      </c>
      <c r="BC96">
        <f t="shared" si="97"/>
        <v>0.82610503876405583</v>
      </c>
      <c r="BD96">
        <f t="shared" si="81"/>
        <v>-132.66766779024326</v>
      </c>
      <c r="BF96">
        <f t="shared" si="82"/>
        <v>0.50814306322269664</v>
      </c>
      <c r="BG96">
        <f t="shared" si="83"/>
        <v>-114.98159821817622</v>
      </c>
      <c r="BH96">
        <f t="shared" si="98"/>
        <v>65.018401781823783</v>
      </c>
      <c r="BI96">
        <f t="shared" si="99"/>
        <v>65.018401781823783</v>
      </c>
      <c r="BJ96">
        <f t="shared" si="84"/>
        <v>0</v>
      </c>
      <c r="BK96">
        <f t="shared" si="100"/>
        <v>0</v>
      </c>
      <c r="BM96">
        <f t="shared" si="101"/>
        <v>-7.4574729206619761</v>
      </c>
      <c r="BN96">
        <f t="shared" si="85"/>
        <v>-162.31393042793297</v>
      </c>
      <c r="BQ96" s="56">
        <f t="shared" si="102"/>
        <v>24.867576784169806</v>
      </c>
      <c r="BR96" s="59"/>
      <c r="BS96" s="59"/>
      <c r="BT96" s="59">
        <v>724.43600000000004</v>
      </c>
      <c r="BU96" s="59">
        <v>17.753599999999999</v>
      </c>
      <c r="BV96" s="59">
        <v>-262.81690000000003</v>
      </c>
      <c r="BW96" s="61"/>
      <c r="BY96" s="59"/>
      <c r="BZ96" s="59"/>
      <c r="CA96" s="59"/>
      <c r="CC96" s="59"/>
    </row>
    <row r="97" spans="1:81" x14ac:dyDescent="0.25">
      <c r="A97">
        <f t="shared" si="54"/>
        <v>31500</v>
      </c>
      <c r="B97">
        <f t="shared" si="86"/>
        <v>31.5</v>
      </c>
      <c r="C97">
        <f t="shared" si="55"/>
        <v>1.033563783187998</v>
      </c>
      <c r="D97">
        <f t="shared" si="56"/>
        <v>0.25554308743297821</v>
      </c>
      <c r="F97">
        <f t="shared" si="57"/>
        <v>2.6477928056467984E-2</v>
      </c>
      <c r="G97">
        <f t="shared" si="58"/>
        <v>5.6071133222084284E-2</v>
      </c>
      <c r="H97">
        <f t="shared" si="59"/>
        <v>-3.085521516777916</v>
      </c>
      <c r="J97">
        <f t="shared" si="60"/>
        <v>15</v>
      </c>
      <c r="M97">
        <f t="shared" si="61"/>
        <v>4.7431872117558366E-2</v>
      </c>
      <c r="N97">
        <f t="shared" si="62"/>
        <v>-1.5707963250000001</v>
      </c>
      <c r="O97">
        <f t="shared" si="63"/>
        <v>8.117583712624473</v>
      </c>
      <c r="P97">
        <f t="shared" si="64"/>
        <v>1.4472932333089568</v>
      </c>
      <c r="Q97">
        <f t="shared" si="65"/>
        <v>6.8911010914693547</v>
      </c>
      <c r="R97">
        <f t="shared" si="66"/>
        <v>1.4251674380772485</v>
      </c>
      <c r="S97">
        <f t="shared" si="67"/>
        <v>0.96850328934952656</v>
      </c>
      <c r="T97">
        <f t="shared" si="68"/>
        <v>-0.25164838186481742</v>
      </c>
      <c r="U97">
        <f t="shared" si="69"/>
        <v>0.98047528804992634</v>
      </c>
      <c r="V97">
        <f t="shared" si="70"/>
        <v>-0.19793221352067017</v>
      </c>
      <c r="X97">
        <f t="shared" si="87"/>
        <v>0.29271910844396443</v>
      </c>
      <c r="Y97">
        <f t="shared" si="71"/>
        <v>-113.32501752000202</v>
      </c>
      <c r="Z97">
        <f t="shared" si="88"/>
        <v>66.674982479997979</v>
      </c>
      <c r="AC97">
        <v>1</v>
      </c>
      <c r="AD97">
        <f t="shared" si="72"/>
        <v>8.0557535545388994</v>
      </c>
      <c r="AE97">
        <f t="shared" si="73"/>
        <v>-1.9132769494805993E-4</v>
      </c>
      <c r="AF97">
        <f t="shared" si="74"/>
        <v>9.5397602409899997E-4</v>
      </c>
      <c r="AG97">
        <f t="shared" si="89"/>
        <v>7915.7639640801899</v>
      </c>
      <c r="AH97">
        <f t="shared" si="90"/>
        <v>-2635.8155860104034</v>
      </c>
      <c r="AJ97">
        <f t="shared" si="75"/>
        <v>22100</v>
      </c>
      <c r="AK97">
        <f t="shared" si="76"/>
        <v>5681.8772411269056</v>
      </c>
      <c r="AL97">
        <v>1</v>
      </c>
      <c r="AM97">
        <f t="shared" si="77"/>
        <v>6.818157687590551</v>
      </c>
      <c r="AN97">
        <f t="shared" si="91"/>
        <v>1281.1839792612157</v>
      </c>
      <c r="AO97">
        <f t="shared" si="92"/>
        <v>-3053.4371562908059</v>
      </c>
      <c r="AQ97">
        <f t="shared" si="78"/>
        <v>2.5188916876574305</v>
      </c>
      <c r="AR97">
        <f t="shared" si="79"/>
        <v>-158.69017632241813</v>
      </c>
      <c r="AT97">
        <f t="shared" si="104"/>
        <v>-398339.08804678894</v>
      </c>
      <c r="AU97">
        <f t="shared" si="105"/>
        <v>-1262793.3131563284</v>
      </c>
      <c r="AV97">
        <f t="shared" si="93"/>
        <v>-1.8763599508097164</v>
      </c>
      <c r="AW97">
        <f t="shared" si="94"/>
        <v>-471617.26351810829</v>
      </c>
      <c r="AX97">
        <f t="shared" si="95"/>
        <v>-223391.68260974428</v>
      </c>
      <c r="AY97">
        <f t="shared" si="103"/>
        <v>-2.6992287669051995</v>
      </c>
      <c r="BA97">
        <f t="shared" si="80"/>
        <v>2.5373805905897986</v>
      </c>
      <c r="BB97">
        <f t="shared" si="96"/>
        <v>8.0877122691196899</v>
      </c>
      <c r="BC97">
        <f t="shared" si="97"/>
        <v>0.82286881609548312</v>
      </c>
      <c r="BD97">
        <f t="shared" si="81"/>
        <v>-132.85308969092893</v>
      </c>
      <c r="BF97">
        <f t="shared" si="82"/>
        <v>0.35396306492101853</v>
      </c>
      <c r="BG97">
        <f t="shared" si="83"/>
        <v>-114.99890999073409</v>
      </c>
      <c r="BH97">
        <f t="shared" si="98"/>
        <v>65.001090009265909</v>
      </c>
      <c r="BI97">
        <f t="shared" si="99"/>
        <v>65.001090009265909</v>
      </c>
      <c r="BJ97">
        <f t="shared" si="84"/>
        <v>0</v>
      </c>
      <c r="BK97">
        <f t="shared" si="100"/>
        <v>0</v>
      </c>
      <c r="BM97">
        <f t="shared" si="101"/>
        <v>-7.7337492041986717</v>
      </c>
      <c r="BN97">
        <f t="shared" si="85"/>
        <v>-162.14582029980519</v>
      </c>
      <c r="BQ97" s="56">
        <f t="shared" si="102"/>
        <v>24.989673069404827</v>
      </c>
      <c r="BR97" s="59"/>
      <c r="BS97" s="59"/>
      <c r="BT97" s="59">
        <v>741.31</v>
      </c>
      <c r="BU97" s="59">
        <v>17.416399999999999</v>
      </c>
      <c r="BV97" s="59">
        <v>-262.19720000000001</v>
      </c>
      <c r="BW97" s="61"/>
      <c r="BY97" s="59"/>
      <c r="BZ97" s="59"/>
      <c r="CA97" s="59"/>
      <c r="CC97" s="59"/>
    </row>
    <row r="98" spans="1:81" x14ac:dyDescent="0.25">
      <c r="A98">
        <f t="shared" si="54"/>
        <v>32000</v>
      </c>
      <c r="B98">
        <f t="shared" si="86"/>
        <v>32</v>
      </c>
      <c r="C98">
        <f t="shared" si="55"/>
        <v>1.0346197791212335</v>
      </c>
      <c r="D98">
        <f t="shared" si="56"/>
        <v>0.2594210787499644</v>
      </c>
      <c r="F98">
        <f t="shared" si="57"/>
        <v>2.5637066553100059E-2</v>
      </c>
      <c r="G98">
        <f t="shared" si="58"/>
        <v>5.5151291156407829E-2</v>
      </c>
      <c r="H98">
        <f t="shared" si="59"/>
        <v>-3.0864413588435924</v>
      </c>
      <c r="J98">
        <f t="shared" si="60"/>
        <v>15</v>
      </c>
      <c r="M98">
        <f t="shared" si="61"/>
        <v>4.6690749115721512E-2</v>
      </c>
      <c r="N98">
        <f t="shared" si="62"/>
        <v>-1.5707963250000001</v>
      </c>
      <c r="O98">
        <f t="shared" si="63"/>
        <v>8.2444939091499663</v>
      </c>
      <c r="P98">
        <f t="shared" si="64"/>
        <v>1.4492038567816294</v>
      </c>
      <c r="Q98">
        <f t="shared" si="65"/>
        <v>6.9981978628938597</v>
      </c>
      <c r="R98">
        <f t="shared" si="66"/>
        <v>1.4274115887798915</v>
      </c>
      <c r="S98">
        <f t="shared" si="67"/>
        <v>0.9675440003705148</v>
      </c>
      <c r="T98">
        <f t="shared" si="68"/>
        <v>-0.25547250533622712</v>
      </c>
      <c r="U98">
        <f t="shared" si="69"/>
        <v>0.97986927698467396</v>
      </c>
      <c r="V98">
        <f t="shared" si="70"/>
        <v>-0.20099069109263465</v>
      </c>
      <c r="X98">
        <f t="shared" si="87"/>
        <v>0.13920584866355878</v>
      </c>
      <c r="Y98">
        <f t="shared" si="71"/>
        <v>-113.31182101949926</v>
      </c>
      <c r="Z98">
        <f t="shared" si="88"/>
        <v>66.688178980500737</v>
      </c>
      <c r="AC98">
        <v>1</v>
      </c>
      <c r="AD98">
        <f t="shared" si="72"/>
        <v>8.1836226585791998</v>
      </c>
      <c r="AE98">
        <f t="shared" si="73"/>
        <v>-1.9744979554226592E-4</v>
      </c>
      <c r="AF98">
        <f t="shared" si="74"/>
        <v>9.6911850067199999E-4</v>
      </c>
      <c r="AG98">
        <f t="shared" si="89"/>
        <v>7905.9818550645159</v>
      </c>
      <c r="AH98">
        <f t="shared" si="90"/>
        <v>-2642.643287758408</v>
      </c>
      <c r="AJ98">
        <f t="shared" si="75"/>
        <v>22100</v>
      </c>
      <c r="AK98">
        <f t="shared" si="76"/>
        <v>5772.0657687638404</v>
      </c>
      <c r="AL98">
        <v>1</v>
      </c>
      <c r="AM98">
        <f t="shared" si="77"/>
        <v>6.9263824127904003</v>
      </c>
      <c r="AN98">
        <f t="shared" si="91"/>
        <v>1267.5818713891654</v>
      </c>
      <c r="AO98">
        <f t="shared" si="92"/>
        <v>-3007.6910119980184</v>
      </c>
      <c r="AQ98">
        <f t="shared" si="78"/>
        <v>2.4408103490358801</v>
      </c>
      <c r="AR98">
        <f t="shared" si="79"/>
        <v>-156.21186233829633</v>
      </c>
      <c r="AT98">
        <f t="shared" si="104"/>
        <v>-393515.22714540787</v>
      </c>
      <c r="AU98">
        <f t="shared" si="105"/>
        <v>-1241458.3402779778</v>
      </c>
      <c r="AV98">
        <f t="shared" si="93"/>
        <v>-1.8777557592803216</v>
      </c>
      <c r="AW98">
        <f t="shared" si="94"/>
        <v>-457065.28910495882</v>
      </c>
      <c r="AX98">
        <f t="shared" si="95"/>
        <v>-217600.86155930487</v>
      </c>
      <c r="AY98">
        <f t="shared" si="103"/>
        <v>-2.6972613292783429</v>
      </c>
      <c r="BA98">
        <f t="shared" si="80"/>
        <v>2.572662822421703</v>
      </c>
      <c r="BB98">
        <f t="shared" si="96"/>
        <v>8.2076574112864087</v>
      </c>
      <c r="BC98">
        <f t="shared" si="97"/>
        <v>0.81950556999802138</v>
      </c>
      <c r="BD98">
        <f t="shared" si="81"/>
        <v>-133.0457894979975</v>
      </c>
      <c r="BF98">
        <f t="shared" si="82"/>
        <v>0.20246474216627097</v>
      </c>
      <c r="BG98">
        <f t="shared" si="83"/>
        <v>-115.02212033033919</v>
      </c>
      <c r="BH98">
        <f t="shared" si="98"/>
        <v>64.977879669660808</v>
      </c>
      <c r="BI98">
        <f t="shared" si="99"/>
        <v>64.977879669660808</v>
      </c>
      <c r="BJ98">
        <f t="shared" si="84"/>
        <v>0</v>
      </c>
      <c r="BK98">
        <f t="shared" si="100"/>
        <v>0</v>
      </c>
      <c r="BM98">
        <f t="shared" si="101"/>
        <v>-8.0051926691201363</v>
      </c>
      <c r="BN98">
        <f t="shared" si="85"/>
        <v>-161.97633083234169</v>
      </c>
      <c r="BQ98" s="56">
        <f t="shared" si="102"/>
        <v>25.109618211571547</v>
      </c>
      <c r="BR98" s="59"/>
      <c r="BS98" s="59"/>
      <c r="BT98" s="59">
        <v>758.57799999999997</v>
      </c>
      <c r="BU98" s="59">
        <v>17.283200000000001</v>
      </c>
      <c r="BV98" s="59">
        <v>-262.56690000000003</v>
      </c>
      <c r="BW98" s="61"/>
      <c r="BY98" s="59"/>
      <c r="BZ98" s="59"/>
      <c r="CA98" s="59"/>
      <c r="CC98" s="59"/>
    </row>
    <row r="99" spans="1:81" x14ac:dyDescent="0.25">
      <c r="A99">
        <f t="shared" si="54"/>
        <v>32500</v>
      </c>
      <c r="B99">
        <f t="shared" si="86"/>
        <v>32.5</v>
      </c>
      <c r="C99">
        <f t="shared" si="55"/>
        <v>1.0356913026463006</v>
      </c>
      <c r="D99">
        <f t="shared" si="56"/>
        <v>0.26329110384844784</v>
      </c>
      <c r="F99">
        <f t="shared" si="57"/>
        <v>2.4835927543769214E-2</v>
      </c>
      <c r="G99">
        <f t="shared" si="58"/>
        <v>5.4261784761113777E-2</v>
      </c>
      <c r="H99">
        <f t="shared" si="59"/>
        <v>-3.0873308652388864</v>
      </c>
      <c r="J99">
        <f t="shared" si="60"/>
        <v>15</v>
      </c>
      <c r="M99">
        <f t="shared" si="61"/>
        <v>4.5972429898556565E-2</v>
      </c>
      <c r="N99">
        <f t="shared" si="62"/>
        <v>-1.5707963250000001</v>
      </c>
      <c r="O99">
        <f t="shared" si="63"/>
        <v>8.3714332894727033</v>
      </c>
      <c r="P99">
        <f t="shared" si="64"/>
        <v>1.4510565437568246</v>
      </c>
      <c r="Q99">
        <f t="shared" si="65"/>
        <v>7.1053288161677219</v>
      </c>
      <c r="R99">
        <f t="shared" si="66"/>
        <v>1.4295880775794358</v>
      </c>
      <c r="S99">
        <f t="shared" si="67"/>
        <v>0.96657251680878464</v>
      </c>
      <c r="T99">
        <f t="shared" si="68"/>
        <v>-0.25928900513866554</v>
      </c>
      <c r="U99">
        <f t="shared" si="69"/>
        <v>0.97925487137031797</v>
      </c>
      <c r="V99">
        <f t="shared" si="70"/>
        <v>-0.20404536170617243</v>
      </c>
      <c r="X99">
        <f t="shared" si="87"/>
        <v>-1.1727675144298894E-2</v>
      </c>
      <c r="Y99">
        <f t="shared" si="71"/>
        <v>-113.30388417537927</v>
      </c>
      <c r="Z99">
        <f t="shared" si="88"/>
        <v>66.696115824620733</v>
      </c>
      <c r="AC99">
        <v>1</v>
      </c>
      <c r="AD99">
        <f t="shared" si="72"/>
        <v>8.3114917626195002</v>
      </c>
      <c r="AE99">
        <f t="shared" si="73"/>
        <v>-2.0366830716945155E-4</v>
      </c>
      <c r="AF99">
        <f t="shared" si="74"/>
        <v>9.8426097724500002E-4</v>
      </c>
      <c r="AG99">
        <f t="shared" si="89"/>
        <v>7896.0704171521656</v>
      </c>
      <c r="AH99">
        <f t="shared" si="90"/>
        <v>-2649.8859097844174</v>
      </c>
      <c r="AJ99">
        <f t="shared" si="75"/>
        <v>22100</v>
      </c>
      <c r="AK99">
        <f t="shared" si="76"/>
        <v>5862.2542964007753</v>
      </c>
      <c r="AL99">
        <v>1</v>
      </c>
      <c r="AM99">
        <f t="shared" si="77"/>
        <v>7.0346071379902506</v>
      </c>
      <c r="AN99">
        <f t="shared" si="91"/>
        <v>1254.5861292785328</v>
      </c>
      <c r="AO99">
        <f t="shared" si="92"/>
        <v>-2963.2662438455504</v>
      </c>
      <c r="AQ99">
        <f t="shared" si="78"/>
        <v>2.3663038334122102</v>
      </c>
      <c r="AR99">
        <f t="shared" si="79"/>
        <v>-153.80974917179367</v>
      </c>
      <c r="AT99">
        <f t="shared" si="104"/>
        <v>-388893.78542081156</v>
      </c>
      <c r="AU99">
        <f t="shared" si="105"/>
        <v>-1220763.0454914225</v>
      </c>
      <c r="AV99">
        <f t="shared" si="93"/>
        <v>-1.8791980697585458</v>
      </c>
      <c r="AW99">
        <f t="shared" si="94"/>
        <v>-443160.29450375232</v>
      </c>
      <c r="AX99">
        <f t="shared" si="95"/>
        <v>-212092.00996112518</v>
      </c>
      <c r="AY99">
        <f t="shared" si="103"/>
        <v>-2.6952194158319136</v>
      </c>
      <c r="BA99">
        <f t="shared" si="80"/>
        <v>2.6078057805194996</v>
      </c>
      <c r="BB99">
        <f t="shared" si="96"/>
        <v>8.3255048731795718</v>
      </c>
      <c r="BC99">
        <f t="shared" si="97"/>
        <v>0.81602134607336785</v>
      </c>
      <c r="BD99">
        <f t="shared" si="81"/>
        <v>-133.24542082398676</v>
      </c>
      <c r="BF99">
        <f t="shared" si="82"/>
        <v>5.3544321972839676E-2</v>
      </c>
      <c r="BG99">
        <f t="shared" si="83"/>
        <v>-115.05098051368076</v>
      </c>
      <c r="BH99">
        <f t="shared" si="98"/>
        <v>64.949019486319244</v>
      </c>
      <c r="BI99">
        <f t="shared" si="99"/>
        <v>64.949019486319244</v>
      </c>
      <c r="BJ99">
        <f t="shared" si="84"/>
        <v>32500</v>
      </c>
      <c r="BK99">
        <f t="shared" si="100"/>
        <v>64.949019486319244</v>
      </c>
      <c r="BM99">
        <f t="shared" si="101"/>
        <v>-8.27196055120673</v>
      </c>
      <c r="BN99">
        <f t="shared" si="85"/>
        <v>-161.80555968969401</v>
      </c>
      <c r="BQ99" s="56">
        <f t="shared" si="102"/>
        <v>25.227465673464707</v>
      </c>
      <c r="BR99" s="59"/>
      <c r="BS99" s="59"/>
      <c r="BT99" s="59">
        <v>776.24699999999996</v>
      </c>
      <c r="BU99" s="59">
        <v>17.007100000000001</v>
      </c>
      <c r="BV99" s="59">
        <v>-262.71769999999998</v>
      </c>
      <c r="BW99" s="61"/>
      <c r="BY99" s="59"/>
      <c r="BZ99" s="59"/>
      <c r="CA99" s="59"/>
      <c r="CC99" s="59"/>
    </row>
    <row r="100" spans="1:81" x14ac:dyDescent="0.25">
      <c r="A100">
        <f t="shared" si="54"/>
        <v>33000</v>
      </c>
      <c r="B100">
        <f t="shared" si="86"/>
        <v>33</v>
      </c>
      <c r="C100">
        <f t="shared" si="55"/>
        <v>1.0367783056193118</v>
      </c>
      <c r="D100">
        <f t="shared" si="56"/>
        <v>0.26715307168603764</v>
      </c>
      <c r="F100">
        <f t="shared" si="57"/>
        <v>2.4072030528125343E-2</v>
      </c>
      <c r="G100">
        <f t="shared" si="58"/>
        <v>5.3401110211421687E-2</v>
      </c>
      <c r="H100">
        <f t="shared" si="59"/>
        <v>-3.0881915397885784</v>
      </c>
      <c r="J100">
        <f t="shared" si="60"/>
        <v>15</v>
      </c>
      <c r="M100">
        <f t="shared" si="61"/>
        <v>4.527587793039662E-2</v>
      </c>
      <c r="N100">
        <f t="shared" si="62"/>
        <v>-1.5707963250000001</v>
      </c>
      <c r="O100">
        <f t="shared" si="63"/>
        <v>8.4984005458503091</v>
      </c>
      <c r="P100">
        <f t="shared" si="64"/>
        <v>1.4528538779593974</v>
      </c>
      <c r="Q100">
        <f t="shared" si="65"/>
        <v>7.2124924281280025</v>
      </c>
      <c r="R100">
        <f t="shared" si="66"/>
        <v>1.4316998993544161</v>
      </c>
      <c r="S100">
        <f t="shared" si="67"/>
        <v>0.96558896013084772</v>
      </c>
      <c r="T100">
        <f t="shared" si="68"/>
        <v>-0.26309779320209997</v>
      </c>
      <c r="U100">
        <f t="shared" si="69"/>
        <v>0.9786321213527106</v>
      </c>
      <c r="V100">
        <f t="shared" si="70"/>
        <v>-0.20709617556577969</v>
      </c>
      <c r="X100">
        <f t="shared" si="87"/>
        <v>-0.16017818677419152</v>
      </c>
      <c r="Y100">
        <f t="shared" si="71"/>
        <v>-113.30097083725647</v>
      </c>
      <c r="Z100">
        <f t="shared" si="88"/>
        <v>66.699029162743528</v>
      </c>
      <c r="AC100">
        <v>1</v>
      </c>
      <c r="AD100">
        <f t="shared" si="72"/>
        <v>8.4393608666598006</v>
      </c>
      <c r="AE100">
        <f t="shared" si="73"/>
        <v>-2.099832298296168E-4</v>
      </c>
      <c r="AF100">
        <f t="shared" si="74"/>
        <v>9.9940345381799994E-4</v>
      </c>
      <c r="AG100">
        <f t="shared" si="89"/>
        <v>7886.03071332954</v>
      </c>
      <c r="AH100">
        <f t="shared" si="90"/>
        <v>-2657.5195328514069</v>
      </c>
      <c r="AJ100">
        <f t="shared" si="75"/>
        <v>22100</v>
      </c>
      <c r="AK100">
        <f t="shared" si="76"/>
        <v>5952.442824037711</v>
      </c>
      <c r="AL100">
        <v>1</v>
      </c>
      <c r="AM100">
        <f t="shared" si="77"/>
        <v>7.1428318631901</v>
      </c>
      <c r="AN100">
        <f t="shared" si="91"/>
        <v>1242.1614735431012</v>
      </c>
      <c r="AO100">
        <f t="shared" si="92"/>
        <v>-2920.1077284131197</v>
      </c>
      <c r="AQ100">
        <f t="shared" si="78"/>
        <v>2.2951572182694515</v>
      </c>
      <c r="AR100">
        <f t="shared" si="79"/>
        <v>-151.4803764057838</v>
      </c>
      <c r="AT100">
        <f t="shared" si="104"/>
        <v>-384462.37882686092</v>
      </c>
      <c r="AU100">
        <f t="shared" si="105"/>
        <v>-1200678.3259412462</v>
      </c>
      <c r="AV100">
        <f t="shared" si="93"/>
        <v>-1.8806845953214057</v>
      </c>
      <c r="AW100">
        <f t="shared" si="94"/>
        <v>-429864.81521158392</v>
      </c>
      <c r="AX100">
        <f t="shared" si="95"/>
        <v>-206846.39857812642</v>
      </c>
      <c r="AY100">
        <f t="shared" si="103"/>
        <v>-2.6931064381083258</v>
      </c>
      <c r="BA100">
        <f t="shared" si="80"/>
        <v>2.6428061153098277</v>
      </c>
      <c r="BB100">
        <f t="shared" si="96"/>
        <v>8.4413060614257756</v>
      </c>
      <c r="BC100">
        <f t="shared" si="97"/>
        <v>0.81242184278692009</v>
      </c>
      <c r="BD100">
        <f t="shared" si="81"/>
        <v>-133.45165717087934</v>
      </c>
      <c r="BF100">
        <f t="shared" si="82"/>
        <v>-9.2896225464830492E-2</v>
      </c>
      <c r="BG100">
        <f t="shared" si="83"/>
        <v>-115.08525542189935</v>
      </c>
      <c r="BH100">
        <f t="shared" si="98"/>
        <v>64.914744578100652</v>
      </c>
      <c r="BI100">
        <f t="shared" si="99"/>
        <v>64.914744578100652</v>
      </c>
      <c r="BJ100">
        <f t="shared" si="84"/>
        <v>0</v>
      </c>
      <c r="BK100">
        <f t="shared" si="100"/>
        <v>0</v>
      </c>
      <c r="BM100">
        <f t="shared" si="101"/>
        <v>-8.5342022868906078</v>
      </c>
      <c r="BN100">
        <f t="shared" si="85"/>
        <v>-161.63359825102</v>
      </c>
      <c r="BQ100" s="56">
        <f t="shared" si="102"/>
        <v>25.343266861710912</v>
      </c>
      <c r="BR100" s="59"/>
      <c r="BS100" s="59"/>
      <c r="BT100" s="59">
        <v>794.32799999999997</v>
      </c>
      <c r="BU100" s="59">
        <v>16.8354</v>
      </c>
      <c r="BV100" s="59">
        <v>-262.79380000000003</v>
      </c>
      <c r="BW100" s="61"/>
      <c r="BY100" s="59"/>
      <c r="BZ100" s="59"/>
      <c r="CA100" s="59"/>
      <c r="CC100" s="59"/>
    </row>
    <row r="101" spans="1:81" x14ac:dyDescent="0.25">
      <c r="A101">
        <f t="shared" si="54"/>
        <v>33500</v>
      </c>
      <c r="B101">
        <f t="shared" si="86"/>
        <v>33.5</v>
      </c>
      <c r="C101">
        <f t="shared" si="55"/>
        <v>1.0378807394040266</v>
      </c>
      <c r="D101">
        <f t="shared" si="56"/>
        <v>0.27100689256037369</v>
      </c>
      <c r="F101">
        <f t="shared" si="57"/>
        <v>2.3343086900867446E-2</v>
      </c>
      <c r="G101">
        <f t="shared" si="58"/>
        <v>5.2567862976249456E-2</v>
      </c>
      <c r="H101">
        <f t="shared" si="59"/>
        <v>-3.0890247870237508</v>
      </c>
      <c r="J101">
        <f t="shared" si="60"/>
        <v>15</v>
      </c>
      <c r="M101">
        <f t="shared" si="61"/>
        <v>4.4600118558301143E-2</v>
      </c>
      <c r="N101">
        <f t="shared" si="62"/>
        <v>-1.5707963250000001</v>
      </c>
      <c r="O101">
        <f t="shared" si="63"/>
        <v>8.6253944472622255</v>
      </c>
      <c r="P101">
        <f t="shared" si="64"/>
        <v>1.4545982924319998</v>
      </c>
      <c r="Q101">
        <f t="shared" si="65"/>
        <v>7.3196872643599544</v>
      </c>
      <c r="R101">
        <f t="shared" si="66"/>
        <v>1.433749875934939</v>
      </c>
      <c r="S101">
        <f t="shared" si="67"/>
        <v>0.96459345263096163</v>
      </c>
      <c r="T101">
        <f t="shared" si="68"/>
        <v>-0.26689878270699413</v>
      </c>
      <c r="U101">
        <f t="shared" si="69"/>
        <v>0.9780010775846727</v>
      </c>
      <c r="V101">
        <f t="shared" si="70"/>
        <v>-0.21014308328877765</v>
      </c>
      <c r="X101">
        <f t="shared" si="87"/>
        <v>-0.30623708731543131</v>
      </c>
      <c r="Y101">
        <f t="shared" si="71"/>
        <v>-113.30285773255734</v>
      </c>
      <c r="Z101">
        <f t="shared" si="88"/>
        <v>66.697142267442658</v>
      </c>
      <c r="AC101">
        <v>1</v>
      </c>
      <c r="AD101">
        <f t="shared" si="72"/>
        <v>8.5672299707000992</v>
      </c>
      <c r="AE101">
        <f t="shared" si="73"/>
        <v>-2.1639456352276167E-4</v>
      </c>
      <c r="AF101">
        <f t="shared" si="74"/>
        <v>1.0145459303909999E-3</v>
      </c>
      <c r="AG101">
        <f t="shared" si="89"/>
        <v>7875.8638161450199</v>
      </c>
      <c r="AH101">
        <f t="shared" si="90"/>
        <v>-2665.52162090601</v>
      </c>
      <c r="AJ101">
        <f t="shared" si="75"/>
        <v>22100</v>
      </c>
      <c r="AK101">
        <f t="shared" si="76"/>
        <v>6042.6313516746459</v>
      </c>
      <c r="AL101">
        <v>1</v>
      </c>
      <c r="AM101">
        <f t="shared" si="77"/>
        <v>7.2510565883899512</v>
      </c>
      <c r="AN101">
        <f t="shared" si="91"/>
        <v>1230.2751371040797</v>
      </c>
      <c r="AO101">
        <f t="shared" si="92"/>
        <v>-2878.1632867562416</v>
      </c>
      <c r="AQ101">
        <f t="shared" si="78"/>
        <v>2.2271714922048997</v>
      </c>
      <c r="AR101">
        <f t="shared" si="79"/>
        <v>-149.22048997772828</v>
      </c>
      <c r="AT101">
        <f t="shared" si="104"/>
        <v>-380209.54295001703</v>
      </c>
      <c r="AU101">
        <f t="shared" si="105"/>
        <v>-1181176.8314089584</v>
      </c>
      <c r="AV101">
        <f t="shared" si="93"/>
        <v>-1.8822131794564863</v>
      </c>
      <c r="AW101">
        <f t="shared" si="94"/>
        <v>-417144.03959067829</v>
      </c>
      <c r="AX101">
        <f t="shared" si="95"/>
        <v>-201846.83044673625</v>
      </c>
      <c r="AY101">
        <f t="shared" si="103"/>
        <v>-2.6909256160591357</v>
      </c>
      <c r="BA101">
        <f t="shared" si="80"/>
        <v>2.6776605560081492</v>
      </c>
      <c r="BB101">
        <f t="shared" si="96"/>
        <v>8.5551104229281023</v>
      </c>
      <c r="BC101">
        <f t="shared" si="97"/>
        <v>0.80871243660264946</v>
      </c>
      <c r="BD101">
        <f t="shared" si="81"/>
        <v>-133.66419048998065</v>
      </c>
      <c r="BF101">
        <f t="shared" si="82"/>
        <v>-0.2369496085688487</v>
      </c>
      <c r="BG101">
        <f t="shared" si="83"/>
        <v>-115.12472261957035</v>
      </c>
      <c r="BH101">
        <f t="shared" si="98"/>
        <v>64.875277380429651</v>
      </c>
      <c r="BI101">
        <f t="shared" si="99"/>
        <v>64.875277380429651</v>
      </c>
      <c r="BJ101">
        <f t="shared" si="84"/>
        <v>0</v>
      </c>
      <c r="BK101">
        <f t="shared" si="100"/>
        <v>0</v>
      </c>
      <c r="BM101">
        <f t="shared" si="101"/>
        <v>-8.7920600314969519</v>
      </c>
      <c r="BN101">
        <f t="shared" si="85"/>
        <v>-161.46053212958972</v>
      </c>
      <c r="BQ101" s="56">
        <f t="shared" si="102"/>
        <v>25.457071223213241</v>
      </c>
      <c r="BR101" s="59"/>
      <c r="BS101" s="59"/>
      <c r="BT101" s="59">
        <v>812.83100000000002</v>
      </c>
      <c r="BU101" s="59">
        <v>16.6614</v>
      </c>
      <c r="BV101" s="59">
        <v>-262.23689999999999</v>
      </c>
      <c r="BW101" s="61"/>
      <c r="BY101" s="59"/>
      <c r="BZ101" s="59"/>
      <c r="CA101" s="59"/>
      <c r="CC101" s="59"/>
    </row>
    <row r="102" spans="1:81" x14ac:dyDescent="0.25">
      <c r="A102">
        <f t="shared" ref="A102:A165" si="106">A101+500</f>
        <v>34000</v>
      </c>
      <c r="B102">
        <f t="shared" si="86"/>
        <v>34</v>
      </c>
      <c r="C102">
        <f t="shared" si="55"/>
        <v>1.0389985548816636</v>
      </c>
      <c r="D102">
        <f t="shared" si="56"/>
        <v>0.27485247811509572</v>
      </c>
      <c r="F102">
        <f t="shared" si="57"/>
        <v>2.2646982302124943E-2</v>
      </c>
      <c r="G102">
        <f t="shared" si="58"/>
        <v>5.1760729655823255E-2</v>
      </c>
      <c r="H102">
        <f t="shared" si="59"/>
        <v>-3.0898319203441771</v>
      </c>
      <c r="J102">
        <f t="shared" si="60"/>
        <v>15</v>
      </c>
      <c r="M102">
        <f t="shared" si="61"/>
        <v>4.3944234461855539E-2</v>
      </c>
      <c r="N102">
        <f t="shared" si="62"/>
        <v>-1.5707963250000001</v>
      </c>
      <c r="O102">
        <f t="shared" si="63"/>
        <v>8.752413833883276</v>
      </c>
      <c r="P102">
        <f t="shared" si="64"/>
        <v>1.4562920803123998</v>
      </c>
      <c r="Q102">
        <f t="shared" si="65"/>
        <v>7.4269119728560158</v>
      </c>
      <c r="R102">
        <f t="shared" si="66"/>
        <v>1.4357406683436245</v>
      </c>
      <c r="S102">
        <f t="shared" si="67"/>
        <v>0.96358611739330913</v>
      </c>
      <c r="T102">
        <f t="shared" si="68"/>
        <v>-0.27069188809029221</v>
      </c>
      <c r="U102">
        <f t="shared" si="69"/>
        <v>0.97736179121525057</v>
      </c>
      <c r="V102">
        <f t="shared" si="70"/>
        <v>-0.21318603590895754</v>
      </c>
      <c r="X102">
        <f t="shared" si="87"/>
        <v>-0.44999083955718122</v>
      </c>
      <c r="Y102">
        <f t="shared" si="71"/>
        <v>-113.30933361555174</v>
      </c>
      <c r="Z102">
        <f t="shared" si="88"/>
        <v>66.690666384448264</v>
      </c>
      <c r="AC102">
        <v>1</v>
      </c>
      <c r="AD102">
        <f t="shared" si="72"/>
        <v>8.6950990747403996</v>
      </c>
      <c r="AE102">
        <f t="shared" si="73"/>
        <v>-2.2290230824888619E-4</v>
      </c>
      <c r="AF102">
        <f t="shared" si="74"/>
        <v>1.029688406964E-3</v>
      </c>
      <c r="AG102">
        <f t="shared" si="89"/>
        <v>7865.5708074406821</v>
      </c>
      <c r="AH102">
        <f t="shared" si="90"/>
        <v>-2673.870920613213</v>
      </c>
      <c r="AJ102">
        <f t="shared" si="75"/>
        <v>22100</v>
      </c>
      <c r="AK102">
        <f t="shared" si="76"/>
        <v>6132.8198793115807</v>
      </c>
      <c r="AL102">
        <v>1</v>
      </c>
      <c r="AM102">
        <f t="shared" si="77"/>
        <v>7.3592813135898014</v>
      </c>
      <c r="AN102">
        <f t="shared" si="91"/>
        <v>1218.8966549245974</v>
      </c>
      <c r="AO102">
        <f t="shared" si="92"/>
        <v>-2837.3834964721245</v>
      </c>
      <c r="AQ102">
        <f t="shared" si="78"/>
        <v>2.1621621621621623</v>
      </c>
      <c r="AR102">
        <f t="shared" si="79"/>
        <v>-147.02702702702703</v>
      </c>
      <c r="AT102">
        <f t="shared" si="104"/>
        <v>-376124.65252812498</v>
      </c>
      <c r="AU102">
        <f t="shared" si="105"/>
        <v>-1162232.8342196317</v>
      </c>
      <c r="AV102">
        <f t="shared" si="93"/>
        <v>-1.8837817868084994</v>
      </c>
      <c r="AW102">
        <f t="shared" si="94"/>
        <v>-404965.58834647597</v>
      </c>
      <c r="AX102">
        <f t="shared" si="95"/>
        <v>-197077.49408040618</v>
      </c>
      <c r="AY102">
        <f t="shared" si="103"/>
        <v>-2.6886799917928244</v>
      </c>
      <c r="BA102">
        <f t="shared" si="80"/>
        <v>2.7123659066210171</v>
      </c>
      <c r="BB102">
        <f t="shared" si="96"/>
        <v>8.6669655365488012</v>
      </c>
      <c r="BC102">
        <f t="shared" si="97"/>
        <v>0.80489820498432496</v>
      </c>
      <c r="BD102">
        <f t="shared" si="81"/>
        <v>-133.8827298640457</v>
      </c>
      <c r="BF102">
        <f t="shared" si="82"/>
        <v>-0.37870359809532395</v>
      </c>
      <c r="BG102">
        <f t="shared" si="83"/>
        <v>-115.16917150415925</v>
      </c>
      <c r="BH102">
        <f t="shared" si="98"/>
        <v>64.830828495840748</v>
      </c>
      <c r="BI102">
        <f t="shared" si="99"/>
        <v>64.830828495840748</v>
      </c>
      <c r="BJ102">
        <f t="shared" si="84"/>
        <v>0</v>
      </c>
      <c r="BK102">
        <f t="shared" si="100"/>
        <v>0</v>
      </c>
      <c r="BM102">
        <f t="shared" si="101"/>
        <v>-9.0456691346441236</v>
      </c>
      <c r="BN102">
        <f t="shared" si="85"/>
        <v>-161.28644164011354</v>
      </c>
      <c r="BQ102" s="56">
        <f t="shared" si="102"/>
        <v>25.568926336833936</v>
      </c>
      <c r="BR102" s="59"/>
      <c r="BS102" s="59"/>
      <c r="BT102" s="59">
        <v>831.76400000000001</v>
      </c>
      <c r="BU102" s="59">
        <v>16.509799999999998</v>
      </c>
      <c r="BV102" s="59">
        <v>-262.34320000000002</v>
      </c>
      <c r="BW102" s="61"/>
      <c r="BY102" s="59"/>
      <c r="BZ102" s="59"/>
      <c r="CA102" s="59"/>
      <c r="CC102" s="59"/>
    </row>
    <row r="103" spans="1:81" x14ac:dyDescent="0.25">
      <c r="A103">
        <f t="shared" si="106"/>
        <v>34500</v>
      </c>
      <c r="B103">
        <f t="shared" si="86"/>
        <v>34.5</v>
      </c>
      <c r="C103">
        <f t="shared" si="55"/>
        <v>1.0401317024607315</v>
      </c>
      <c r="D103">
        <f t="shared" si="56"/>
        <v>0.27868974134532021</v>
      </c>
      <c r="F103">
        <f t="shared" si="57"/>
        <v>2.198176084358414E-2</v>
      </c>
      <c r="G103">
        <f t="shared" si="58"/>
        <v>5.0978480619200392E-2</v>
      </c>
      <c r="H103">
        <f t="shared" si="59"/>
        <v>-3.0906141693808</v>
      </c>
      <c r="J103">
        <f t="shared" si="60"/>
        <v>15</v>
      </c>
      <c r="M103">
        <f t="shared" si="61"/>
        <v>4.3307361498640243E-2</v>
      </c>
      <c r="N103">
        <f t="shared" si="62"/>
        <v>-1.5707963250000001</v>
      </c>
      <c r="O103">
        <f t="shared" si="63"/>
        <v>8.8794576120265827</v>
      </c>
      <c r="P103">
        <f t="shared" si="64"/>
        <v>1.4579374047030047</v>
      </c>
      <c r="Q103">
        <f t="shared" si="65"/>
        <v>7.5341652782083246</v>
      </c>
      <c r="R103">
        <f t="shared" si="66"/>
        <v>1.4376747880186689</v>
      </c>
      <c r="S103">
        <f t="shared" si="67"/>
        <v>0.962567078254294</v>
      </c>
      <c r="T103">
        <f t="shared" si="68"/>
        <v>-0.2744770250509535</v>
      </c>
      <c r="U103">
        <f t="shared" si="69"/>
        <v>0.97671431387892971</v>
      </c>
      <c r="V103">
        <f t="shared" si="70"/>
        <v>-0.21622498488012176</v>
      </c>
      <c r="X103">
        <f t="shared" si="87"/>
        <v>-0.59152131833761268</v>
      </c>
      <c r="Y103">
        <f t="shared" si="71"/>
        <v>-113.32019848088156</v>
      </c>
      <c r="Z103">
        <f t="shared" si="88"/>
        <v>66.679801519118442</v>
      </c>
      <c r="AC103">
        <v>1</v>
      </c>
      <c r="AD103">
        <f t="shared" si="72"/>
        <v>8.8229681787806999</v>
      </c>
      <c r="AE103">
        <f t="shared" si="73"/>
        <v>-2.2950646400799024E-4</v>
      </c>
      <c r="AF103">
        <f t="shared" si="74"/>
        <v>1.0448308835369999E-3</v>
      </c>
      <c r="AG103">
        <f t="shared" si="89"/>
        <v>7855.1527780833685</v>
      </c>
      <c r="AH103">
        <f t="shared" si="90"/>
        <v>-2682.5473696300833</v>
      </c>
      <c r="AJ103">
        <f t="shared" si="75"/>
        <v>22100</v>
      </c>
      <c r="AK103">
        <f t="shared" si="76"/>
        <v>6223.0084069485156</v>
      </c>
      <c r="AL103">
        <v>1</v>
      </c>
      <c r="AM103">
        <f t="shared" si="77"/>
        <v>7.4675060387896508</v>
      </c>
      <c r="AN103">
        <f t="shared" si="91"/>
        <v>1207.997673855923</v>
      </c>
      <c r="AO103">
        <f t="shared" si="92"/>
        <v>-2797.7215174144399</v>
      </c>
      <c r="AQ103">
        <f t="shared" si="78"/>
        <v>2.0999580008399832</v>
      </c>
      <c r="AR103">
        <f t="shared" si="79"/>
        <v>-144.89710205795885</v>
      </c>
      <c r="AT103">
        <f t="shared" si="104"/>
        <v>-372197.84906844259</v>
      </c>
      <c r="AU103">
        <f t="shared" si="105"/>
        <v>-1143822.1105782918</v>
      </c>
      <c r="AV103">
        <f t="shared" si="93"/>
        <v>-1.8853884947014101</v>
      </c>
      <c r="AW103">
        <f t="shared" si="94"/>
        <v>-393299.31492672069</v>
      </c>
      <c r="AX103">
        <f t="shared" si="95"/>
        <v>-192523.83265280686</v>
      </c>
      <c r="AY103">
        <f t="shared" si="103"/>
        <v>-2.6863724421712831</v>
      </c>
      <c r="BA103">
        <f t="shared" si="80"/>
        <v>2.7469190423522032</v>
      </c>
      <c r="BB103">
        <f t="shared" si="96"/>
        <v>8.7769172002218419</v>
      </c>
      <c r="BC103">
        <f t="shared" si="97"/>
        <v>0.800983947469873</v>
      </c>
      <c r="BD103">
        <f t="shared" si="81"/>
        <v>-134.10700029980745</v>
      </c>
      <c r="BF103">
        <f t="shared" si="82"/>
        <v>-0.51824137679850102</v>
      </c>
      <c r="BG103">
        <f t="shared" si="83"/>
        <v>-115.21840252007502</v>
      </c>
      <c r="BH103">
        <f t="shared" si="98"/>
        <v>64.781597479924983</v>
      </c>
      <c r="BI103">
        <f t="shared" si="99"/>
        <v>64.781597479924983</v>
      </c>
      <c r="BJ103">
        <f t="shared" si="84"/>
        <v>0</v>
      </c>
      <c r="BK103">
        <f t="shared" si="100"/>
        <v>0</v>
      </c>
      <c r="BM103">
        <f t="shared" si="101"/>
        <v>-9.2951585770203433</v>
      </c>
      <c r="BN103">
        <f t="shared" si="85"/>
        <v>-161.11140222026759</v>
      </c>
      <c r="BQ103" s="56">
        <f t="shared" si="102"/>
        <v>25.67887800050698</v>
      </c>
      <c r="BR103" s="59"/>
      <c r="BS103" s="59"/>
      <c r="BT103" s="59">
        <v>851.13800000000003</v>
      </c>
      <c r="BU103" s="59">
        <v>16.276800000000001</v>
      </c>
      <c r="BV103" s="59">
        <v>-262.197</v>
      </c>
      <c r="BW103" s="61"/>
      <c r="BY103" s="59"/>
      <c r="BZ103" s="59"/>
      <c r="CA103" s="59"/>
      <c r="CC103" s="59"/>
    </row>
    <row r="104" spans="1:81" x14ac:dyDescent="0.25">
      <c r="A104">
        <f t="shared" si="106"/>
        <v>35000</v>
      </c>
      <c r="B104">
        <f t="shared" si="86"/>
        <v>35</v>
      </c>
      <c r="C104">
        <f t="shared" si="55"/>
        <v>1.0412801320868812</v>
      </c>
      <c r="D104">
        <f t="shared" si="56"/>
        <v>0.28251859660263023</v>
      </c>
      <c r="F104">
        <f t="shared" si="57"/>
        <v>2.1345610984788627E-2</v>
      </c>
      <c r="G104">
        <f t="shared" si="58"/>
        <v>5.0219963351037858E-2</v>
      </c>
      <c r="H104">
        <f t="shared" si="59"/>
        <v>-3.0913726866489624</v>
      </c>
      <c r="J104">
        <f t="shared" si="60"/>
        <v>15</v>
      </c>
      <c r="M104">
        <f t="shared" si="61"/>
        <v>4.2688684905802521E-2</v>
      </c>
      <c r="N104">
        <f t="shared" si="62"/>
        <v>-1.5707963250000001</v>
      </c>
      <c r="O104">
        <f t="shared" si="63"/>
        <v>9.0065247495101239</v>
      </c>
      <c r="P104">
        <f t="shared" si="64"/>
        <v>1.4595363077201624</v>
      </c>
      <c r="Q104">
        <f t="shared" si="65"/>
        <v>7.6414459762833467</v>
      </c>
      <c r="R104">
        <f t="shared" si="66"/>
        <v>1.4395546071157734</v>
      </c>
      <c r="S104">
        <f t="shared" si="67"/>
        <v>0.96153645976497792</v>
      </c>
      <c r="T104">
        <f t="shared" si="68"/>
        <v>-0.27825411055504112</v>
      </c>
      <c r="U104">
        <f t="shared" si="69"/>
        <v>0.97605869768480713</v>
      </c>
      <c r="V104">
        <f t="shared" si="70"/>
        <v>-0.21925988207952088</v>
      </c>
      <c r="X104">
        <f t="shared" si="87"/>
        <v>-0.73090613037765428</v>
      </c>
      <c r="Y104">
        <f t="shared" si="71"/>
        <v>-113.33526283622179</v>
      </c>
      <c r="Z104">
        <f t="shared" si="88"/>
        <v>66.664737163778213</v>
      </c>
      <c r="AC104">
        <v>1</v>
      </c>
      <c r="AD104">
        <f t="shared" si="72"/>
        <v>8.9508372828210003</v>
      </c>
      <c r="AE104">
        <f t="shared" si="73"/>
        <v>-2.3620703080007397E-4</v>
      </c>
      <c r="AF104">
        <f t="shared" si="74"/>
        <v>1.0599733601099998E-3</v>
      </c>
      <c r="AG104">
        <f t="shared" si="89"/>
        <v>7844.6108276952</v>
      </c>
      <c r="AH104">
        <f t="shared" si="90"/>
        <v>-2691.5320127440996</v>
      </c>
      <c r="AJ104">
        <f t="shared" si="75"/>
        <v>22100</v>
      </c>
      <c r="AK104">
        <f t="shared" si="76"/>
        <v>6313.1969345854504</v>
      </c>
      <c r="AL104">
        <v>1</v>
      </c>
      <c r="AM104">
        <f t="shared" si="77"/>
        <v>7.5757307639895011</v>
      </c>
      <c r="AN104">
        <f t="shared" si="91"/>
        <v>1197.5517804415977</v>
      </c>
      <c r="AO104">
        <f t="shared" si="92"/>
        <v>-2759.1329299763602</v>
      </c>
      <c r="AQ104">
        <f t="shared" si="78"/>
        <v>2.0403999183840034</v>
      </c>
      <c r="AR104">
        <f t="shared" si="79"/>
        <v>-142.82799428688023</v>
      </c>
      <c r="AT104">
        <f t="shared" si="104"/>
        <v>-368419.97564658592</v>
      </c>
      <c r="AU104">
        <f t="shared" si="105"/>
        <v>-1125921.8321799799</v>
      </c>
      <c r="AV104">
        <f t="shared" si="93"/>
        <v>-1.8870314853617549</v>
      </c>
      <c r="AW104">
        <f t="shared" si="94"/>
        <v>-382117.1246228331</v>
      </c>
      <c r="AX104">
        <f t="shared" si="95"/>
        <v>-188172.42722368575</v>
      </c>
      <c r="AY104">
        <f t="shared" si="103"/>
        <v>-2.6840056903649203</v>
      </c>
      <c r="BA104">
        <f t="shared" si="80"/>
        <v>2.7813169063724832</v>
      </c>
      <c r="BB104">
        <f t="shared" si="96"/>
        <v>8.885009513692065</v>
      </c>
      <c r="BC104">
        <f t="shared" si="97"/>
        <v>0.7969742050031654</v>
      </c>
      <c r="BD104">
        <f t="shared" si="81"/>
        <v>-134.33674162034669</v>
      </c>
      <c r="BF104">
        <f t="shared" si="82"/>
        <v>-0.65564185858246649</v>
      </c>
      <c r="BG104">
        <f t="shared" si="83"/>
        <v>-115.27222643195643</v>
      </c>
      <c r="BH104">
        <f t="shared" si="98"/>
        <v>64.727773568043574</v>
      </c>
      <c r="BI104">
        <f t="shared" si="99"/>
        <v>64.727773568043574</v>
      </c>
      <c r="BJ104">
        <f t="shared" si="84"/>
        <v>0</v>
      </c>
      <c r="BK104">
        <f t="shared" si="100"/>
        <v>0</v>
      </c>
      <c r="BM104">
        <f t="shared" si="101"/>
        <v>-9.5406513722745316</v>
      </c>
      <c r="BN104">
        <f t="shared" si="85"/>
        <v>-160.93548481160974</v>
      </c>
      <c r="BQ104" s="56">
        <f t="shared" si="102"/>
        <v>25.7869703139772</v>
      </c>
      <c r="BR104" s="59"/>
      <c r="BS104" s="59"/>
      <c r="BT104" s="59">
        <v>870.96400000000006</v>
      </c>
      <c r="BU104" s="59">
        <v>16.106100000000001</v>
      </c>
      <c r="BV104" s="59">
        <v>-261.76800000000003</v>
      </c>
      <c r="BW104" s="61"/>
      <c r="BY104" s="59"/>
      <c r="BZ104" s="59"/>
      <c r="CA104" s="59"/>
      <c r="CC104" s="59"/>
    </row>
    <row r="105" spans="1:81" x14ac:dyDescent="0.25">
      <c r="A105">
        <f t="shared" si="106"/>
        <v>35500</v>
      </c>
      <c r="B105">
        <f t="shared" si="86"/>
        <v>35.5</v>
      </c>
      <c r="C105">
        <f t="shared" si="55"/>
        <v>1.0424437932527701</v>
      </c>
      <c r="D105">
        <f t="shared" si="56"/>
        <v>0.28633895959958183</v>
      </c>
      <c r="F105">
        <f t="shared" si="57"/>
        <v>2.0736852864248471E-2</v>
      </c>
      <c r="G105">
        <f t="shared" si="58"/>
        <v>4.9484096428564196E-2</v>
      </c>
      <c r="H105">
        <f t="shared" si="59"/>
        <v>-3.0921085535714359</v>
      </c>
      <c r="J105">
        <f t="shared" si="60"/>
        <v>15</v>
      </c>
      <c r="M105">
        <f t="shared" si="61"/>
        <v>4.2087435822622206E-2</v>
      </c>
      <c r="N105">
        <f t="shared" si="62"/>
        <v>-1.5707963250000001</v>
      </c>
      <c r="O105">
        <f t="shared" si="63"/>
        <v>9.1336142714062625</v>
      </c>
      <c r="P105">
        <f t="shared" si="64"/>
        <v>1.4610907188013338</v>
      </c>
      <c r="Q105">
        <f t="shared" si="65"/>
        <v>7.7487529293327686</v>
      </c>
      <c r="R105">
        <f t="shared" si="66"/>
        <v>1.4413823679753963</v>
      </c>
      <c r="S105">
        <f t="shared" si="67"/>
        <v>0.96049438715367175</v>
      </c>
      <c r="T105">
        <f t="shared" si="68"/>
        <v>-0.28202306284036743</v>
      </c>
      <c r="U105">
        <f t="shared" si="69"/>
        <v>0.97539499520572803</v>
      </c>
      <c r="V105">
        <f t="shared" si="70"/>
        <v>-0.22229067981118641</v>
      </c>
      <c r="X105">
        <f t="shared" si="87"/>
        <v>-0.86821890672055346</v>
      </c>
      <c r="Y105">
        <f t="shared" si="71"/>
        <v>-113.35434702917389</v>
      </c>
      <c r="Z105">
        <f t="shared" si="88"/>
        <v>66.645652970826106</v>
      </c>
      <c r="AC105">
        <v>1</v>
      </c>
      <c r="AD105">
        <f t="shared" si="72"/>
        <v>9.0787063868613007</v>
      </c>
      <c r="AE105">
        <f t="shared" si="73"/>
        <v>-2.4300400862513737E-4</v>
      </c>
      <c r="AF105">
        <f t="shared" si="74"/>
        <v>1.075115836683E-3</v>
      </c>
      <c r="AG105">
        <f t="shared" si="89"/>
        <v>7833.9460643837374</v>
      </c>
      <c r="AH105">
        <f t="shared" si="90"/>
        <v>-2700.806925100223</v>
      </c>
      <c r="AJ105">
        <f t="shared" si="75"/>
        <v>22100</v>
      </c>
      <c r="AK105">
        <f t="shared" si="76"/>
        <v>6403.3854622223853</v>
      </c>
      <c r="AL105">
        <v>1</v>
      </c>
      <c r="AM105">
        <f t="shared" si="77"/>
        <v>7.6839554891893513</v>
      </c>
      <c r="AN105">
        <f t="shared" si="91"/>
        <v>1187.5343447798964</v>
      </c>
      <c r="AO105">
        <f t="shared" si="92"/>
        <v>-2721.5755849499778</v>
      </c>
      <c r="AQ105">
        <f t="shared" si="78"/>
        <v>1.9833399444664817</v>
      </c>
      <c r="AR105">
        <f t="shared" si="79"/>
        <v>-140.81713605712019</v>
      </c>
      <c r="AT105">
        <f t="shared" si="104"/>
        <v>-364782.51808356226</v>
      </c>
      <c r="AU105">
        <f t="shared" si="105"/>
        <v>-1108510.467069309</v>
      </c>
      <c r="AV105">
        <f t="shared" si="93"/>
        <v>-1.8887090387767855</v>
      </c>
      <c r="AW105">
        <f t="shared" si="94"/>
        <v>-371392.81041371991</v>
      </c>
      <c r="AX105">
        <f t="shared" si="95"/>
        <v>-184010.89232803928</v>
      </c>
      <c r="AY105">
        <f t="shared" si="103"/>
        <v>-2.6815823164645707</v>
      </c>
      <c r="BA105">
        <f t="shared" si="80"/>
        <v>2.8155565069172357</v>
      </c>
      <c r="BB105">
        <f t="shared" si="96"/>
        <v>8.9912849570787046</v>
      </c>
      <c r="BC105">
        <f t="shared" si="97"/>
        <v>0.79287327768778515</v>
      </c>
      <c r="BD105">
        <f t="shared" si="81"/>
        <v>-134.57170744787638</v>
      </c>
      <c r="BF105">
        <f t="shared" si="82"/>
        <v>-0.79097998026224903</v>
      </c>
      <c r="BG105">
        <f t="shared" si="83"/>
        <v>-115.33046365229188</v>
      </c>
      <c r="BH105">
        <f t="shared" si="98"/>
        <v>64.669536347708117</v>
      </c>
      <c r="BI105">
        <f t="shared" si="99"/>
        <v>64.669536347708117</v>
      </c>
      <c r="BJ105">
        <f t="shared" si="84"/>
        <v>0</v>
      </c>
      <c r="BK105">
        <f t="shared" si="100"/>
        <v>0</v>
      </c>
      <c r="BM105">
        <f t="shared" si="101"/>
        <v>-9.7822649373409547</v>
      </c>
      <c r="BN105">
        <f t="shared" si="85"/>
        <v>-160.75875620441553</v>
      </c>
      <c r="BQ105" s="56">
        <f t="shared" si="102"/>
        <v>25.893245757363839</v>
      </c>
      <c r="BR105" s="59"/>
      <c r="BS105" s="59"/>
      <c r="BT105" s="59">
        <v>891.25099999999998</v>
      </c>
      <c r="BU105" s="59">
        <v>15.882400000000001</v>
      </c>
      <c r="BV105" s="59">
        <v>-261.38310000000001</v>
      </c>
      <c r="BW105" s="61"/>
      <c r="BY105" s="59"/>
      <c r="BZ105" s="59"/>
      <c r="CA105" s="59"/>
      <c r="CC105" s="59"/>
    </row>
    <row r="106" spans="1:81" x14ac:dyDescent="0.25">
      <c r="A106">
        <f t="shared" si="106"/>
        <v>36000</v>
      </c>
      <c r="B106">
        <f t="shared" si="86"/>
        <v>36</v>
      </c>
      <c r="C106">
        <f t="shared" si="55"/>
        <v>1.0436226350079387</v>
      </c>
      <c r="D106">
        <f t="shared" si="56"/>
        <v>0.29015074741373093</v>
      </c>
      <c r="F106">
        <f t="shared" si="57"/>
        <v>2.0153926915751703E-2</v>
      </c>
      <c r="G106">
        <f t="shared" si="58"/>
        <v>4.8769864059678474E-2</v>
      </c>
      <c r="H106">
        <f t="shared" si="59"/>
        <v>-3.0928227859403217</v>
      </c>
      <c r="J106">
        <f t="shared" si="60"/>
        <v>15</v>
      </c>
      <c r="M106">
        <f t="shared" si="61"/>
        <v>4.1502888102863567E-2</v>
      </c>
      <c r="N106">
        <f t="shared" si="62"/>
        <v>-1.5707963250000001</v>
      </c>
      <c r="O106">
        <f t="shared" si="63"/>
        <v>9.2607252561378814</v>
      </c>
      <c r="P106">
        <f t="shared" si="64"/>
        <v>1.462602462339881</v>
      </c>
      <c r="Q106">
        <f t="shared" si="65"/>
        <v>7.8560850614996873</v>
      </c>
      <c r="R106">
        <f t="shared" si="66"/>
        <v>1.4431601918326884</v>
      </c>
      <c r="S106">
        <f t="shared" si="67"/>
        <v>0.95944098628870522</v>
      </c>
      <c r="T106">
        <f t="shared" si="68"/>
        <v>-0.2857838014207002</v>
      </c>
      <c r="U106">
        <f t="shared" si="69"/>
        <v>0.97472325946738902</v>
      </c>
      <c r="V106">
        <f t="shared" si="70"/>
        <v>-0.22531733080915936</v>
      </c>
      <c r="X106">
        <f t="shared" si="87"/>
        <v>-1.003529570534397</v>
      </c>
      <c r="Y106">
        <f t="shared" si="71"/>
        <v>-113.37728062392129</v>
      </c>
      <c r="Z106">
        <f t="shared" si="88"/>
        <v>66.622719376078706</v>
      </c>
      <c r="AC106">
        <v>1</v>
      </c>
      <c r="AD106">
        <f t="shared" si="72"/>
        <v>9.2065754909015993</v>
      </c>
      <c r="AE106">
        <f t="shared" si="73"/>
        <v>-2.4989739748318033E-4</v>
      </c>
      <c r="AF106">
        <f t="shared" si="74"/>
        <v>1.0902583132559999E-3</v>
      </c>
      <c r="AG106">
        <f t="shared" si="89"/>
        <v>7823.1596044717744</v>
      </c>
      <c r="AH106">
        <f t="shared" si="90"/>
        <v>-2710.3551418270108</v>
      </c>
      <c r="AJ106">
        <f t="shared" si="75"/>
        <v>22100</v>
      </c>
      <c r="AK106">
        <f t="shared" si="76"/>
        <v>6493.573989859321</v>
      </c>
      <c r="AL106">
        <v>1</v>
      </c>
      <c r="AM106">
        <f t="shared" si="77"/>
        <v>7.7921802143892007</v>
      </c>
      <c r="AN106">
        <f t="shared" si="91"/>
        <v>1177.9223787665892</v>
      </c>
      <c r="AO106">
        <f t="shared" si="92"/>
        <v>-2685.0094640519574</v>
      </c>
      <c r="AQ106">
        <f t="shared" si="78"/>
        <v>1.9286403085824493</v>
      </c>
      <c r="AR106">
        <f t="shared" si="79"/>
        <v>-138.86210221793635</v>
      </c>
      <c r="AT106">
        <f t="shared" si="104"/>
        <v>-361277.55179763358</v>
      </c>
      <c r="AU106">
        <f t="shared" si="105"/>
        <v>-1091567.6888404915</v>
      </c>
      <c r="AV106">
        <f t="shared" si="93"/>
        <v>-1.8904195261281047</v>
      </c>
      <c r="AW106">
        <f t="shared" si="94"/>
        <v>-361101.90381820768</v>
      </c>
      <c r="AX106">
        <f t="shared" si="95"/>
        <v>-180027.78246972541</v>
      </c>
      <c r="AY106">
        <f t="shared" si="103"/>
        <v>-2.6791047672379582</v>
      </c>
      <c r="BA106">
        <f t="shared" si="80"/>
        <v>2.8496349146799838</v>
      </c>
      <c r="BB106">
        <f t="shared" si="96"/>
        <v>9.0957844654600191</v>
      </c>
      <c r="BC106">
        <f t="shared" si="97"/>
        <v>0.7886852411098535</v>
      </c>
      <c r="BD106">
        <f t="shared" si="81"/>
        <v>-134.81166426851246</v>
      </c>
      <c r="BF106">
        <f t="shared" si="82"/>
        <v>-0.92432696869185038</v>
      </c>
      <c r="BG106">
        <f t="shared" si="83"/>
        <v>-115.39294361890381</v>
      </c>
      <c r="BH106">
        <f t="shared" si="98"/>
        <v>64.607056381096186</v>
      </c>
      <c r="BI106">
        <f t="shared" si="99"/>
        <v>64.607056381096186</v>
      </c>
      <c r="BJ106">
        <f t="shared" si="84"/>
        <v>0</v>
      </c>
      <c r="BK106">
        <f t="shared" si="100"/>
        <v>0</v>
      </c>
      <c r="BM106">
        <f t="shared" si="101"/>
        <v>-10.020111434151868</v>
      </c>
      <c r="BN106">
        <f t="shared" si="85"/>
        <v>-160.58127935039136</v>
      </c>
      <c r="BQ106" s="56">
        <f t="shared" si="102"/>
        <v>25.997745265745156</v>
      </c>
      <c r="BR106" s="59"/>
      <c r="BS106" s="59"/>
      <c r="BT106" s="59">
        <v>912.01099999999997</v>
      </c>
      <c r="BU106" s="59">
        <v>15.6715</v>
      </c>
      <c r="BV106" s="59">
        <v>-261.74869999999999</v>
      </c>
      <c r="BW106" s="61"/>
      <c r="BY106" s="59"/>
      <c r="BZ106" s="59"/>
      <c r="CA106" s="59"/>
      <c r="CC106" s="59"/>
    </row>
    <row r="107" spans="1:81" x14ac:dyDescent="0.25">
      <c r="A107">
        <f t="shared" si="106"/>
        <v>36500</v>
      </c>
      <c r="B107">
        <f t="shared" si="86"/>
        <v>36.5</v>
      </c>
      <c r="C107">
        <f t="shared" si="55"/>
        <v>1.0448166059686941</v>
      </c>
      <c r="D107">
        <f t="shared" si="56"/>
        <v>0.29395387849118498</v>
      </c>
      <c r="F107">
        <f t="shared" si="57"/>
        <v>1.9595383622295924E-2</v>
      </c>
      <c r="G107">
        <f t="shared" si="58"/>
        <v>4.8076311121669692E-2</v>
      </c>
      <c r="H107">
        <f t="shared" si="59"/>
        <v>-3.0935163388783304</v>
      </c>
      <c r="J107">
        <f t="shared" si="60"/>
        <v>15</v>
      </c>
      <c r="M107">
        <f t="shared" si="61"/>
        <v>4.0934355389125709E-2</v>
      </c>
      <c r="N107">
        <f t="shared" si="62"/>
        <v>-1.5707963250000001</v>
      </c>
      <c r="O107">
        <f t="shared" si="63"/>
        <v>9.3878568318887385</v>
      </c>
      <c r="P107">
        <f t="shared" si="64"/>
        <v>1.4640732647098609</v>
      </c>
      <c r="Q107">
        <f t="shared" si="65"/>
        <v>7.9634413546834812</v>
      </c>
      <c r="R107">
        <f t="shared" si="66"/>
        <v>1.4448900868394399</v>
      </c>
      <c r="S107">
        <f t="shared" si="67"/>
        <v>0.958376383641389</v>
      </c>
      <c r="T107">
        <f t="shared" si="68"/>
        <v>-0.28953624708953252</v>
      </c>
      <c r="U107">
        <f t="shared" si="69"/>
        <v>0.97404354393741455</v>
      </c>
      <c r="V107">
        <f t="shared" si="70"/>
        <v>-0.22833978824061388</v>
      </c>
      <c r="X107">
        <f t="shared" si="87"/>
        <v>-1.136904582718167</v>
      </c>
      <c r="Y107">
        <f t="shared" si="71"/>
        <v>-113.4039018235666</v>
      </c>
      <c r="Z107">
        <f t="shared" si="88"/>
        <v>66.596098176433401</v>
      </c>
      <c r="AC107">
        <v>1</v>
      </c>
      <c r="AD107">
        <f t="shared" si="72"/>
        <v>9.3344445949418997</v>
      </c>
      <c r="AE107">
        <f t="shared" si="73"/>
        <v>-2.5688719737420294E-4</v>
      </c>
      <c r="AF107">
        <f t="shared" si="74"/>
        <v>1.105400789829E-3</v>
      </c>
      <c r="AG107">
        <f t="shared" si="89"/>
        <v>7812.2525722270093</v>
      </c>
      <c r="AH107">
        <f t="shared" si="90"/>
        <v>-2720.1605934476956</v>
      </c>
      <c r="AJ107">
        <f t="shared" si="75"/>
        <v>22100</v>
      </c>
      <c r="AK107">
        <f t="shared" si="76"/>
        <v>6583.762517496255</v>
      </c>
      <c r="AL107">
        <v>1</v>
      </c>
      <c r="AM107">
        <f t="shared" si="77"/>
        <v>7.900404939589051</v>
      </c>
      <c r="AN107">
        <f t="shared" si="91"/>
        <v>1168.6944072333936</v>
      </c>
      <c r="AO107">
        <f t="shared" si="92"/>
        <v>-2649.3965502805445</v>
      </c>
      <c r="AQ107">
        <f t="shared" si="78"/>
        <v>1.876172607879925</v>
      </c>
      <c r="AR107">
        <f t="shared" si="79"/>
        <v>-136.96060037523452</v>
      </c>
      <c r="AT107">
        <f t="shared" si="104"/>
        <v>-357897.69371379883</v>
      </c>
      <c r="AU107">
        <f t="shared" si="105"/>
        <v>-1075074.2933696425</v>
      </c>
      <c r="AV107">
        <f t="shared" si="93"/>
        <v>-1.8921614037476804</v>
      </c>
      <c r="AW107">
        <f t="shared" si="94"/>
        <v>-351221.53922002122</v>
      </c>
      <c r="AX107">
        <f t="shared" si="95"/>
        <v>-176212.50824969291</v>
      </c>
      <c r="AY107">
        <f t="shared" si="103"/>
        <v>-2.6765753651093229</v>
      </c>
      <c r="BA107">
        <f t="shared" si="80"/>
        <v>2.8835492604734063</v>
      </c>
      <c r="BB107">
        <f t="shared" si="96"/>
        <v>9.1985474996724257</v>
      </c>
      <c r="BC107">
        <f t="shared" si="97"/>
        <v>0.78441396136164254</v>
      </c>
      <c r="BD107">
        <f t="shared" si="81"/>
        <v>-135.05639057148429</v>
      </c>
      <c r="BF107">
        <f t="shared" si="82"/>
        <v>-1.0557505857002178</v>
      </c>
      <c r="BG107">
        <f t="shared" si="83"/>
        <v>-115.45950421821573</v>
      </c>
      <c r="BH107">
        <f t="shared" si="98"/>
        <v>64.540495781784273</v>
      </c>
      <c r="BI107">
        <f t="shared" si="99"/>
        <v>64.540495781784273</v>
      </c>
      <c r="BJ107">
        <f t="shared" si="84"/>
        <v>0</v>
      </c>
      <c r="BK107">
        <f t="shared" si="100"/>
        <v>0</v>
      </c>
      <c r="BM107">
        <f t="shared" si="101"/>
        <v>-10.254298085372643</v>
      </c>
      <c r="BN107">
        <f t="shared" si="85"/>
        <v>-160.40311364673144</v>
      </c>
      <c r="BQ107" s="56">
        <f t="shared" si="102"/>
        <v>26.100508299957564</v>
      </c>
      <c r="BR107" s="59"/>
      <c r="BS107" s="59"/>
      <c r="BT107" s="59">
        <v>933.25400000000002</v>
      </c>
      <c r="BU107" s="59">
        <v>15.471399999999999</v>
      </c>
      <c r="BV107" s="59">
        <v>-261.20730000000003</v>
      </c>
      <c r="BW107" s="61"/>
      <c r="BY107" s="59"/>
      <c r="BZ107" s="59"/>
      <c r="CA107" s="59"/>
      <c r="CC107" s="59"/>
    </row>
    <row r="108" spans="1:81" x14ac:dyDescent="0.25">
      <c r="A108">
        <f t="shared" si="106"/>
        <v>37000</v>
      </c>
      <c r="B108">
        <f t="shared" si="86"/>
        <v>37</v>
      </c>
      <c r="C108">
        <f t="shared" si="55"/>
        <v>1.0460256543279938</v>
      </c>
      <c r="D108">
        <f t="shared" si="56"/>
        <v>0.29774827264968484</v>
      </c>
      <c r="F108">
        <f t="shared" si="57"/>
        <v>1.9059874278936347E-2</v>
      </c>
      <c r="G108">
        <f t="shared" si="58"/>
        <v>4.7402538647435648E-2</v>
      </c>
      <c r="H108">
        <f t="shared" si="59"/>
        <v>-3.0941901113525647</v>
      </c>
      <c r="J108">
        <f t="shared" si="60"/>
        <v>15</v>
      </c>
      <c r="M108">
        <f t="shared" si="61"/>
        <v>4.0381188424407792E-2</v>
      </c>
      <c r="N108">
        <f t="shared" si="62"/>
        <v>-1.5707963250000001</v>
      </c>
      <c r="O108">
        <f t="shared" si="63"/>
        <v>9.515008173298968</v>
      </c>
      <c r="P108">
        <f t="shared" si="64"/>
        <v>1.4655047607367071</v>
      </c>
      <c r="Q108">
        <f t="shared" si="65"/>
        <v>8.0708208447305285</v>
      </c>
      <c r="R108">
        <f t="shared" si="66"/>
        <v>1.446573955460249</v>
      </c>
      <c r="S108">
        <f t="shared" si="67"/>
        <v>0.95730070624918817</v>
      </c>
      <c r="T108">
        <f t="shared" si="68"/>
        <v>-0.29328032192342129</v>
      </c>
      <c r="U108">
        <f t="shared" si="69"/>
        <v>0.97335590251440907</v>
      </c>
      <c r="V108">
        <f t="shared" si="70"/>
        <v>-0.23135800570887669</v>
      </c>
      <c r="X108">
        <f t="shared" si="87"/>
        <v>-1.2684071674760153</v>
      </c>
      <c r="Y108">
        <f t="shared" si="71"/>
        <v>-113.4340569344278</v>
      </c>
      <c r="Z108">
        <f t="shared" si="88"/>
        <v>66.565943065572199</v>
      </c>
      <c r="AC108">
        <v>1</v>
      </c>
      <c r="AD108">
        <f t="shared" si="72"/>
        <v>9.4623136989822001</v>
      </c>
      <c r="AE108">
        <f t="shared" si="73"/>
        <v>-2.6397340829820512E-4</v>
      </c>
      <c r="AF108">
        <f t="shared" si="74"/>
        <v>1.120543266402E-3</v>
      </c>
      <c r="AG108">
        <f t="shared" si="89"/>
        <v>7801.2260995915785</v>
      </c>
      <c r="AH108">
        <f t="shared" si="90"/>
        <v>-2730.2080465285294</v>
      </c>
      <c r="AJ108">
        <f t="shared" si="75"/>
        <v>22100</v>
      </c>
      <c r="AK108">
        <f t="shared" si="76"/>
        <v>6673.9510451331917</v>
      </c>
      <c r="AL108">
        <v>1</v>
      </c>
      <c r="AM108">
        <f t="shared" si="77"/>
        <v>8.0086296647889004</v>
      </c>
      <c r="AN108">
        <f t="shared" si="91"/>
        <v>1159.830350666645</v>
      </c>
      <c r="AO108">
        <f t="shared" si="92"/>
        <v>-2614.7007073382156</v>
      </c>
      <c r="AQ108">
        <f t="shared" si="78"/>
        <v>1.8258170531312763</v>
      </c>
      <c r="AR108">
        <f t="shared" si="79"/>
        <v>-135.11046193171444</v>
      </c>
      <c r="AT108">
        <f t="shared" si="104"/>
        <v>-354636.05868818623</v>
      </c>
      <c r="AU108">
        <f t="shared" si="105"/>
        <v>-1059012.1223595131</v>
      </c>
      <c r="AV108">
        <f t="shared" si="93"/>
        <v>-1.8939332075486344</v>
      </c>
      <c r="AW108">
        <f t="shared" si="94"/>
        <v>-341730.33030242898</v>
      </c>
      <c r="AX108">
        <f t="shared" si="95"/>
        <v>-172555.26102145482</v>
      </c>
      <c r="AY108">
        <f t="shared" si="103"/>
        <v>-2.6739963164326861</v>
      </c>
      <c r="BA108">
        <f t="shared" si="80"/>
        <v>2.9172967331323019</v>
      </c>
      <c r="BB108">
        <f t="shared" si="96"/>
        <v>9.2996121135127758</v>
      </c>
      <c r="BC108">
        <f t="shared" si="97"/>
        <v>0.78006310888405173</v>
      </c>
      <c r="BD108">
        <f t="shared" si="81"/>
        <v>-135.30567605601914</v>
      </c>
      <c r="BF108">
        <f t="shared" si="82"/>
        <v>-1.1853153530004827</v>
      </c>
      <c r="BG108">
        <f t="shared" si="83"/>
        <v>-115.52999125058082</v>
      </c>
      <c r="BH108">
        <f t="shared" si="98"/>
        <v>64.470008749419179</v>
      </c>
      <c r="BI108">
        <f t="shared" si="99"/>
        <v>64.470008749419179</v>
      </c>
      <c r="BJ108">
        <f t="shared" si="84"/>
        <v>0</v>
      </c>
      <c r="BK108">
        <f t="shared" si="100"/>
        <v>0</v>
      </c>
      <c r="BM108">
        <f t="shared" si="101"/>
        <v>-10.484927466513259</v>
      </c>
      <c r="BN108">
        <f t="shared" si="85"/>
        <v>-160.22431519456168</v>
      </c>
      <c r="BQ108" s="56">
        <f t="shared" si="102"/>
        <v>26.201572913797911</v>
      </c>
      <c r="BR108" s="59"/>
      <c r="BS108" s="59"/>
      <c r="BT108" s="59">
        <v>954.99300000000005</v>
      </c>
      <c r="BU108" s="59">
        <v>15.352499999999999</v>
      </c>
      <c r="BV108" s="59">
        <v>-261.26609999999999</v>
      </c>
      <c r="BW108" s="61"/>
      <c r="BY108" s="59"/>
      <c r="BZ108" s="59"/>
      <c r="CA108" s="59"/>
      <c r="CC108" s="59"/>
    </row>
    <row r="109" spans="1:81" x14ac:dyDescent="0.25">
      <c r="A109">
        <f t="shared" si="106"/>
        <v>37500</v>
      </c>
      <c r="B109">
        <f t="shared" si="86"/>
        <v>37.5</v>
      </c>
      <c r="C109">
        <f t="shared" si="55"/>
        <v>1.0472497278653321</v>
      </c>
      <c r="D109">
        <f t="shared" si="56"/>
        <v>0.30153385108122049</v>
      </c>
      <c r="F109">
        <f t="shared" si="57"/>
        <v>1.8546142652069247E-2</v>
      </c>
      <c r="G109">
        <f t="shared" si="58"/>
        <v>4.6747699712462926E-2</v>
      </c>
      <c r="H109">
        <f t="shared" si="59"/>
        <v>-3.0948449502875373</v>
      </c>
      <c r="J109">
        <f t="shared" si="60"/>
        <v>15</v>
      </c>
      <c r="M109">
        <f t="shared" si="61"/>
        <v>3.9842772578749019E-2</v>
      </c>
      <c r="N109">
        <f t="shared" si="62"/>
        <v>-1.5707963250000001</v>
      </c>
      <c r="O109">
        <f t="shared" si="63"/>
        <v>9.6421784984197672</v>
      </c>
      <c r="P109">
        <f t="shared" si="64"/>
        <v>1.4668984996639352</v>
      </c>
      <c r="Q109">
        <f t="shared" si="65"/>
        <v>8.1782226179213087</v>
      </c>
      <c r="R109">
        <f t="shared" si="66"/>
        <v>1.4482136012988138</v>
      </c>
      <c r="S109">
        <f t="shared" si="67"/>
        <v>0.95621408167912569</v>
      </c>
      <c r="T109">
        <f t="shared" si="68"/>
        <v>-0.29701594928489738</v>
      </c>
      <c r="U109">
        <f t="shared" si="69"/>
        <v>0.97266038951698752</v>
      </c>
      <c r="V109">
        <f t="shared" si="70"/>
        <v>-0.23437193725634201</v>
      </c>
      <c r="X109">
        <f t="shared" si="87"/>
        <v>-1.3980975197832823</v>
      </c>
      <c r="Y109">
        <f t="shared" si="71"/>
        <v>-113.4675998688962</v>
      </c>
      <c r="Z109">
        <f t="shared" si="88"/>
        <v>66.532400131103799</v>
      </c>
      <c r="AC109">
        <v>1</v>
      </c>
      <c r="AD109">
        <f t="shared" si="72"/>
        <v>9.5901828030225005</v>
      </c>
      <c r="AE109">
        <f t="shared" si="73"/>
        <v>-2.7115603025518696E-4</v>
      </c>
      <c r="AF109">
        <f t="shared" si="74"/>
        <v>1.1356857429749999E-3</v>
      </c>
      <c r="AG109">
        <f t="shared" si="89"/>
        <v>7790.0813259116649</v>
      </c>
      <c r="AH109">
        <f t="shared" si="90"/>
        <v>-2740.4830490751201</v>
      </c>
      <c r="AJ109">
        <f t="shared" si="75"/>
        <v>22100</v>
      </c>
      <c r="AK109">
        <f t="shared" si="76"/>
        <v>6764.1395727701265</v>
      </c>
      <c r="AL109">
        <v>1</v>
      </c>
      <c r="AM109">
        <f t="shared" si="77"/>
        <v>8.1168543899887506</v>
      </c>
      <c r="AN109">
        <f t="shared" si="91"/>
        <v>1151.3114183388357</v>
      </c>
      <c r="AO109">
        <f t="shared" si="92"/>
        <v>-2580.8875674176279</v>
      </c>
      <c r="AQ109">
        <f t="shared" si="78"/>
        <v>1.7774617845716316</v>
      </c>
      <c r="AR109">
        <f t="shared" si="79"/>
        <v>-133.30963384287239</v>
      </c>
      <c r="AT109">
        <f t="shared" si="104"/>
        <v>-351486.21996928967</v>
      </c>
      <c r="AU109">
        <f t="shared" si="105"/>
        <v>-1043363.9930544792</v>
      </c>
      <c r="AV109">
        <f t="shared" si="93"/>
        <v>-1.8957335478880544</v>
      </c>
      <c r="AW109">
        <f t="shared" si="94"/>
        <v>-332608.25738163543</v>
      </c>
      <c r="AX109">
        <f t="shared" si="95"/>
        <v>-169046.94510630684</v>
      </c>
      <c r="AY109">
        <f t="shared" si="103"/>
        <v>-2.6713697191220538</v>
      </c>
      <c r="BA109">
        <f t="shared" si="80"/>
        <v>2.9508745776357452</v>
      </c>
      <c r="BB109">
        <f t="shared" si="96"/>
        <v>9.3990150175269882</v>
      </c>
      <c r="BC109">
        <f t="shared" si="97"/>
        <v>0.77563617123399942</v>
      </c>
      <c r="BD109">
        <f t="shared" si="81"/>
        <v>-135.55932089982451</v>
      </c>
      <c r="BF109">
        <f t="shared" si="82"/>
        <v>-1.313082758996126</v>
      </c>
      <c r="BG109">
        <f t="shared" si="83"/>
        <v>-115.60425793427326</v>
      </c>
      <c r="BH109">
        <f t="shared" si="98"/>
        <v>64.395742065726736</v>
      </c>
      <c r="BI109">
        <f t="shared" si="99"/>
        <v>64.395742065726736</v>
      </c>
      <c r="BJ109">
        <f t="shared" si="84"/>
        <v>0</v>
      </c>
      <c r="BK109">
        <f t="shared" si="100"/>
        <v>0</v>
      </c>
      <c r="BM109">
        <f t="shared" si="101"/>
        <v>-10.712097776523112</v>
      </c>
      <c r="BN109">
        <f t="shared" si="85"/>
        <v>-160.04493703444874</v>
      </c>
      <c r="BQ109" s="56">
        <f t="shared" si="102"/>
        <v>26.300975817812127</v>
      </c>
      <c r="BR109" s="59"/>
      <c r="BS109" s="59"/>
      <c r="BT109" s="59">
        <v>977.23699999999997</v>
      </c>
      <c r="BU109" s="59">
        <v>15.0807</v>
      </c>
      <c r="BV109" s="59">
        <v>-260.93240000000003</v>
      </c>
      <c r="BW109" s="61"/>
      <c r="BY109" s="59"/>
      <c r="BZ109" s="59"/>
      <c r="CA109" s="59"/>
      <c r="CC109" s="59"/>
    </row>
    <row r="110" spans="1:81" x14ac:dyDescent="0.25">
      <c r="A110">
        <f t="shared" si="106"/>
        <v>38000</v>
      </c>
      <c r="B110">
        <f t="shared" si="86"/>
        <v>38</v>
      </c>
      <c r="C110">
        <f t="shared" si="55"/>
        <v>1.0484887739566193</v>
      </c>
      <c r="D110">
        <f t="shared" si="56"/>
        <v>0.30531053635418676</v>
      </c>
      <c r="F110">
        <f t="shared" si="57"/>
        <v>1.8053017436642529E-2</v>
      </c>
      <c r="G110">
        <f t="shared" si="58"/>
        <v>4.6110995681358569E-2</v>
      </c>
      <c r="H110">
        <f t="shared" si="59"/>
        <v>-3.0954816543186414</v>
      </c>
      <c r="J110">
        <f t="shared" si="60"/>
        <v>15</v>
      </c>
      <c r="M110">
        <f t="shared" si="61"/>
        <v>3.9318525571133904E-2</v>
      </c>
      <c r="N110">
        <f t="shared" si="62"/>
        <v>-1.5707963250000001</v>
      </c>
      <c r="O110">
        <f t="shared" si="63"/>
        <v>9.7693670659038556</v>
      </c>
      <c r="P110">
        <f t="shared" si="64"/>
        <v>1.4682559506609032</v>
      </c>
      <c r="Q110">
        <f t="shared" si="65"/>
        <v>8.2856458077274642</v>
      </c>
      <c r="R110">
        <f t="shared" si="66"/>
        <v>1.4498107354046472</v>
      </c>
      <c r="S110">
        <f t="shared" si="67"/>
        <v>0.95511663799143054</v>
      </c>
      <c r="T110">
        <f t="shared" si="68"/>
        <v>-0.30074305382495253</v>
      </c>
      <c r="U110">
        <f t="shared" si="69"/>
        <v>0.971957059672791</v>
      </c>
      <c r="V110">
        <f t="shared" si="70"/>
        <v>-0.23738153736728163</v>
      </c>
      <c r="X110">
        <f t="shared" si="87"/>
        <v>-1.5260329964567885</v>
      </c>
      <c r="Y110">
        <f t="shared" si="71"/>
        <v>-113.50439168375472</v>
      </c>
      <c r="Z110">
        <f t="shared" si="88"/>
        <v>66.495608316245281</v>
      </c>
      <c r="AC110">
        <v>1</v>
      </c>
      <c r="AD110">
        <f t="shared" si="72"/>
        <v>9.7180519070628009</v>
      </c>
      <c r="AE110">
        <f t="shared" si="73"/>
        <v>-2.7843506324514843E-4</v>
      </c>
      <c r="AF110">
        <f t="shared" si="74"/>
        <v>1.150828219548E-3</v>
      </c>
      <c r="AG110">
        <f t="shared" si="89"/>
        <v>7778.8193976672346</v>
      </c>
      <c r="AH110">
        <f t="shared" si="90"/>
        <v>-2750.9718802390016</v>
      </c>
      <c r="AJ110">
        <f t="shared" si="75"/>
        <v>22100</v>
      </c>
      <c r="AK110">
        <f t="shared" si="76"/>
        <v>6854.3281004070604</v>
      </c>
      <c r="AL110">
        <v>1</v>
      </c>
      <c r="AM110">
        <f t="shared" si="77"/>
        <v>8.2250791151886009</v>
      </c>
      <c r="AN110">
        <f t="shared" si="91"/>
        <v>1143.1200108156277</v>
      </c>
      <c r="AO110">
        <f t="shared" si="92"/>
        <v>-2547.9244267067252</v>
      </c>
      <c r="AQ110">
        <f t="shared" si="78"/>
        <v>1.7310022503029254</v>
      </c>
      <c r="AR110">
        <f t="shared" si="79"/>
        <v>-131.55617102302233</v>
      </c>
      <c r="AT110">
        <f t="shared" si="104"/>
        <v>-348442.17327418539</v>
      </c>
      <c r="AU110">
        <f t="shared" si="105"/>
        <v>-1028113.6335519281</v>
      </c>
      <c r="AV110">
        <f t="shared" si="93"/>
        <v>-1.8975611048234158</v>
      </c>
      <c r="AW110">
        <f t="shared" si="94"/>
        <v>-323836.56456153205</v>
      </c>
      <c r="AX110">
        <f t="shared" si="95"/>
        <v>-165679.11672147168</v>
      </c>
      <c r="AY110">
        <f t="shared" si="103"/>
        <v>-2.6686975696954711</v>
      </c>
      <c r="BA110">
        <f t="shared" si="80"/>
        <v>2.9842800934278539</v>
      </c>
      <c r="BB110">
        <f t="shared" si="96"/>
        <v>9.4967916395613816</v>
      </c>
      <c r="BC110">
        <f t="shared" si="97"/>
        <v>0.77113646487205534</v>
      </c>
      <c r="BD110">
        <f t="shared" si="81"/>
        <v>-135.81713508370669</v>
      </c>
      <c r="BF110">
        <f t="shared" si="82"/>
        <v>-1.4391114491973689</v>
      </c>
      <c r="BG110">
        <f t="shared" si="83"/>
        <v>-115.6821644450409</v>
      </c>
      <c r="BH110">
        <f t="shared" si="98"/>
        <v>64.317835554959103</v>
      </c>
      <c r="BI110">
        <f t="shared" si="99"/>
        <v>64.317835554959103</v>
      </c>
      <c r="BJ110">
        <f t="shared" si="84"/>
        <v>0</v>
      </c>
      <c r="BK110">
        <f t="shared" si="100"/>
        <v>0</v>
      </c>
      <c r="BM110">
        <f t="shared" si="101"/>
        <v>-10.935903088758748</v>
      </c>
      <c r="BN110">
        <f t="shared" si="85"/>
        <v>-159.86502936133422</v>
      </c>
      <c r="BQ110" s="56">
        <f t="shared" si="102"/>
        <v>26.398752439846515</v>
      </c>
      <c r="BR110" s="59"/>
      <c r="BS110" s="59"/>
      <c r="BT110" s="59">
        <v>1000</v>
      </c>
      <c r="BU110" s="59">
        <v>14.883800000000001</v>
      </c>
      <c r="BV110" s="59">
        <v>-260.5154</v>
      </c>
      <c r="BW110" s="61"/>
      <c r="BY110" s="59"/>
      <c r="BZ110" s="59"/>
      <c r="CA110" s="59"/>
      <c r="CC110" s="59"/>
    </row>
    <row r="111" spans="1:81" x14ac:dyDescent="0.25">
      <c r="A111">
        <f t="shared" si="106"/>
        <v>38500</v>
      </c>
      <c r="B111">
        <f t="shared" si="86"/>
        <v>38.5</v>
      </c>
      <c r="C111">
        <f t="shared" si="55"/>
        <v>1.0497427395840544</v>
      </c>
      <c r="D111">
        <f t="shared" si="56"/>
        <v>0.30907825241508424</v>
      </c>
      <c r="F111">
        <f t="shared" si="57"/>
        <v>1.7579405424848437E-2</v>
      </c>
      <c r="G111">
        <f t="shared" si="58"/>
        <v>4.5491672777524465E-2</v>
      </c>
      <c r="H111">
        <f t="shared" si="59"/>
        <v>-3.0961009772224757</v>
      </c>
      <c r="J111">
        <f t="shared" si="60"/>
        <v>15</v>
      </c>
      <c r="M111">
        <f t="shared" si="61"/>
        <v>3.880789536891139E-2</v>
      </c>
      <c r="N111">
        <f t="shared" si="62"/>
        <v>-1.5707963250000001</v>
      </c>
      <c r="O111">
        <f t="shared" si="63"/>
        <v>9.8965731724108164</v>
      </c>
      <c r="P111">
        <f t="shared" si="64"/>
        <v>1.4695785079121457</v>
      </c>
      <c r="Q111">
        <f t="shared" si="65"/>
        <v>8.3930895918149773</v>
      </c>
      <c r="R111">
        <f t="shared" si="66"/>
        <v>1.4513669821055328</v>
      </c>
      <c r="S111">
        <f t="shared" si="67"/>
        <v>0.95400850370344681</v>
      </c>
      <c r="T111">
        <f t="shared" si="68"/>
        <v>-0.30446156148510711</v>
      </c>
      <c r="U111">
        <f t="shared" si="69"/>
        <v>0.97124596810748975</v>
      </c>
      <c r="V111">
        <f t="shared" si="70"/>
        <v>-0.24038676097055092</v>
      </c>
      <c r="X111">
        <f t="shared" si="87"/>
        <v>-1.6522682923567655</v>
      </c>
      <c r="Y111">
        <f t="shared" si="71"/>
        <v>-113.54430015112455</v>
      </c>
      <c r="Z111">
        <f t="shared" si="88"/>
        <v>66.455699848875454</v>
      </c>
      <c r="AC111">
        <v>1</v>
      </c>
      <c r="AD111">
        <f t="shared" si="72"/>
        <v>9.8459210111030995</v>
      </c>
      <c r="AE111">
        <f t="shared" si="73"/>
        <v>-2.8581050726808957E-4</v>
      </c>
      <c r="AF111">
        <f t="shared" si="74"/>
        <v>1.1659706961209999E-3</v>
      </c>
      <c r="AG111">
        <f t="shared" si="89"/>
        <v>7767.4414682020215</v>
      </c>
      <c r="AH111">
        <f t="shared" si="90"/>
        <v>-2761.6615039421654</v>
      </c>
      <c r="AJ111">
        <f t="shared" si="75"/>
        <v>22100</v>
      </c>
      <c r="AK111">
        <f t="shared" si="76"/>
        <v>6944.5166280439953</v>
      </c>
      <c r="AL111">
        <v>1</v>
      </c>
      <c r="AM111">
        <f t="shared" si="77"/>
        <v>8.3333038403884512</v>
      </c>
      <c r="AN111">
        <f t="shared" si="91"/>
        <v>1135.2396309151047</v>
      </c>
      <c r="AO111">
        <f t="shared" si="92"/>
        <v>-2515.780148022016</v>
      </c>
      <c r="AQ111">
        <f t="shared" si="78"/>
        <v>1.6863406408094435</v>
      </c>
      <c r="AR111">
        <f t="shared" si="79"/>
        <v>-129.84822934232716</v>
      </c>
      <c r="AT111">
        <f t="shared" si="104"/>
        <v>-345498.30410682078</v>
      </c>
      <c r="AU111">
        <f t="shared" si="105"/>
        <v>-1013245.6231964551</v>
      </c>
      <c r="AV111">
        <f t="shared" si="93"/>
        <v>-1.8994146237280258</v>
      </c>
      <c r="AW111">
        <f t="shared" si="94"/>
        <v>-315397.66574989824</v>
      </c>
      <c r="AX111">
        <f t="shared" si="95"/>
        <v>-162443.92887866733</v>
      </c>
      <c r="AY111">
        <f t="shared" si="103"/>
        <v>-2.6659817697841834</v>
      </c>
      <c r="BA111">
        <f t="shared" si="80"/>
        <v>3.0175106329187744</v>
      </c>
      <c r="BB111">
        <f t="shared" si="96"/>
        <v>9.5929761822464883</v>
      </c>
      <c r="BC111">
        <f t="shared" si="97"/>
        <v>0.76656714605615761</v>
      </c>
      <c r="BD111">
        <f t="shared" si="81"/>
        <v>-136.0789377674065</v>
      </c>
      <c r="BF111">
        <f t="shared" si="82"/>
        <v>-1.5634574017753498</v>
      </c>
      <c r="BG111">
        <f t="shared" si="83"/>
        <v>-115.76357748838699</v>
      </c>
      <c r="BH111">
        <f t="shared" si="98"/>
        <v>64.236422511613014</v>
      </c>
      <c r="BI111">
        <f t="shared" si="99"/>
        <v>64.236422511613014</v>
      </c>
      <c r="BJ111">
        <f t="shared" si="84"/>
        <v>0</v>
      </c>
      <c r="BK111">
        <f t="shared" si="100"/>
        <v>0</v>
      </c>
      <c r="BM111">
        <f t="shared" si="101"/>
        <v>-11.156433584021839</v>
      </c>
      <c r="BN111">
        <f t="shared" si="85"/>
        <v>-159.6846397209805</v>
      </c>
      <c r="BQ111" s="56">
        <f t="shared" si="102"/>
        <v>26.494936982531627</v>
      </c>
      <c r="BR111" s="59"/>
      <c r="BS111" s="59"/>
      <c r="BT111" s="59">
        <v>1023.293</v>
      </c>
      <c r="BU111" s="59">
        <v>14.7437</v>
      </c>
      <c r="BV111" s="59">
        <v>-261.12389999999999</v>
      </c>
      <c r="BW111" s="61"/>
      <c r="BY111" s="59"/>
      <c r="BZ111" s="59"/>
      <c r="CA111" s="59"/>
      <c r="CC111" s="59"/>
    </row>
    <row r="112" spans="1:81" x14ac:dyDescent="0.25">
      <c r="A112">
        <f t="shared" si="106"/>
        <v>39000</v>
      </c>
      <c r="B112">
        <f t="shared" si="86"/>
        <v>39</v>
      </c>
      <c r="C112">
        <f t="shared" si="55"/>
        <v>1.0510115713459844</v>
      </c>
      <c r="D112">
        <f t="shared" si="56"/>
        <v>0.31283692458977019</v>
      </c>
      <c r="F112">
        <f t="shared" si="57"/>
        <v>1.7124285310290897E-2</v>
      </c>
      <c r="G112">
        <f t="shared" si="58"/>
        <v>4.4889018943742962E-2</v>
      </c>
      <c r="H112">
        <f t="shared" si="59"/>
        <v>-3.0967036310562572</v>
      </c>
      <c r="J112">
        <f t="shared" si="60"/>
        <v>15</v>
      </c>
      <c r="M112">
        <f t="shared" si="61"/>
        <v>3.8310358248797138E-2</v>
      </c>
      <c r="N112">
        <f t="shared" si="62"/>
        <v>-1.5707963250000001</v>
      </c>
      <c r="O112">
        <f t="shared" si="63"/>
        <v>10.023796150208373</v>
      </c>
      <c r="P112">
        <f t="shared" si="64"/>
        <v>1.4708674953247642</v>
      </c>
      <c r="Q112">
        <f t="shared" si="65"/>
        <v>8.5005531892720541</v>
      </c>
      <c r="R112">
        <f t="shared" si="66"/>
        <v>1.4528838844065981</v>
      </c>
      <c r="S112">
        <f t="shared" si="67"/>
        <v>0.95288980775382226</v>
      </c>
      <c r="T112">
        <f t="shared" si="68"/>
        <v>-0.30817139949906414</v>
      </c>
      <c r="U112">
        <f t="shared" si="69"/>
        <v>0.97052717033377844</v>
      </c>
      <c r="V112">
        <f t="shared" si="70"/>
        <v>-0.2433875634421902</v>
      </c>
      <c r="X112">
        <f t="shared" si="87"/>
        <v>-1.7768556030850156</v>
      </c>
      <c r="Y112">
        <f t="shared" si="71"/>
        <v>-113.58719935945487</v>
      </c>
      <c r="Z112">
        <f t="shared" si="88"/>
        <v>66.412800640545129</v>
      </c>
      <c r="AC112">
        <v>1</v>
      </c>
      <c r="AD112">
        <f t="shared" si="72"/>
        <v>9.9737901151433999</v>
      </c>
      <c r="AE112">
        <f t="shared" si="73"/>
        <v>-2.9328236232401027E-4</v>
      </c>
      <c r="AF112">
        <f t="shared" si="74"/>
        <v>1.1811131726939999E-3</v>
      </c>
      <c r="AG112">
        <f t="shared" si="89"/>
        <v>7755.9486974538659</v>
      </c>
      <c r="AH112">
        <f t="shared" si="90"/>
        <v>-2772.5395260674968</v>
      </c>
      <c r="AJ112">
        <f t="shared" si="75"/>
        <v>22100</v>
      </c>
      <c r="AK112">
        <f t="shared" si="76"/>
        <v>7034.7051556809311</v>
      </c>
      <c r="AL112">
        <v>1</v>
      </c>
      <c r="AM112">
        <f t="shared" si="77"/>
        <v>8.4415285655883014</v>
      </c>
      <c r="AN112">
        <f t="shared" si="91"/>
        <v>1127.6548022965012</v>
      </c>
      <c r="AO112">
        <f t="shared" si="92"/>
        <v>-2484.4250700278126</v>
      </c>
      <c r="AQ112">
        <f t="shared" si="78"/>
        <v>1.6433853738701725</v>
      </c>
      <c r="AR112">
        <f t="shared" si="79"/>
        <v>-128.18405916187345</v>
      </c>
      <c r="AT112">
        <f t="shared" si="104"/>
        <v>-342649.35798818548</v>
      </c>
      <c r="AU112">
        <f t="shared" si="105"/>
        <v>-998745.33759649796</v>
      </c>
      <c r="AV112">
        <f t="shared" si="93"/>
        <v>-1.9012929112343184</v>
      </c>
      <c r="AW112">
        <f t="shared" si="94"/>
        <v>-307275.0586796861</v>
      </c>
      <c r="AX112">
        <f t="shared" si="95"/>
        <v>-159334.08160094393</v>
      </c>
      <c r="AY112">
        <f t="shared" si="103"/>
        <v>-2.6632241321531041</v>
      </c>
      <c r="BA112">
        <f t="shared" si="80"/>
        <v>3.0505636001492369</v>
      </c>
      <c r="BB112">
        <f t="shared" si="96"/>
        <v>9.6876016775756817</v>
      </c>
      <c r="BC112">
        <f t="shared" si="97"/>
        <v>0.76193122091878562</v>
      </c>
      <c r="BD112">
        <f t="shared" si="81"/>
        <v>-136.34455671222003</v>
      </c>
      <c r="BF112">
        <f t="shared" si="82"/>
        <v>-1.6861740896193083</v>
      </c>
      <c r="BG112">
        <f t="shared" si="83"/>
        <v>-115.84836990199419</v>
      </c>
      <c r="BH112">
        <f t="shared" si="98"/>
        <v>64.151630098005811</v>
      </c>
      <c r="BI112">
        <f t="shared" si="99"/>
        <v>64.151630098005811</v>
      </c>
      <c r="BJ112">
        <f t="shared" si="84"/>
        <v>0</v>
      </c>
      <c r="BK112">
        <f t="shared" si="100"/>
        <v>0</v>
      </c>
      <c r="BM112">
        <f t="shared" si="101"/>
        <v>-11.373775767194989</v>
      </c>
      <c r="BN112">
        <f t="shared" si="85"/>
        <v>-159.50381318977418</v>
      </c>
      <c r="BQ112" s="56">
        <f t="shared" si="102"/>
        <v>26.589562477860817</v>
      </c>
      <c r="BR112" s="59"/>
      <c r="BS112" s="59"/>
      <c r="BT112" s="59">
        <v>1047.1289999999999</v>
      </c>
      <c r="BU112" s="59">
        <v>14.586600000000001</v>
      </c>
      <c r="BV112" s="59">
        <v>-260.40769999999998</v>
      </c>
      <c r="BW112" s="61"/>
      <c r="BY112" s="59"/>
      <c r="BZ112" s="59"/>
      <c r="CA112" s="59"/>
      <c r="CC112" s="59"/>
    </row>
    <row r="113" spans="1:81" x14ac:dyDescent="0.25">
      <c r="A113">
        <f t="shared" si="106"/>
        <v>39500</v>
      </c>
      <c r="B113">
        <f t="shared" si="86"/>
        <v>39.5</v>
      </c>
      <c r="C113">
        <f t="shared" si="55"/>
        <v>1.0522952154667495</v>
      </c>
      <c r="D113">
        <f t="shared" si="56"/>
        <v>0.316586479584266</v>
      </c>
      <c r="F113">
        <f t="shared" si="57"/>
        <v>1.6686702060670765E-2</v>
      </c>
      <c r="G113">
        <f t="shared" si="58"/>
        <v>4.4302360965085941E-2</v>
      </c>
      <c r="H113">
        <f t="shared" si="59"/>
        <v>-3.0972902890349143</v>
      </c>
      <c r="J113">
        <f t="shared" si="60"/>
        <v>15</v>
      </c>
      <c r="M113">
        <f t="shared" si="61"/>
        <v>3.7825417005141478E-2</v>
      </c>
      <c r="N113">
        <f t="shared" si="62"/>
        <v>-1.5707963250000001</v>
      </c>
      <c r="O113">
        <f t="shared" si="63"/>
        <v>10.151035364952632</v>
      </c>
      <c r="P113">
        <f t="shared" si="64"/>
        <v>1.4721241708867918</v>
      </c>
      <c r="Q113">
        <f t="shared" si="65"/>
        <v>8.6080358580423457</v>
      </c>
      <c r="R113">
        <f t="shared" si="66"/>
        <v>1.4543629089929309</v>
      </c>
      <c r="S113">
        <f t="shared" si="67"/>
        <v>0.95176067946698784</v>
      </c>
      <c r="T113">
        <f t="shared" si="68"/>
        <v>-0.3118724963939532</v>
      </c>
      <c r="U113">
        <f t="shared" si="69"/>
        <v>0.96980072224036529</v>
      </c>
      <c r="V113">
        <f t="shared" si="70"/>
        <v>-0.24638390060792217</v>
      </c>
      <c r="X113">
        <f t="shared" si="87"/>
        <v>-1.8998447754007053</v>
      </c>
      <c r="Y113">
        <f t="shared" si="71"/>
        <v>-113.63296934219152</v>
      </c>
      <c r="Z113">
        <f t="shared" si="88"/>
        <v>66.367030657808485</v>
      </c>
      <c r="AC113">
        <v>1</v>
      </c>
      <c r="AD113">
        <f t="shared" si="72"/>
        <v>10.1016592191837</v>
      </c>
      <c r="AE113">
        <f t="shared" si="73"/>
        <v>-3.0085062841291054E-4</v>
      </c>
      <c r="AF113">
        <f t="shared" si="74"/>
        <v>1.196255649267E-3</v>
      </c>
      <c r="AG113">
        <f t="shared" si="89"/>
        <v>7744.3422516855062</v>
      </c>
      <c r="AH113">
        <f t="shared" si="90"/>
        <v>-2783.5941548987576</v>
      </c>
      <c r="AJ113">
        <f t="shared" si="75"/>
        <v>22100</v>
      </c>
      <c r="AK113">
        <f t="shared" si="76"/>
        <v>7124.8936833178659</v>
      </c>
      <c r="AL113">
        <v>1</v>
      </c>
      <c r="AM113">
        <f t="shared" si="77"/>
        <v>8.5497532907881517</v>
      </c>
      <c r="AN113">
        <f t="shared" si="91"/>
        <v>1120.3509949441564</v>
      </c>
      <c r="AO113">
        <f t="shared" si="92"/>
        <v>-2453.8309225437142</v>
      </c>
      <c r="AQ113">
        <f t="shared" si="78"/>
        <v>1.6020506247997437</v>
      </c>
      <c r="AR113">
        <f t="shared" si="79"/>
        <v>-126.56199935917975</v>
      </c>
      <c r="AT113">
        <f t="shared" si="104"/>
        <v>-339890.41330553725</v>
      </c>
      <c r="AU113">
        <f t="shared" si="105"/>
        <v>-984598.89785013418</v>
      </c>
      <c r="AV113">
        <f t="shared" si="93"/>
        <v>-1.9031948314768716</v>
      </c>
      <c r="AW113">
        <f t="shared" si="94"/>
        <v>-299453.24617038516</v>
      </c>
      <c r="AX113">
        <f t="shared" si="95"/>
        <v>-156342.77688402656</v>
      </c>
      <c r="AY113">
        <f t="shared" si="103"/>
        <v>-2.6604263862743154</v>
      </c>
      <c r="BA113">
        <f t="shared" si="80"/>
        <v>3.0834364496036515</v>
      </c>
      <c r="BB113">
        <f t="shared" si="96"/>
        <v>9.7807000387335989</v>
      </c>
      <c r="BC113">
        <f t="shared" si="97"/>
        <v>0.75723155479744375</v>
      </c>
      <c r="BD113">
        <f t="shared" si="81"/>
        <v>-136.61382774640123</v>
      </c>
      <c r="BF113">
        <f t="shared" si="82"/>
        <v>-1.8073126301184508</v>
      </c>
      <c r="BG113">
        <f t="shared" si="83"/>
        <v>-115.93642028592622</v>
      </c>
      <c r="BH113">
        <f t="shared" si="98"/>
        <v>64.063579714073782</v>
      </c>
      <c r="BI113">
        <f t="shared" si="99"/>
        <v>64.063579714073782</v>
      </c>
      <c r="BJ113">
        <f t="shared" si="84"/>
        <v>0</v>
      </c>
      <c r="BK113">
        <f t="shared" si="100"/>
        <v>0</v>
      </c>
      <c r="BM113">
        <f t="shared" si="101"/>
        <v>-11.588012668852048</v>
      </c>
      <c r="BN113">
        <f t="shared" si="85"/>
        <v>-159.322592539525</v>
      </c>
      <c r="BQ113" s="56">
        <f t="shared" si="102"/>
        <v>26.682660839018734</v>
      </c>
      <c r="BR113" s="59"/>
      <c r="BS113" s="59"/>
      <c r="BT113" s="59">
        <v>1071.519</v>
      </c>
      <c r="BU113" s="59">
        <v>14.3581</v>
      </c>
      <c r="BV113" s="59">
        <v>-260.5301</v>
      </c>
      <c r="BW113" s="61"/>
      <c r="BY113" s="59"/>
      <c r="BZ113" s="59"/>
      <c r="CA113" s="59"/>
      <c r="CC113" s="59"/>
    </row>
    <row r="114" spans="1:81" x14ac:dyDescent="0.25">
      <c r="A114">
        <f t="shared" si="106"/>
        <v>40000</v>
      </c>
      <c r="B114">
        <f t="shared" si="86"/>
        <v>40</v>
      </c>
      <c r="C114">
        <f t="shared" si="55"/>
        <v>1.0535936178065095</v>
      </c>
      <c r="D114">
        <f t="shared" si="56"/>
        <v>0.32032684548512702</v>
      </c>
      <c r="F114">
        <f t="shared" si="57"/>
        <v>1.6265761799896594E-2</v>
      </c>
      <c r="G114">
        <f t="shared" si="58"/>
        <v>4.3731061828744144E-2</v>
      </c>
      <c r="H114">
        <f t="shared" si="59"/>
        <v>-3.0978615881712561</v>
      </c>
      <c r="J114">
        <f t="shared" si="60"/>
        <v>15</v>
      </c>
      <c r="M114">
        <f t="shared" si="61"/>
        <v>3.7352599292577213E-2</v>
      </c>
      <c r="N114">
        <f t="shared" si="62"/>
        <v>-1.5707963250000001</v>
      </c>
      <c r="O114">
        <f t="shared" si="63"/>
        <v>10.278290213631935</v>
      </c>
      <c r="P114">
        <f t="shared" si="64"/>
        <v>1.4733497307062502</v>
      </c>
      <c r="Q114">
        <f t="shared" si="65"/>
        <v>8.7155368925460657</v>
      </c>
      <c r="R114">
        <f t="shared" si="66"/>
        <v>1.4558054508691256</v>
      </c>
      <c r="S114">
        <f t="shared" si="67"/>
        <v>0.95062124851794705</v>
      </c>
      <c r="T114">
        <f t="shared" si="68"/>
        <v>-0.31556478199117055</v>
      </c>
      <c r="U114">
        <f t="shared" si="69"/>
        <v>0.9690666800809622</v>
      </c>
      <c r="V114">
        <f t="shared" si="70"/>
        <v>-0.2493757287455452</v>
      </c>
      <c r="X114">
        <f t="shared" si="87"/>
        <v>-2.0212834464485154</v>
      </c>
      <c r="Y114">
        <f t="shared" si="71"/>
        <v>-113.68149573196401</v>
      </c>
      <c r="Z114">
        <f t="shared" si="88"/>
        <v>66.318504268035994</v>
      </c>
      <c r="AC114">
        <v>1</v>
      </c>
      <c r="AD114">
        <f t="shared" si="72"/>
        <v>10.229528323224001</v>
      </c>
      <c r="AE114">
        <f t="shared" si="73"/>
        <v>-3.0851530553479054E-4</v>
      </c>
      <c r="AF114">
        <f t="shared" si="74"/>
        <v>1.2113981258399999E-3</v>
      </c>
      <c r="AG114">
        <f t="shared" si="89"/>
        <v>7732.6233032159398</v>
      </c>
      <c r="AH114">
        <f t="shared" si="90"/>
        <v>-2794.8141645253604</v>
      </c>
      <c r="AJ114">
        <f t="shared" si="75"/>
        <v>22100</v>
      </c>
      <c r="AK114">
        <f t="shared" si="76"/>
        <v>7215.0822109548008</v>
      </c>
      <c r="AL114">
        <v>1</v>
      </c>
      <c r="AM114">
        <f t="shared" si="77"/>
        <v>8.6579780159880002</v>
      </c>
      <c r="AN114">
        <f t="shared" si="91"/>
        <v>1113.3145568905975</v>
      </c>
      <c r="AO114">
        <f t="shared" si="92"/>
        <v>-2423.9707474834145</v>
      </c>
      <c r="AQ114">
        <f t="shared" si="78"/>
        <v>1.562255897516013</v>
      </c>
      <c r="AR114">
        <f t="shared" si="79"/>
        <v>-124.98047180128106</v>
      </c>
      <c r="AT114">
        <f t="shared" si="104"/>
        <v>-337216.85652056383</v>
      </c>
      <c r="AU114">
        <f t="shared" si="105"/>
        <v>-970793.12360849953</v>
      </c>
      <c r="AV114">
        <f t="shared" si="93"/>
        <v>-1.9051193026097266</v>
      </c>
      <c r="AW114">
        <f t="shared" si="94"/>
        <v>-291917.6639452012</v>
      </c>
      <c r="AX114">
        <f t="shared" si="95"/>
        <v>-153463.67789654111</v>
      </c>
      <c r="AY114">
        <f t="shared" si="103"/>
        <v>-2.6575901834912949</v>
      </c>
      <c r="BA114">
        <f t="shared" si="80"/>
        <v>3.1161266851581981</v>
      </c>
      <c r="BB114">
        <f t="shared" si="96"/>
        <v>9.8723021093221277</v>
      </c>
      <c r="BC114">
        <f t="shared" si="97"/>
        <v>0.75247088088156833</v>
      </c>
      <c r="BD114">
        <f t="shared" si="81"/>
        <v>-136.88659426973058</v>
      </c>
      <c r="BF114">
        <f t="shared" si="82"/>
        <v>-1.9269219237637638</v>
      </c>
      <c r="BG114">
        <f t="shared" si="83"/>
        <v>-116.027612658446</v>
      </c>
      <c r="BH114">
        <f t="shared" si="98"/>
        <v>63.972387341553997</v>
      </c>
      <c r="BI114">
        <f t="shared" si="99"/>
        <v>63.972387341553997</v>
      </c>
      <c r="BJ114">
        <f t="shared" si="84"/>
        <v>0</v>
      </c>
      <c r="BK114">
        <f t="shared" si="100"/>
        <v>0</v>
      </c>
      <c r="BM114">
        <f t="shared" si="101"/>
        <v>-11.799224033085894</v>
      </c>
      <c r="BN114">
        <f t="shared" si="85"/>
        <v>-159.14101838871542</v>
      </c>
      <c r="BQ114" s="56">
        <f t="shared" si="102"/>
        <v>26.774262909607263</v>
      </c>
      <c r="BR114" s="59"/>
      <c r="BS114" s="59"/>
      <c r="BT114" s="59">
        <v>1096.4780000000001</v>
      </c>
      <c r="BU114" s="59">
        <v>14.1501</v>
      </c>
      <c r="BV114" s="59">
        <v>-260.5471</v>
      </c>
      <c r="BW114" s="61"/>
      <c r="BY114" s="59"/>
      <c r="BZ114" s="59"/>
      <c r="CA114" s="59"/>
      <c r="CC114" s="59"/>
    </row>
    <row r="115" spans="1:81" x14ac:dyDescent="0.25">
      <c r="A115">
        <f t="shared" si="106"/>
        <v>40500</v>
      </c>
      <c r="B115">
        <f t="shared" si="86"/>
        <v>40.5</v>
      </c>
      <c r="C115">
        <f t="shared" si="55"/>
        <v>1.0549067238710461</v>
      </c>
      <c r="D115">
        <f t="shared" si="56"/>
        <v>0.32405795175938035</v>
      </c>
      <c r="F115">
        <f t="shared" si="57"/>
        <v>1.5860627147376318E-2</v>
      </c>
      <c r="G115">
        <f t="shared" si="58"/>
        <v>4.3174518298162289E-2</v>
      </c>
      <c r="H115">
        <f t="shared" si="59"/>
        <v>-3.098418131701838</v>
      </c>
      <c r="J115">
        <f t="shared" si="60"/>
        <v>15</v>
      </c>
      <c r="M115">
        <f t="shared" si="61"/>
        <v>3.689145609143428E-2</v>
      </c>
      <c r="N115">
        <f t="shared" si="62"/>
        <v>-1.5707963250000001</v>
      </c>
      <c r="O115">
        <f t="shared" si="63"/>
        <v>10.40556012266044</v>
      </c>
      <c r="P115">
        <f t="shared" si="64"/>
        <v>1.474545312757773</v>
      </c>
      <c r="Q115">
        <f t="shared" si="65"/>
        <v>8.823055621473177</v>
      </c>
      <c r="R115">
        <f t="shared" si="66"/>
        <v>1.4572128376659901</v>
      </c>
      <c r="S115">
        <f t="shared" si="67"/>
        <v>0.94947164489738523</v>
      </c>
      <c r="T115">
        <f t="shared" si="68"/>
        <v>-0.31924818740682076</v>
      </c>
      <c r="U115">
        <f t="shared" si="69"/>
        <v>0.96832510046327602</v>
      </c>
      <c r="V115">
        <f t="shared" si="70"/>
        <v>-0.25236300458722299</v>
      </c>
      <c r="X115">
        <f t="shared" si="87"/>
        <v>-2.1412171727823504</v>
      </c>
      <c r="Y115">
        <f t="shared" si="71"/>
        <v>-113.73266943831591</v>
      </c>
      <c r="Z115">
        <f t="shared" si="88"/>
        <v>66.267330561684091</v>
      </c>
      <c r="AC115">
        <v>1</v>
      </c>
      <c r="AD115">
        <f t="shared" si="72"/>
        <v>10.357397427264301</v>
      </c>
      <c r="AE115">
        <f t="shared" si="73"/>
        <v>-3.162763936896501E-4</v>
      </c>
      <c r="AF115">
        <f t="shared" si="74"/>
        <v>1.2265406024129998E-3</v>
      </c>
      <c r="AG115">
        <f t="shared" si="89"/>
        <v>7720.7930301524539</v>
      </c>
      <c r="AH115">
        <f t="shared" si="90"/>
        <v>-2806.1888609553334</v>
      </c>
      <c r="AJ115">
        <f t="shared" si="75"/>
        <v>22100</v>
      </c>
      <c r="AK115">
        <f t="shared" si="76"/>
        <v>7305.2707385917356</v>
      </c>
      <c r="AL115">
        <v>1</v>
      </c>
      <c r="AM115">
        <f t="shared" si="77"/>
        <v>8.7662027411878505</v>
      </c>
      <c r="AN115">
        <f t="shared" si="91"/>
        <v>1106.5326515916831</v>
      </c>
      <c r="AO115">
        <f t="shared" si="92"/>
        <v>-2394.8188250051389</v>
      </c>
      <c r="AQ115">
        <f t="shared" si="78"/>
        <v>1.5239256324291375</v>
      </c>
      <c r="AR115">
        <f t="shared" si="79"/>
        <v>-123.43797622676013</v>
      </c>
      <c r="AT115">
        <f t="shared" si="104"/>
        <v>-334624.35950507398</v>
      </c>
      <c r="AU115">
        <f t="shared" si="105"/>
        <v>-957315.48964234081</v>
      </c>
      <c r="AV115">
        <f t="shared" si="93"/>
        <v>-1.9070652935750187</v>
      </c>
      <c r="AW115">
        <f t="shared" si="94"/>
        <v>-284654.6143912308</v>
      </c>
      <c r="AX115">
        <f t="shared" si="95"/>
        <v>-150690.87197283743</v>
      </c>
      <c r="AY115">
        <f t="shared" si="103"/>
        <v>-2.6547171018079991</v>
      </c>
      <c r="BA115">
        <f t="shared" si="80"/>
        <v>3.1486318591515641</v>
      </c>
      <c r="BB115">
        <f t="shared" si="96"/>
        <v>9.9624377101242043</v>
      </c>
      <c r="BC115">
        <f t="shared" si="97"/>
        <v>0.74765180823298039</v>
      </c>
      <c r="BD115">
        <f t="shared" si="81"/>
        <v>-137.16270679397712</v>
      </c>
      <c r="BF115">
        <f t="shared" si="82"/>
        <v>-2.0450487825532688</v>
      </c>
      <c r="BG115">
        <f t="shared" si="83"/>
        <v>-116.12183613547283</v>
      </c>
      <c r="BH115">
        <f t="shared" si="98"/>
        <v>63.878163864527167</v>
      </c>
      <c r="BI115">
        <f t="shared" si="99"/>
        <v>63.878163864527167</v>
      </c>
      <c r="BJ115">
        <f t="shared" si="84"/>
        <v>0</v>
      </c>
      <c r="BK115">
        <f t="shared" si="100"/>
        <v>0</v>
      </c>
      <c r="BM115">
        <f t="shared" si="101"/>
        <v>-12.007486492677472</v>
      </c>
      <c r="BN115">
        <f t="shared" si="85"/>
        <v>-158.95912934149572</v>
      </c>
      <c r="BQ115" s="56">
        <f t="shared" si="102"/>
        <v>26.864398510409341</v>
      </c>
      <c r="BR115" s="59"/>
      <c r="BS115" s="59"/>
      <c r="BT115" s="59">
        <v>1122.018</v>
      </c>
      <c r="BU115" s="59">
        <v>13.9679</v>
      </c>
      <c r="BV115" s="59">
        <v>-259.93099999999998</v>
      </c>
      <c r="BW115" s="61"/>
      <c r="BY115" s="59"/>
      <c r="BZ115" s="59"/>
      <c r="CA115" s="59"/>
      <c r="CC115" s="59"/>
    </row>
    <row r="116" spans="1:81" x14ac:dyDescent="0.25">
      <c r="A116">
        <f t="shared" si="106"/>
        <v>41000</v>
      </c>
      <c r="B116">
        <f t="shared" si="86"/>
        <v>41</v>
      </c>
      <c r="C116">
        <f t="shared" si="55"/>
        <v>1.0562344788215428</v>
      </c>
      <c r="D116">
        <f t="shared" si="56"/>
        <v>0.32777972925403748</v>
      </c>
      <c r="F116">
        <f t="shared" si="57"/>
        <v>1.5470512968219061E-2</v>
      </c>
      <c r="G116">
        <f t="shared" si="58"/>
        <v>4.263215868131421E-2</v>
      </c>
      <c r="H116">
        <f t="shared" si="59"/>
        <v>-3.0989604913186861</v>
      </c>
      <c r="J116">
        <f t="shared" si="60"/>
        <v>15</v>
      </c>
      <c r="M116">
        <f t="shared" si="61"/>
        <v>3.6441560285441182E-2</v>
      </c>
      <c r="N116">
        <f t="shared" si="62"/>
        <v>-1.5707963250000001</v>
      </c>
      <c r="O116">
        <f t="shared" si="63"/>
        <v>10.532844546108919</v>
      </c>
      <c r="P116">
        <f t="shared" si="64"/>
        <v>1.4757120003611237</v>
      </c>
      <c r="Q116">
        <f t="shared" si="65"/>
        <v>8.9305914057343614</v>
      </c>
      <c r="R116">
        <f t="shared" si="66"/>
        <v>1.4585863336418114</v>
      </c>
      <c r="S116">
        <f t="shared" si="67"/>
        <v>0.94831199887711681</v>
      </c>
      <c r="T116">
        <f t="shared" si="68"/>
        <v>-0.32292264505176371</v>
      </c>
      <c r="U116">
        <f t="shared" si="69"/>
        <v>0.96757604033800959</v>
      </c>
      <c r="V116">
        <f t="shared" si="70"/>
        <v>-0.25534568532167073</v>
      </c>
      <c r="X116">
        <f t="shared" si="87"/>
        <v>-2.2596895500685834</v>
      </c>
      <c r="Y116">
        <f t="shared" si="71"/>
        <v>-113.78638634716904</v>
      </c>
      <c r="Z116">
        <f t="shared" si="88"/>
        <v>66.213613652830958</v>
      </c>
      <c r="AC116">
        <v>1</v>
      </c>
      <c r="AD116">
        <f t="shared" si="72"/>
        <v>10.485266531304601</v>
      </c>
      <c r="AE116">
        <f t="shared" si="73"/>
        <v>-3.2413389287748933E-4</v>
      </c>
      <c r="AF116">
        <f t="shared" si="74"/>
        <v>1.241683078986E-3</v>
      </c>
      <c r="AG116">
        <f t="shared" si="89"/>
        <v>7708.8526161233985</v>
      </c>
      <c r="AH116">
        <f t="shared" si="90"/>
        <v>-2817.7080507048959</v>
      </c>
      <c r="AJ116">
        <f t="shared" si="75"/>
        <v>22100</v>
      </c>
      <c r="AK116">
        <f t="shared" si="76"/>
        <v>7395.4592662286714</v>
      </c>
      <c r="AL116">
        <v>1</v>
      </c>
      <c r="AM116">
        <f t="shared" si="77"/>
        <v>8.8744274663877007</v>
      </c>
      <c r="AN116">
        <f t="shared" si="91"/>
        <v>1099.9932004278644</v>
      </c>
      <c r="AO116">
        <f t="shared" si="92"/>
        <v>-2366.3506044880778</v>
      </c>
      <c r="AQ116">
        <f t="shared" si="78"/>
        <v>1.486988847583643</v>
      </c>
      <c r="AR116">
        <f t="shared" si="79"/>
        <v>-121.93308550185874</v>
      </c>
      <c r="AT116">
        <f t="shared" si="104"/>
        <v>-332108.85879803431</v>
      </c>
      <c r="AU116">
        <f t="shared" si="105"/>
        <v>-944154.08561014663</v>
      </c>
      <c r="AV116">
        <f t="shared" si="93"/>
        <v>-1.9090318211020885</v>
      </c>
      <c r="AW116">
        <f t="shared" si="94"/>
        <v>-277651.20571311971</v>
      </c>
      <c r="AX116">
        <f t="shared" si="95"/>
        <v>-148018.83700387931</v>
      </c>
      <c r="AY116">
        <f t="shared" si="103"/>
        <v>-2.6518086503337241</v>
      </c>
      <c r="BA116">
        <f t="shared" si="80"/>
        <v>3.1809495715671567</v>
      </c>
      <c r="BB116">
        <f t="shared" si="96"/>
        <v>10.051135683538568</v>
      </c>
      <c r="BC116">
        <f t="shared" si="97"/>
        <v>0.74277682923163568</v>
      </c>
      <c r="BD116">
        <f t="shared" si="81"/>
        <v>-137.44202251628823</v>
      </c>
      <c r="BF116">
        <f t="shared" si="82"/>
        <v>-2.1617380490852622</v>
      </c>
      <c r="BG116">
        <f t="shared" si="83"/>
        <v>-116.21898463186888</v>
      </c>
      <c r="BH116">
        <f t="shared" si="98"/>
        <v>63.781015368131122</v>
      </c>
      <c r="BI116">
        <f t="shared" si="99"/>
        <v>63.781015368131122</v>
      </c>
      <c r="BJ116">
        <f t="shared" si="84"/>
        <v>0</v>
      </c>
      <c r="BK116">
        <f t="shared" si="100"/>
        <v>0</v>
      </c>
      <c r="BM116">
        <f t="shared" si="101"/>
        <v>-12.21287373262383</v>
      </c>
      <c r="BN116">
        <f t="shared" si="85"/>
        <v>-158.77696211558069</v>
      </c>
      <c r="BQ116" s="56">
        <f t="shared" si="102"/>
        <v>26.953096483823703</v>
      </c>
      <c r="BR116" s="59"/>
      <c r="BS116" s="59"/>
      <c r="BT116" s="59">
        <v>1148.154</v>
      </c>
      <c r="BU116" s="59">
        <v>13.7508</v>
      </c>
      <c r="BV116" s="59">
        <v>-259.94799999999998</v>
      </c>
      <c r="BW116" s="61"/>
      <c r="BY116" s="59"/>
      <c r="BZ116" s="59"/>
      <c r="CA116" s="59"/>
      <c r="CC116" s="59"/>
    </row>
    <row r="117" spans="1:81" x14ac:dyDescent="0.25">
      <c r="A117">
        <f t="shared" si="106"/>
        <v>41500</v>
      </c>
      <c r="B117">
        <f t="shared" si="86"/>
        <v>41.5</v>
      </c>
      <c r="C117">
        <f t="shared" si="55"/>
        <v>1.0575768274843333</v>
      </c>
      <c r="D117">
        <f t="shared" si="56"/>
        <v>0.33149211019518821</v>
      </c>
      <c r="F117">
        <f t="shared" si="57"/>
        <v>1.5094682493298522E-2</v>
      </c>
      <c r="G117">
        <f t="shared" si="58"/>
        <v>4.2103440775103224E-2</v>
      </c>
      <c r="H117">
        <f t="shared" si="59"/>
        <v>-3.0994892092248971</v>
      </c>
      <c r="J117">
        <f t="shared" si="60"/>
        <v>15</v>
      </c>
      <c r="M117">
        <f t="shared" si="61"/>
        <v>3.6002505342243092E-2</v>
      </c>
      <c r="N117">
        <f t="shared" si="62"/>
        <v>-1.5707963250000001</v>
      </c>
      <c r="O117">
        <f t="shared" si="63"/>
        <v>10.6601429640614</v>
      </c>
      <c r="P117">
        <f t="shared" si="64"/>
        <v>1.4768508254136565</v>
      </c>
      <c r="Q117">
        <f t="shared" si="65"/>
        <v>9.0381436365568248</v>
      </c>
      <c r="R117">
        <f t="shared" si="66"/>
        <v>1.4599271434030476</v>
      </c>
      <c r="S117">
        <f t="shared" si="67"/>
        <v>0.94714244097588163</v>
      </c>
      <c r="T117">
        <f t="shared" si="68"/>
        <v>-0.32658808863127481</v>
      </c>
      <c r="U117">
        <f t="shared" si="69"/>
        <v>0.9668195569878697</v>
      </c>
      <c r="V117">
        <f t="shared" si="70"/>
        <v>-0.25832372859623809</v>
      </c>
      <c r="X117">
        <f t="shared" si="87"/>
        <v>-2.3767423242651478</v>
      </c>
      <c r="Y117">
        <f t="shared" si="71"/>
        <v>-113.84254704036604</v>
      </c>
      <c r="Z117">
        <f t="shared" si="88"/>
        <v>66.157452959633957</v>
      </c>
      <c r="AC117">
        <v>1</v>
      </c>
      <c r="AD117">
        <f t="shared" si="72"/>
        <v>10.6131356353449</v>
      </c>
      <c r="AE117">
        <f t="shared" si="73"/>
        <v>-3.3208780309830813E-4</v>
      </c>
      <c r="AF117">
        <f t="shared" si="74"/>
        <v>1.2568255555589999E-3</v>
      </c>
      <c r="AG117">
        <f t="shared" si="89"/>
        <v>7696.803250011837</v>
      </c>
      <c r="AH117">
        <f t="shared" si="90"/>
        <v>-2829.3620116554166</v>
      </c>
      <c r="AJ117">
        <f t="shared" si="75"/>
        <v>22100</v>
      </c>
      <c r="AK117">
        <f t="shared" si="76"/>
        <v>7485.6477938656062</v>
      </c>
      <c r="AL117">
        <v>1</v>
      </c>
      <c r="AM117">
        <f t="shared" si="77"/>
        <v>8.982652191587551</v>
      </c>
      <c r="AN117">
        <f t="shared" si="91"/>
        <v>1093.6848298597715</v>
      </c>
      <c r="AO117">
        <f t="shared" si="92"/>
        <v>-2338.5426399803277</v>
      </c>
      <c r="AQ117">
        <f t="shared" si="78"/>
        <v>1.4513788098693758</v>
      </c>
      <c r="AR117">
        <f t="shared" si="79"/>
        <v>-120.4644412191582</v>
      </c>
      <c r="AT117">
        <f t="shared" si="104"/>
        <v>-329666.53659998224</v>
      </c>
      <c r="AU117">
        <f t="shared" si="105"/>
        <v>-931297.57875564287</v>
      </c>
      <c r="AV117">
        <f t="shared" si="93"/>
        <v>-1.9110179469181887</v>
      </c>
      <c r="AW117">
        <f t="shared" si="94"/>
        <v>-270895.29598685983</v>
      </c>
      <c r="AX117">
        <f t="shared" si="95"/>
        <v>-145442.41087689274</v>
      </c>
      <c r="AY117">
        <f t="shared" si="103"/>
        <v>-2.6488662734117789</v>
      </c>
      <c r="BA117">
        <f t="shared" si="80"/>
        <v>3.2130774693166422</v>
      </c>
      <c r="BB117">
        <f t="shared" si="96"/>
        <v>10.138423935811788</v>
      </c>
      <c r="BC117">
        <f t="shared" si="97"/>
        <v>0.73784832649359022</v>
      </c>
      <c r="BD117">
        <f t="shared" si="81"/>
        <v>-137.72440492281956</v>
      </c>
      <c r="BF117">
        <f t="shared" si="82"/>
        <v>-2.2770327071361134</v>
      </c>
      <c r="BG117">
        <f t="shared" si="83"/>
        <v>-116.31895658289798</v>
      </c>
      <c r="BH117">
        <f t="shared" si="98"/>
        <v>63.681043417102018</v>
      </c>
      <c r="BI117">
        <f t="shared" si="99"/>
        <v>63.681043417102018</v>
      </c>
      <c r="BJ117">
        <f t="shared" si="84"/>
        <v>0</v>
      </c>
      <c r="BK117">
        <f t="shared" si="100"/>
        <v>0</v>
      </c>
      <c r="BM117">
        <f t="shared" si="101"/>
        <v>-12.415456642947902</v>
      </c>
      <c r="BN117">
        <f t="shared" si="85"/>
        <v>-158.59455166007839</v>
      </c>
      <c r="BQ117" s="56">
        <f t="shared" si="102"/>
        <v>27.040384736096925</v>
      </c>
      <c r="BR117" s="59"/>
      <c r="BS117" s="59"/>
      <c r="BT117" s="59">
        <v>1174.8979999999999</v>
      </c>
      <c r="BU117" s="59">
        <v>13.6038</v>
      </c>
      <c r="BV117" s="59">
        <v>-260.19870000000003</v>
      </c>
      <c r="BW117" s="61"/>
      <c r="BY117" s="59"/>
      <c r="BZ117" s="59"/>
      <c r="CA117" s="59"/>
      <c r="CC117" s="59"/>
    </row>
    <row r="118" spans="1:81" x14ac:dyDescent="0.25">
      <c r="A118">
        <f t="shared" si="106"/>
        <v>42000</v>
      </c>
      <c r="B118">
        <f t="shared" si="86"/>
        <v>42</v>
      </c>
      <c r="C118">
        <f t="shared" si="55"/>
        <v>1.0589337143606188</v>
      </c>
      <c r="D118">
        <f t="shared" si="56"/>
        <v>0.33519502818668184</v>
      </c>
      <c r="F118">
        <f t="shared" si="57"/>
        <v>1.4732443772702098E-2</v>
      </c>
      <c r="G118">
        <f t="shared" si="58"/>
        <v>4.1587849969770413E-2</v>
      </c>
      <c r="H118">
        <f t="shared" si="59"/>
        <v>-3.1000048000302298</v>
      </c>
      <c r="J118">
        <f t="shared" si="60"/>
        <v>15</v>
      </c>
      <c r="M118">
        <f t="shared" si="61"/>
        <v>3.5573904088168767E-2</v>
      </c>
      <c r="N118">
        <f t="shared" si="62"/>
        <v>-1.5707963250000001</v>
      </c>
      <c r="O118">
        <f t="shared" si="63"/>
        <v>10.787454881087349</v>
      </c>
      <c r="P118">
        <f t="shared" si="64"/>
        <v>1.4779627713967285</v>
      </c>
      <c r="Q118">
        <f t="shared" si="65"/>
        <v>9.1457117337131297</v>
      </c>
      <c r="R118">
        <f t="shared" si="66"/>
        <v>1.461236415367031</v>
      </c>
      <c r="S118">
        <f t="shared" si="67"/>
        <v>0.94596310192550215</v>
      </c>
      <c r="T118">
        <f t="shared" si="68"/>
        <v>-0.33024445314432233</v>
      </c>
      <c r="U118">
        <f t="shared" si="69"/>
        <v>0.96605570801659268</v>
      </c>
      <c r="V118">
        <f t="shared" si="70"/>
        <v>-0.2612970925188895</v>
      </c>
      <c r="X118">
        <f t="shared" si="87"/>
        <v>-2.492415494994769</v>
      </c>
      <c r="Y118">
        <f t="shared" si="71"/>
        <v>-113.90105653377435</v>
      </c>
      <c r="Z118">
        <f t="shared" si="88"/>
        <v>66.098943466225649</v>
      </c>
      <c r="AC118">
        <v>1</v>
      </c>
      <c r="AD118">
        <f t="shared" si="72"/>
        <v>10.7410047393852</v>
      </c>
      <c r="AE118">
        <f t="shared" si="73"/>
        <v>-3.401381243521066E-4</v>
      </c>
      <c r="AF118">
        <f t="shared" si="74"/>
        <v>1.2719680321319998E-3</v>
      </c>
      <c r="AG118">
        <f t="shared" si="89"/>
        <v>7684.646125690153</v>
      </c>
      <c r="AH118">
        <f t="shared" si="90"/>
        <v>-2841.1414659884326</v>
      </c>
      <c r="AJ118">
        <f t="shared" si="75"/>
        <v>22100</v>
      </c>
      <c r="AK118">
        <f t="shared" si="76"/>
        <v>7575.8363215025411</v>
      </c>
      <c r="AL118">
        <v>1</v>
      </c>
      <c r="AM118">
        <f t="shared" si="77"/>
        <v>9.0908769167874013</v>
      </c>
      <c r="AN118">
        <f t="shared" si="91"/>
        <v>1087.5968228144134</v>
      </c>
      <c r="AO118">
        <f t="shared" si="92"/>
        <v>-2311.3725297923293</v>
      </c>
      <c r="AQ118">
        <f t="shared" si="78"/>
        <v>1.4170327334561428</v>
      </c>
      <c r="AR118">
        <f t="shared" si="79"/>
        <v>-119.03074961031599</v>
      </c>
      <c r="AT118">
        <f t="shared" si="104"/>
        <v>-327293.80334042537</v>
      </c>
      <c r="AU118">
        <f t="shared" si="105"/>
        <v>-918735.17928859463</v>
      </c>
      <c r="AV118">
        <f t="shared" si="93"/>
        <v>-1.9130227751536446</v>
      </c>
      <c r="AW118">
        <f t="shared" si="94"/>
        <v>-264375.44167028717</v>
      </c>
      <c r="AX118">
        <f t="shared" si="95"/>
        <v>-142956.76365404346</v>
      </c>
      <c r="AY118">
        <f t="shared" si="103"/>
        <v>-2.6458913544574587</v>
      </c>
      <c r="BA118">
        <f t="shared" si="80"/>
        <v>3.2450132456155205</v>
      </c>
      <c r="BB118">
        <f t="shared" si="96"/>
        <v>10.224329477186863</v>
      </c>
      <c r="BC118">
        <f t="shared" si="97"/>
        <v>0.7328685793038141</v>
      </c>
      <c r="BD118">
        <f t="shared" si="81"/>
        <v>-138.00972342016189</v>
      </c>
      <c r="BF118">
        <f t="shared" si="82"/>
        <v>-2.3909739844413473</v>
      </c>
      <c r="BG118">
        <f t="shared" si="83"/>
        <v>-116.42165468433727</v>
      </c>
      <c r="BH118">
        <f t="shared" si="98"/>
        <v>63.57834531566273</v>
      </c>
      <c r="BI118">
        <f t="shared" si="99"/>
        <v>63.57834531566273</v>
      </c>
      <c r="BJ118">
        <f t="shared" si="84"/>
        <v>0</v>
      </c>
      <c r="BK118">
        <f t="shared" si="100"/>
        <v>0</v>
      </c>
      <c r="BM118">
        <f t="shared" si="101"/>
        <v>-12.615303461628214</v>
      </c>
      <c r="BN118">
        <f t="shared" si="85"/>
        <v>-158.41193126417537</v>
      </c>
      <c r="BQ118" s="56">
        <f t="shared" si="102"/>
        <v>27.126290277472002</v>
      </c>
      <c r="BR118" s="59"/>
      <c r="BS118" s="59"/>
      <c r="BT118" s="59">
        <v>1202.2639999999999</v>
      </c>
      <c r="BU118" s="59">
        <v>13.412800000000001</v>
      </c>
      <c r="BV118" s="59">
        <v>-259.34100000000001</v>
      </c>
      <c r="BW118" s="61"/>
      <c r="BY118" s="59"/>
      <c r="BZ118" s="59"/>
      <c r="CA118" s="59"/>
      <c r="CC118" s="59"/>
    </row>
    <row r="119" spans="1:81" x14ac:dyDescent="0.25">
      <c r="A119">
        <f t="shared" si="106"/>
        <v>42500</v>
      </c>
      <c r="B119">
        <f t="shared" si="86"/>
        <v>42.5</v>
      </c>
      <c r="C119">
        <f t="shared" si="55"/>
        <v>1.0603050836361505</v>
      </c>
      <c r="D119">
        <f t="shared" si="56"/>
        <v>0.33888841820840349</v>
      </c>
      <c r="F119">
        <f t="shared" si="57"/>
        <v>1.4383146430102084E-2</v>
      </c>
      <c r="G119">
        <f t="shared" si="58"/>
        <v>4.1084897498865923E-2</v>
      </c>
      <c r="H119">
        <f t="shared" si="59"/>
        <v>-3.1005077525011342</v>
      </c>
      <c r="J119">
        <f t="shared" si="60"/>
        <v>15</v>
      </c>
      <c r="M119">
        <f t="shared" si="61"/>
        <v>3.5155387569484428E-2</v>
      </c>
      <c r="N119">
        <f t="shared" si="62"/>
        <v>-1.5707963250000001</v>
      </c>
      <c r="O119">
        <f t="shared" si="63"/>
        <v>10.914779824820059</v>
      </c>
      <c r="P119">
        <f t="shared" si="64"/>
        <v>1.4790487761742379</v>
      </c>
      <c r="Q119">
        <f t="shared" si="65"/>
        <v>9.2532951438723998</v>
      </c>
      <c r="R119">
        <f t="shared" si="66"/>
        <v>1.4625152449872281</v>
      </c>
      <c r="S119">
        <f t="shared" si="67"/>
        <v>0.94477411263741884</v>
      </c>
      <c r="T119">
        <f t="shared" si="68"/>
        <v>-0.33389167488246879</v>
      </c>
      <c r="U119">
        <f t="shared" si="69"/>
        <v>0.96528455133798363</v>
      </c>
      <c r="V119">
        <f t="shared" si="70"/>
        <v>-0.26426573566008194</v>
      </c>
      <c r="X119">
        <f t="shared" si="87"/>
        <v>-2.6067474117610261</v>
      </c>
      <c r="Y119">
        <f t="shared" si="71"/>
        <v>-113.96182403256091</v>
      </c>
      <c r="Z119">
        <f t="shared" si="88"/>
        <v>66.038175967439088</v>
      </c>
      <c r="AC119">
        <v>1</v>
      </c>
      <c r="AD119">
        <f t="shared" si="72"/>
        <v>10.868873843425499</v>
      </c>
      <c r="AE119">
        <f t="shared" si="73"/>
        <v>-3.4828485663888469E-4</v>
      </c>
      <c r="AF119">
        <f t="shared" si="74"/>
        <v>1.2871105087049999E-3</v>
      </c>
      <c r="AG119">
        <f t="shared" si="89"/>
        <v>7672.3824417556953</v>
      </c>
      <c r="AH119">
        <f t="shared" si="90"/>
        <v>-2853.0375550272388</v>
      </c>
      <c r="AJ119">
        <f t="shared" si="75"/>
        <v>22100</v>
      </c>
      <c r="AK119">
        <f t="shared" si="76"/>
        <v>7666.024849139475</v>
      </c>
      <c r="AL119">
        <v>1</v>
      </c>
      <c r="AM119">
        <f t="shared" si="77"/>
        <v>9.1991016419872516</v>
      </c>
      <c r="AN119">
        <f t="shared" si="91"/>
        <v>1081.7190739209666</v>
      </c>
      <c r="AO119">
        <f t="shared" si="92"/>
        <v>-2284.8188599358191</v>
      </c>
      <c r="AQ119">
        <f t="shared" si="78"/>
        <v>1.3838915029061722</v>
      </c>
      <c r="AR119">
        <f t="shared" si="79"/>
        <v>-117.63077774702464</v>
      </c>
      <c r="AT119">
        <f t="shared" si="104"/>
        <v>-324987.28167113144</v>
      </c>
      <c r="AU119">
        <f t="shared" si="105"/>
        <v>-906456.60822621279</v>
      </c>
      <c r="AV119">
        <f t="shared" si="93"/>
        <v>-1.9150454499258787</v>
      </c>
      <c r="AW119">
        <f t="shared" si="94"/>
        <v>-258080.85017122456</v>
      </c>
      <c r="AX119">
        <f t="shared" si="95"/>
        <v>-140557.37221510362</v>
      </c>
      <c r="AY119">
        <f t="shared" si="103"/>
        <v>-2.6428852195284604</v>
      </c>
      <c r="BA119">
        <f t="shared" si="80"/>
        <v>3.2767546394422933</v>
      </c>
      <c r="BB119">
        <f t="shared" si="96"/>
        <v>10.308878460081436</v>
      </c>
      <c r="BC119">
        <f t="shared" si="97"/>
        <v>0.72783976960258179</v>
      </c>
      <c r="BD119">
        <f t="shared" si="81"/>
        <v>-138.29785299234618</v>
      </c>
      <c r="BF119">
        <f t="shared" si="82"/>
        <v>-2.5036014483291504</v>
      </c>
      <c r="BG119">
        <f t="shared" si="83"/>
        <v>-116.5269856498508</v>
      </c>
      <c r="BH119">
        <f t="shared" si="98"/>
        <v>63.473014350149199</v>
      </c>
      <c r="BI119">
        <f t="shared" si="99"/>
        <v>63.473014350149199</v>
      </c>
      <c r="BJ119">
        <f t="shared" si="84"/>
        <v>0</v>
      </c>
      <c r="BK119">
        <f t="shared" si="100"/>
        <v>0</v>
      </c>
      <c r="BM119">
        <f t="shared" si="101"/>
        <v>-12.812479908410586</v>
      </c>
      <c r="BN119">
        <f t="shared" si="85"/>
        <v>-158.22913265750464</v>
      </c>
      <c r="BQ119" s="56">
        <f t="shared" si="102"/>
        <v>27.210839260366573</v>
      </c>
      <c r="BR119" s="59"/>
      <c r="BS119" s="59"/>
      <c r="BT119" s="59">
        <v>1230.269</v>
      </c>
      <c r="BU119" s="59">
        <v>13.1837</v>
      </c>
      <c r="BV119" s="59">
        <v>-259.55099999999999</v>
      </c>
      <c r="BW119" s="61"/>
      <c r="BY119" s="59"/>
      <c r="BZ119" s="59"/>
      <c r="CA119" s="59"/>
      <c r="CC119" s="59"/>
    </row>
    <row r="120" spans="1:81" x14ac:dyDescent="0.25">
      <c r="A120">
        <f t="shared" si="106"/>
        <v>43000</v>
      </c>
      <c r="B120">
        <f t="shared" si="86"/>
        <v>43</v>
      </c>
      <c r="C120">
        <f t="shared" si="55"/>
        <v>1.0616908791908737</v>
      </c>
      <c r="D120">
        <f t="shared" si="56"/>
        <v>0.34257221661415121</v>
      </c>
      <c r="F120">
        <f t="shared" si="57"/>
        <v>1.4046178689111019E-2</v>
      </c>
      <c r="G120">
        <f t="shared" si="58"/>
        <v>4.0594118821818584E-2</v>
      </c>
      <c r="H120">
        <f t="shared" si="59"/>
        <v>-3.1009985311781816</v>
      </c>
      <c r="J120">
        <f t="shared" si="60"/>
        <v>15</v>
      </c>
      <c r="M120">
        <f t="shared" si="61"/>
        <v>3.4746603993095079E-2</v>
      </c>
      <c r="N120">
        <f t="shared" si="62"/>
        <v>-1.5707963250000001</v>
      </c>
      <c r="O120">
        <f t="shared" si="63"/>
        <v>11.042117344632722</v>
      </c>
      <c r="P120">
        <f t="shared" si="64"/>
        <v>1.480109734599818</v>
      </c>
      <c r="Q120">
        <f t="shared" si="65"/>
        <v>9.3608933390641855</v>
      </c>
      <c r="R120">
        <f t="shared" si="66"/>
        <v>1.4637646777597575</v>
      </c>
      <c r="S120">
        <f t="shared" si="67"/>
        <v>0.9435756041696074</v>
      </c>
      <c r="T120">
        <f t="shared" si="68"/>
        <v>-0.33752969142840195</v>
      </c>
      <c r="U120">
        <f t="shared" si="69"/>
        <v>0.96450614516498179</v>
      </c>
      <c r="V120">
        <f t="shared" si="70"/>
        <v>-0.26722961705454085</v>
      </c>
      <c r="X120">
        <f t="shared" si="87"/>
        <v>-2.7197748635943197</v>
      </c>
      <c r="Y120">
        <f t="shared" si="71"/>
        <v>-114.02476270236104</v>
      </c>
      <c r="Z120">
        <f t="shared" si="88"/>
        <v>65.975237297638955</v>
      </c>
      <c r="AC120">
        <v>1</v>
      </c>
      <c r="AD120">
        <f t="shared" si="72"/>
        <v>10.996742947465799</v>
      </c>
      <c r="AE120">
        <f t="shared" si="73"/>
        <v>-3.5652799995864235E-4</v>
      </c>
      <c r="AF120">
        <f t="shared" si="74"/>
        <v>1.3022529852780001E-3</v>
      </c>
      <c r="AG120">
        <f t="shared" si="89"/>
        <v>7660.0134012675962</v>
      </c>
      <c r="AH120">
        <f t="shared" si="90"/>
        <v>-2865.0418158295497</v>
      </c>
      <c r="AJ120">
        <f t="shared" si="75"/>
        <v>22100</v>
      </c>
      <c r="AK120">
        <f t="shared" si="76"/>
        <v>7756.2133767764117</v>
      </c>
      <c r="AL120">
        <v>1</v>
      </c>
      <c r="AM120">
        <f t="shared" si="77"/>
        <v>9.3073263671871018</v>
      </c>
      <c r="AN120">
        <f t="shared" si="91"/>
        <v>1076.0420482531501</v>
      </c>
      <c r="AO120">
        <f t="shared" si="92"/>
        <v>-2258.8611511321478</v>
      </c>
      <c r="AQ120">
        <f t="shared" si="78"/>
        <v>1.35189941868325</v>
      </c>
      <c r="AR120">
        <f t="shared" si="79"/>
        <v>-116.2633500067595</v>
      </c>
      <c r="AT120">
        <f t="shared" si="104"/>
        <v>-322743.79175351316</v>
      </c>
      <c r="AU120">
        <f t="shared" si="105"/>
        <v>-894452.06749336596</v>
      </c>
      <c r="AV120">
        <f t="shared" si="93"/>
        <v>-1.9170851530881321</v>
      </c>
      <c r="AW120">
        <f t="shared" si="94"/>
        <v>-252001.33611375518</v>
      </c>
      <c r="AX120">
        <f t="shared" si="95"/>
        <v>-138239.99711952938</v>
      </c>
      <c r="AY120">
        <f t="shared" si="103"/>
        <v>-2.6398491406488325</v>
      </c>
      <c r="BA120">
        <f t="shared" si="80"/>
        <v>3.3082994350734953</v>
      </c>
      <c r="BB120">
        <f t="shared" si="96"/>
        <v>10.392096215402297</v>
      </c>
      <c r="BC120">
        <f t="shared" si="97"/>
        <v>0.72276398756070037</v>
      </c>
      <c r="BD120">
        <f t="shared" si="81"/>
        <v>-138.58867388140661</v>
      </c>
      <c r="BF120">
        <f t="shared" si="82"/>
        <v>-2.6149530947935782</v>
      </c>
      <c r="BG120">
        <f t="shared" si="83"/>
        <v>-116.63485998434564</v>
      </c>
      <c r="BH120">
        <f t="shared" si="98"/>
        <v>63.365140015654362</v>
      </c>
      <c r="BI120">
        <f t="shared" si="99"/>
        <v>63.365140015654362</v>
      </c>
      <c r="BJ120">
        <f t="shared" si="84"/>
        <v>0</v>
      </c>
      <c r="BK120">
        <f t="shared" si="100"/>
        <v>0</v>
      </c>
      <c r="BM120">
        <f t="shared" si="101"/>
        <v>-13.007049310195878</v>
      </c>
      <c r="BN120">
        <f t="shared" si="85"/>
        <v>-158.04618610293903</v>
      </c>
      <c r="BQ120" s="56">
        <f t="shared" si="102"/>
        <v>27.294057015687436</v>
      </c>
      <c r="BR120" s="59"/>
      <c r="BS120" s="59"/>
      <c r="BT120" s="59">
        <v>1258.925</v>
      </c>
      <c r="BU120" s="59">
        <v>13.0792</v>
      </c>
      <c r="BV120" s="59">
        <v>-259.27199999999999</v>
      </c>
      <c r="BW120" s="61"/>
      <c r="BY120" s="59"/>
      <c r="BZ120" s="59"/>
      <c r="CA120" s="59"/>
      <c r="CC120" s="59"/>
    </row>
    <row r="121" spans="1:81" x14ac:dyDescent="0.25">
      <c r="A121">
        <f t="shared" si="106"/>
        <v>43500</v>
      </c>
      <c r="B121">
        <f t="shared" si="86"/>
        <v>43.5</v>
      </c>
      <c r="C121">
        <f t="shared" si="55"/>
        <v>1.0630910446085295</v>
      </c>
      <c r="D121">
        <f t="shared" si="56"/>
        <v>0.34624636112912227</v>
      </c>
      <c r="F121">
        <f t="shared" si="57"/>
        <v>1.3720964645787665E-2</v>
      </c>
      <c r="G121">
        <f t="shared" si="58"/>
        <v>4.011507212744965E-2</v>
      </c>
      <c r="H121">
        <f t="shared" si="59"/>
        <v>-3.1014775778725507</v>
      </c>
      <c r="J121">
        <f t="shared" si="60"/>
        <v>15</v>
      </c>
      <c r="M121">
        <f t="shared" si="61"/>
        <v>3.4347217740300882E-2</v>
      </c>
      <c r="N121">
        <f t="shared" si="62"/>
        <v>-1.5707963250000001</v>
      </c>
      <c r="O121">
        <f t="shared" si="63"/>
        <v>11.169467010404512</v>
      </c>
      <c r="P121">
        <f t="shared" si="64"/>
        <v>1.4811465009477343</v>
      </c>
      <c r="Q121">
        <f t="shared" si="65"/>
        <v>9.468505815246095</v>
      </c>
      <c r="R121">
        <f t="shared" si="66"/>
        <v>1.4649857120282097</v>
      </c>
      <c r="S121">
        <f t="shared" si="67"/>
        <v>0.94236770769389944</v>
      </c>
      <c r="T121">
        <f t="shared" si="68"/>
        <v>-0.34115844165410147</v>
      </c>
      <c r="U121">
        <f t="shared" si="69"/>
        <v>0.96372054799874596</v>
      </c>
      <c r="V121">
        <f t="shared" si="70"/>
        <v>-0.27018869620293406</v>
      </c>
      <c r="X121">
        <f t="shared" si="87"/>
        <v>-2.8315331626592073</v>
      </c>
      <c r="Y121">
        <f t="shared" si="71"/>
        <v>-114.08978945517127</v>
      </c>
      <c r="Z121">
        <f t="shared" si="88"/>
        <v>65.910210544828729</v>
      </c>
      <c r="AC121">
        <v>1</v>
      </c>
      <c r="AD121">
        <f t="shared" si="72"/>
        <v>11.1246120515061</v>
      </c>
      <c r="AE121">
        <f t="shared" si="73"/>
        <v>-3.6486755431137951E-4</v>
      </c>
      <c r="AF121">
        <f t="shared" si="74"/>
        <v>1.317395461851E-3</v>
      </c>
      <c r="AG121">
        <f t="shared" si="89"/>
        <v>7647.5402114847911</v>
      </c>
      <c r="AH121">
        <f t="shared" si="90"/>
        <v>-2877.1461593899744</v>
      </c>
      <c r="AJ121">
        <f t="shared" si="75"/>
        <v>22100</v>
      </c>
      <c r="AK121">
        <f t="shared" si="76"/>
        <v>7846.4019044133456</v>
      </c>
      <c r="AL121">
        <v>1</v>
      </c>
      <c r="AM121">
        <f t="shared" si="77"/>
        <v>9.4155510923869521</v>
      </c>
      <c r="AN121">
        <f t="shared" si="91"/>
        <v>1070.5567432690323</v>
      </c>
      <c r="AO121">
        <f t="shared" si="92"/>
        <v>-2233.479809135607</v>
      </c>
      <c r="AQ121">
        <f t="shared" si="78"/>
        <v>1.321003963011889</v>
      </c>
      <c r="AR121">
        <f t="shared" si="79"/>
        <v>-114.92734478203434</v>
      </c>
      <c r="AT121">
        <f t="shared" si="104"/>
        <v>-320560.33772185328</v>
      </c>
      <c r="AU121">
        <f t="shared" si="105"/>
        <v>-882712.21209850302</v>
      </c>
      <c r="AV121">
        <f t="shared" si="93"/>
        <v>-1.9191411021299623</v>
      </c>
      <c r="AW121">
        <f t="shared" si="94"/>
        <v>-246127.28097836336</v>
      </c>
      <c r="AX121">
        <f t="shared" si="95"/>
        <v>-136000.66147015229</v>
      </c>
      <c r="AY121">
        <f t="shared" si="103"/>
        <v>-2.636784338905656</v>
      </c>
      <c r="BA121">
        <f t="shared" si="80"/>
        <v>3.3396454616874869</v>
      </c>
      <c r="BB121">
        <f t="shared" si="96"/>
        <v>10.474007287096942</v>
      </c>
      <c r="BC121">
        <f t="shared" si="97"/>
        <v>0.71764323677569375</v>
      </c>
      <c r="BD121">
        <f t="shared" si="81"/>
        <v>-138.88207128966104</v>
      </c>
      <c r="BF121">
        <f t="shared" si="82"/>
        <v>-2.7250654315395511</v>
      </c>
      <c r="BG121">
        <f t="shared" si="83"/>
        <v>-116.74519177213895</v>
      </c>
      <c r="BH121">
        <f t="shared" si="98"/>
        <v>63.254808227861048</v>
      </c>
      <c r="BI121">
        <f t="shared" si="99"/>
        <v>63.254808227861048</v>
      </c>
      <c r="BJ121">
        <f t="shared" si="84"/>
        <v>0</v>
      </c>
      <c r="BK121">
        <f t="shared" si="100"/>
        <v>0</v>
      </c>
      <c r="BM121">
        <f t="shared" si="101"/>
        <v>-13.199072718636495</v>
      </c>
      <c r="BN121">
        <f t="shared" si="85"/>
        <v>-157.86312048247791</v>
      </c>
      <c r="BQ121" s="56">
        <f t="shared" si="102"/>
        <v>27.375968087382077</v>
      </c>
      <c r="BR121" s="59"/>
      <c r="BS121" s="59"/>
      <c r="BT121" s="59">
        <v>1288.25</v>
      </c>
      <c r="BU121" s="59">
        <v>12.807</v>
      </c>
      <c r="BV121" s="59">
        <v>-258.86099999999999</v>
      </c>
      <c r="BW121" s="61"/>
      <c r="BY121" s="59"/>
      <c r="BZ121" s="59"/>
      <c r="CA121" s="59"/>
      <c r="CC121" s="59"/>
    </row>
    <row r="122" spans="1:81" x14ac:dyDescent="0.25">
      <c r="A122">
        <f t="shared" si="106"/>
        <v>44000</v>
      </c>
      <c r="B122">
        <f t="shared" si="86"/>
        <v>44</v>
      </c>
      <c r="C122">
        <f t="shared" si="55"/>
        <v>1.0645055231862148</v>
      </c>
      <c r="D122">
        <f t="shared" si="56"/>
        <v>0.34991079084701454</v>
      </c>
      <c r="F122">
        <f t="shared" si="57"/>
        <v>1.3406961764197195E-2</v>
      </c>
      <c r="G122">
        <f t="shared" si="58"/>
        <v>3.9647336947938656E-2</v>
      </c>
      <c r="H122">
        <f t="shared" si="59"/>
        <v>-3.1019453130520613</v>
      </c>
      <c r="J122">
        <f t="shared" si="60"/>
        <v>15</v>
      </c>
      <c r="M122">
        <f t="shared" si="61"/>
        <v>3.395690844779746E-2</v>
      </c>
      <c r="N122">
        <f t="shared" si="62"/>
        <v>-1.5707963250000001</v>
      </c>
      <c r="O122">
        <f t="shared" si="63"/>
        <v>11.296828411369574</v>
      </c>
      <c r="P122">
        <f t="shared" si="64"/>
        <v>1.4821598911812</v>
      </c>
      <c r="Q122">
        <f t="shared" si="65"/>
        <v>9.5761320909671639</v>
      </c>
      <c r="R122">
        <f t="shared" si="66"/>
        <v>1.4661793016023201</v>
      </c>
      <c r="S122">
        <f t="shared" si="67"/>
        <v>0.94115055446370754</v>
      </c>
      <c r="T122">
        <f t="shared" si="68"/>
        <v>-0.34477786571864838</v>
      </c>
      <c r="U122">
        <f t="shared" si="69"/>
        <v>0.96292781861777121</v>
      </c>
      <c r="V122">
        <f t="shared" si="70"/>
        <v>-0.27314293307344578</v>
      </c>
      <c r="X122">
        <f t="shared" si="87"/>
        <v>-2.9420562223054287</v>
      </c>
      <c r="Y122">
        <f t="shared" si="71"/>
        <v>-114.15682474889027</v>
      </c>
      <c r="Z122">
        <f t="shared" si="88"/>
        <v>65.843175251109727</v>
      </c>
      <c r="AC122">
        <v>1</v>
      </c>
      <c r="AD122">
        <f t="shared" si="72"/>
        <v>11.2524811555464</v>
      </c>
      <c r="AE122">
        <f t="shared" si="73"/>
        <v>-3.7330351969709651E-4</v>
      </c>
      <c r="AF122">
        <f t="shared" si="74"/>
        <v>1.3325379384239999E-3</v>
      </c>
      <c r="AG122">
        <f t="shared" si="89"/>
        <v>7634.9640836054014</v>
      </c>
      <c r="AH122">
        <f t="shared" si="90"/>
        <v>-2889.3428503239602</v>
      </c>
      <c r="AJ122">
        <f t="shared" si="75"/>
        <v>22100</v>
      </c>
      <c r="AK122">
        <f t="shared" si="76"/>
        <v>7936.5904320502805</v>
      </c>
      <c r="AL122">
        <v>1</v>
      </c>
      <c r="AM122">
        <f t="shared" si="77"/>
        <v>9.5237758175868006</v>
      </c>
      <c r="AN122">
        <f t="shared" si="91"/>
        <v>1065.2546536693167</v>
      </c>
      <c r="AO122">
        <f t="shared" si="92"/>
        <v>-2208.6560781373591</v>
      </c>
      <c r="AQ122">
        <f t="shared" si="78"/>
        <v>1.2911555842479019</v>
      </c>
      <c r="AR122">
        <f t="shared" si="79"/>
        <v>-113.62169141381537</v>
      </c>
      <c r="AT122">
        <f t="shared" si="104"/>
        <v>-318434.09521614347</v>
      </c>
      <c r="AU122">
        <f t="shared" si="105"/>
        <v>-871228.12421897904</v>
      </c>
      <c r="AV122">
        <f t="shared" si="93"/>
        <v>-1.9212125482177482</v>
      </c>
      <c r="AW122">
        <f t="shared" si="94"/>
        <v>-240449.59582315595</v>
      </c>
      <c r="AX122">
        <f t="shared" si="95"/>
        <v>-133835.63158427321</v>
      </c>
      <c r="AY122">
        <f t="shared" si="103"/>
        <v>-2.6336919873359785</v>
      </c>
      <c r="BA122">
        <f t="shared" si="80"/>
        <v>3.3707905930305357</v>
      </c>
      <c r="BB122">
        <f t="shared" si="96"/>
        <v>10.554635465037279</v>
      </c>
      <c r="BC122">
        <f t="shared" si="97"/>
        <v>0.71247943911823031</v>
      </c>
      <c r="BD122">
        <f t="shared" si="81"/>
        <v>-139.17793510203131</v>
      </c>
      <c r="BF122">
        <f t="shared" si="82"/>
        <v>-2.8339735554820331</v>
      </c>
      <c r="BG122">
        <f t="shared" si="83"/>
        <v>-116.85789847885815</v>
      </c>
      <c r="BH122">
        <f t="shared" si="98"/>
        <v>63.142101521141853</v>
      </c>
      <c r="BI122">
        <f t="shared" si="99"/>
        <v>63.142101521141853</v>
      </c>
      <c r="BJ122">
        <f t="shared" si="84"/>
        <v>0</v>
      </c>
      <c r="BK122">
        <f t="shared" si="100"/>
        <v>0</v>
      </c>
      <c r="BM122">
        <f t="shared" si="101"/>
        <v>-13.388609020519311</v>
      </c>
      <c r="BN122">
        <f t="shared" si="85"/>
        <v>-157.67996337682683</v>
      </c>
      <c r="BQ122" s="56">
        <f t="shared" si="102"/>
        <v>27.456596265322414</v>
      </c>
      <c r="BR122" s="59"/>
      <c r="BS122" s="59"/>
      <c r="BT122" s="59">
        <v>1318.2570000000001</v>
      </c>
      <c r="BU122" s="59">
        <v>12.682600000000001</v>
      </c>
      <c r="BV122" s="59">
        <v>-258.68299999999999</v>
      </c>
      <c r="BW122" s="61"/>
      <c r="BY122" s="59"/>
      <c r="BZ122" s="59"/>
      <c r="CA122" s="59"/>
      <c r="CC122" s="59"/>
    </row>
    <row r="123" spans="1:81" x14ac:dyDescent="0.25">
      <c r="A123">
        <f t="shared" si="106"/>
        <v>44500</v>
      </c>
      <c r="B123">
        <f t="shared" si="86"/>
        <v>44.5</v>
      </c>
      <c r="C123">
        <f t="shared" si="55"/>
        <v>1.0659342579438931</v>
      </c>
      <c r="D123">
        <f t="shared" si="56"/>
        <v>0.35356544622675123</v>
      </c>
      <c r="F123">
        <f t="shared" si="57"/>
        <v>1.3103658574347119E-2</v>
      </c>
      <c r="G123">
        <f t="shared" si="58"/>
        <v>3.9190512873783188E-2</v>
      </c>
      <c r="H123">
        <f t="shared" si="59"/>
        <v>-3.1024021371262172</v>
      </c>
      <c r="J123">
        <f t="shared" si="60"/>
        <v>15</v>
      </c>
      <c r="M123">
        <f t="shared" si="61"/>
        <v>3.3575370150631195E-2</v>
      </c>
      <c r="N123">
        <f t="shared" si="62"/>
        <v>-1.5707963250000001</v>
      </c>
      <c r="O123">
        <f t="shared" si="63"/>
        <v>11.424201155042528</v>
      </c>
      <c r="P123">
        <f t="shared" si="64"/>
        <v>1.4831506850706202</v>
      </c>
      <c r="Q123">
        <f t="shared" si="65"/>
        <v>9.6837717061195914</v>
      </c>
      <c r="R123">
        <f t="shared" si="66"/>
        <v>1.4673463582046935</v>
      </c>
      <c r="S123">
        <f t="shared" si="67"/>
        <v>0.93992427578217363</v>
      </c>
      <c r="T123">
        <f t="shared" si="68"/>
        <v>-0.34838790506568207</v>
      </c>
      <c r="U123">
        <f t="shared" si="69"/>
        <v>0.96212801606703657</v>
      </c>
      <c r="V123">
        <f t="shared" si="70"/>
        <v>-0.27609228810324865</v>
      </c>
      <c r="X123">
        <f t="shared" si="87"/>
        <v>-3.0513766300005467</v>
      </c>
      <c r="Y123">
        <f t="shared" si="71"/>
        <v>-114.22579239951908</v>
      </c>
      <c r="Z123">
        <f t="shared" si="88"/>
        <v>65.774207600480921</v>
      </c>
      <c r="AC123">
        <v>1</v>
      </c>
      <c r="AD123">
        <f t="shared" si="72"/>
        <v>11.380350259586699</v>
      </c>
      <c r="AE123">
        <f t="shared" si="73"/>
        <v>-3.8183589611579303E-4</v>
      </c>
      <c r="AF123">
        <f t="shared" si="74"/>
        <v>1.3476804149970001E-3</v>
      </c>
      <c r="AG123">
        <f t="shared" si="89"/>
        <v>7622.2862325074993</v>
      </c>
      <c r="AH123">
        <f t="shared" si="90"/>
        <v>-2901.6244879163564</v>
      </c>
      <c r="AJ123">
        <f t="shared" si="75"/>
        <v>22100</v>
      </c>
      <c r="AK123">
        <f t="shared" si="76"/>
        <v>8026.7789596872153</v>
      </c>
      <c r="AL123">
        <v>1</v>
      </c>
      <c r="AM123">
        <f t="shared" si="77"/>
        <v>9.6320005427866509</v>
      </c>
      <c r="AN123">
        <f t="shared" si="91"/>
        <v>1060.1277389221209</v>
      </c>
      <c r="AO123">
        <f t="shared" si="92"/>
        <v>-2184.371997033837</v>
      </c>
      <c r="AQ123">
        <f t="shared" si="78"/>
        <v>1.2623074981065388</v>
      </c>
      <c r="AR123">
        <f t="shared" si="79"/>
        <v>-112.34536733148195</v>
      </c>
      <c r="AT123">
        <f t="shared" si="104"/>
        <v>-316362.39988897782</v>
      </c>
      <c r="AU123">
        <f t="shared" si="105"/>
        <v>-859991.28904453898</v>
      </c>
      <c r="AV123">
        <f t="shared" si="93"/>
        <v>-1.9232987743644587</v>
      </c>
      <c r="AW123">
        <f t="shared" si="94"/>
        <v>-234959.68682151483</v>
      </c>
      <c r="AX123">
        <f t="shared" si="95"/>
        <v>-131741.39929874745</v>
      </c>
      <c r="AY123">
        <f t="shared" si="103"/>
        <v>-2.6305732136199995</v>
      </c>
      <c r="BA123">
        <f t="shared" si="80"/>
        <v>3.4017327471392025</v>
      </c>
      <c r="BB123">
        <f t="shared" si="96"/>
        <v>10.634003816325212</v>
      </c>
      <c r="BC123">
        <f t="shared" si="97"/>
        <v>0.70727443925554079</v>
      </c>
      <c r="BD123">
        <f t="shared" si="81"/>
        <v>-139.47615962687036</v>
      </c>
      <c r="BF123">
        <f t="shared" si="82"/>
        <v>-2.9417112251378619</v>
      </c>
      <c r="BG123">
        <f t="shared" si="83"/>
        <v>-116.97290076608324</v>
      </c>
      <c r="BH123">
        <f t="shared" si="98"/>
        <v>63.027099233916758</v>
      </c>
      <c r="BI123">
        <f t="shared" si="99"/>
        <v>63.027099233916758</v>
      </c>
      <c r="BJ123">
        <f t="shared" si="84"/>
        <v>0</v>
      </c>
      <c r="BK123">
        <f t="shared" si="100"/>
        <v>0</v>
      </c>
      <c r="BM123">
        <f t="shared" si="101"/>
        <v>-13.575715041463077</v>
      </c>
      <c r="BN123">
        <f t="shared" si="85"/>
        <v>-157.4967411392129</v>
      </c>
      <c r="BQ123" s="56">
        <f t="shared" si="102"/>
        <v>27.53596461661035</v>
      </c>
      <c r="BR123" s="59"/>
      <c r="BS123" s="59"/>
      <c r="BT123" s="59">
        <v>1348.963</v>
      </c>
      <c r="BU123" s="59">
        <v>12.475899999999999</v>
      </c>
      <c r="BV123" s="59">
        <v>-258.79700000000003</v>
      </c>
      <c r="BW123" s="61"/>
      <c r="BY123" s="59"/>
      <c r="BZ123" s="59"/>
      <c r="CA123" s="59"/>
      <c r="CC123" s="59"/>
    </row>
    <row r="124" spans="1:81" x14ac:dyDescent="0.25">
      <c r="A124">
        <f t="shared" si="106"/>
        <v>45000</v>
      </c>
      <c r="B124">
        <f t="shared" si="86"/>
        <v>45</v>
      </c>
      <c r="C124">
        <f t="shared" si="55"/>
        <v>1.0673771916338559</v>
      </c>
      <c r="D124">
        <f t="shared" si="56"/>
        <v>0.35721026908883591</v>
      </c>
      <c r="F124">
        <f t="shared" si="57"/>
        <v>1.2810572553959326E-2</v>
      </c>
      <c r="G124">
        <f t="shared" si="58"/>
        <v>3.8744218361213459E-2</v>
      </c>
      <c r="H124">
        <f t="shared" si="59"/>
        <v>-3.1028484316387868</v>
      </c>
      <c r="J124">
        <f t="shared" si="60"/>
        <v>15</v>
      </c>
      <c r="M124">
        <f t="shared" si="61"/>
        <v>3.3202310482290852E-2</v>
      </c>
      <c r="N124">
        <f t="shared" si="62"/>
        <v>-1.5707963250000001</v>
      </c>
      <c r="O124">
        <f t="shared" si="63"/>
        <v>11.551584866214654</v>
      </c>
      <c r="P124">
        <f t="shared" si="64"/>
        <v>1.4841196281731956</v>
      </c>
      <c r="Q124">
        <f t="shared" si="65"/>
        <v>9.7914242207721092</v>
      </c>
      <c r="R124">
        <f t="shared" si="66"/>
        <v>1.4684877537585614</v>
      </c>
      <c r="S124">
        <f t="shared" si="67"/>
        <v>0.93868900297074354</v>
      </c>
      <c r="T124">
        <f t="shared" si="68"/>
        <v>-0.35198850242051355</v>
      </c>
      <c r="U124">
        <f t="shared" si="69"/>
        <v>0.9613211996471861</v>
      </c>
      <c r="V124">
        <f t="shared" si="70"/>
        <v>-0.2790367221998773</v>
      </c>
      <c r="X124">
        <f t="shared" si="87"/>
        <v>-3.1595257155425105</v>
      </c>
      <c r="Y124">
        <f t="shared" si="71"/>
        <v>-114.29661940511133</v>
      </c>
      <c r="Z124">
        <f t="shared" si="88"/>
        <v>65.703380594888671</v>
      </c>
      <c r="AC124">
        <v>1</v>
      </c>
      <c r="AD124">
        <f t="shared" si="72"/>
        <v>11.508219363626999</v>
      </c>
      <c r="AE124">
        <f t="shared" si="73"/>
        <v>-3.9046468356746926E-4</v>
      </c>
      <c r="AF124">
        <f t="shared" si="74"/>
        <v>1.36282289157E-3</v>
      </c>
      <c r="AG124">
        <f t="shared" si="89"/>
        <v>7609.5078764914106</v>
      </c>
      <c r="AH124">
        <f t="shared" si="90"/>
        <v>-2913.9839884281873</v>
      </c>
      <c r="AJ124">
        <f t="shared" si="75"/>
        <v>22100</v>
      </c>
      <c r="AK124">
        <f t="shared" si="76"/>
        <v>8116.9674873241511</v>
      </c>
      <c r="AL124">
        <v>1</v>
      </c>
      <c r="AM124">
        <f t="shared" si="77"/>
        <v>9.7402252679865011</v>
      </c>
      <c r="AN124">
        <f t="shared" si="91"/>
        <v>1055.1683932263875</v>
      </c>
      <c r="AO124">
        <f t="shared" si="92"/>
        <v>-2160.610358360223</v>
      </c>
      <c r="AQ124">
        <f t="shared" si="78"/>
        <v>1.2344155042587335</v>
      </c>
      <c r="AR124">
        <f t="shared" si="79"/>
        <v>-111.09739538328601</v>
      </c>
      <c r="AT124">
        <f t="shared" si="104"/>
        <v>-314342.73680045112</v>
      </c>
      <c r="AU124">
        <f t="shared" si="105"/>
        <v>-848993.57224127289</v>
      </c>
      <c r="AV124">
        <f t="shared" si="93"/>
        <v>-1.9253990937188674</v>
      </c>
      <c r="AW124">
        <f t="shared" si="94"/>
        <v>-229649.42337670911</v>
      </c>
      <c r="AX124">
        <f t="shared" si="95"/>
        <v>-129714.6657540216</v>
      </c>
      <c r="AY124">
        <f t="shared" si="103"/>
        <v>-2.6274291025951237</v>
      </c>
      <c r="BA124">
        <f t="shared" si="80"/>
        <v>3.4324698861135303</v>
      </c>
      <c r="BB124">
        <f t="shared" si="96"/>
        <v>10.712134715104671</v>
      </c>
      <c r="BC124">
        <f t="shared" si="97"/>
        <v>0.70203000887625633</v>
      </c>
      <c r="BD124">
        <f t="shared" si="81"/>
        <v>-139.7766433538969</v>
      </c>
      <c r="BF124">
        <f t="shared" si="82"/>
        <v>-3.0483109283087657</v>
      </c>
      <c r="BG124">
        <f t="shared" si="83"/>
        <v>-117.09012231782022</v>
      </c>
      <c r="BH124">
        <f t="shared" si="98"/>
        <v>62.909877682179783</v>
      </c>
      <c r="BI124">
        <f t="shared" si="99"/>
        <v>62.909877682179783</v>
      </c>
      <c r="BJ124">
        <f t="shared" si="84"/>
        <v>0</v>
      </c>
      <c r="BK124">
        <f t="shared" si="100"/>
        <v>0</v>
      </c>
      <c r="BM124">
        <f t="shared" si="101"/>
        <v>-13.760445643413437</v>
      </c>
      <c r="BN124">
        <f t="shared" si="85"/>
        <v>-157.31347896392333</v>
      </c>
      <c r="BQ124" s="56">
        <f t="shared" si="102"/>
        <v>27.614095515389806</v>
      </c>
      <c r="BR124" s="59"/>
      <c r="BS124" s="59"/>
      <c r="BT124" s="59">
        <v>1380.384</v>
      </c>
      <c r="BU124" s="59">
        <v>12.2584</v>
      </c>
      <c r="BV124" s="59">
        <v>-258.41000000000003</v>
      </c>
      <c r="BW124" s="61"/>
      <c r="BY124" s="59"/>
      <c r="BZ124" s="59"/>
      <c r="CA124" s="59"/>
      <c r="CC124" s="59"/>
    </row>
    <row r="125" spans="1:81" x14ac:dyDescent="0.25">
      <c r="A125">
        <f t="shared" si="106"/>
        <v>45500</v>
      </c>
      <c r="B125">
        <f t="shared" si="86"/>
        <v>45.5</v>
      </c>
      <c r="C125">
        <f t="shared" si="55"/>
        <v>1.0688342667501332</v>
      </c>
      <c r="D125">
        <f t="shared" si="56"/>
        <v>0.36084520261134512</v>
      </c>
      <c r="F125">
        <f t="shared" si="57"/>
        <v>1.2527248177433918E-2</v>
      </c>
      <c r="G125">
        <f t="shared" si="58"/>
        <v>3.8308089624342609E-2</v>
      </c>
      <c r="H125">
        <f t="shared" si="59"/>
        <v>-3.1032845603756578</v>
      </c>
      <c r="J125">
        <f t="shared" si="60"/>
        <v>15</v>
      </c>
      <c r="M125">
        <f t="shared" si="61"/>
        <v>3.2837449927540403E-2</v>
      </c>
      <c r="N125">
        <f t="shared" si="62"/>
        <v>-1.5707963250000001</v>
      </c>
      <c r="O125">
        <f t="shared" si="63"/>
        <v>11.678979186015356</v>
      </c>
      <c r="P125">
        <f t="shared" si="64"/>
        <v>1.4850674336843246</v>
      </c>
      <c r="Q125">
        <f t="shared" si="65"/>
        <v>9.8990892140788507</v>
      </c>
      <c r="R125">
        <f t="shared" si="66"/>
        <v>1.469604322528449</v>
      </c>
      <c r="S125">
        <f t="shared" si="67"/>
        <v>0.93744486733818255</v>
      </c>
      <c r="T125">
        <f t="shared" si="68"/>
        <v>-0.35557960178689879</v>
      </c>
      <c r="U125">
        <f t="shared" si="69"/>
        <v>0.96050742890375018</v>
      </c>
      <c r="V125">
        <f t="shared" si="70"/>
        <v>-0.28197619674250118</v>
      </c>
      <c r="X125">
        <f t="shared" si="87"/>
        <v>-3.2665336149146595</v>
      </c>
      <c r="Y125">
        <f t="shared" si="71"/>
        <v>-114.36923578063785</v>
      </c>
      <c r="Z125">
        <f t="shared" si="88"/>
        <v>65.630764219362149</v>
      </c>
      <c r="AC125">
        <v>1</v>
      </c>
      <c r="AD125">
        <f t="shared" si="72"/>
        <v>11.6360884676673</v>
      </c>
      <c r="AE125">
        <f t="shared" si="73"/>
        <v>-3.9918988205212501E-4</v>
      </c>
      <c r="AF125">
        <f t="shared" si="74"/>
        <v>1.3779653681429999E-3</v>
      </c>
      <c r="AG125">
        <f t="shared" si="89"/>
        <v>7596.630237023558</v>
      </c>
      <c r="AH125">
        <f t="shared" si="90"/>
        <v>-2926.4145685645153</v>
      </c>
      <c r="AJ125">
        <f t="shared" si="75"/>
        <v>22100</v>
      </c>
      <c r="AK125">
        <f t="shared" si="76"/>
        <v>8207.156014961085</v>
      </c>
      <c r="AL125">
        <v>1</v>
      </c>
      <c r="AM125">
        <f t="shared" si="77"/>
        <v>9.8484499931863514</v>
      </c>
      <c r="AN125">
        <f t="shared" si="91"/>
        <v>1050.3694177076461</v>
      </c>
      <c r="AO125">
        <f t="shared" si="92"/>
        <v>-2137.3546697049323</v>
      </c>
      <c r="AQ125">
        <f t="shared" si="78"/>
        <v>1.2074378169524269</v>
      </c>
      <c r="AR125">
        <f t="shared" si="79"/>
        <v>-109.87684134267086</v>
      </c>
      <c r="AT125">
        <f t="shared" si="104"/>
        <v>-312372.73062345735</v>
      </c>
      <c r="AU125">
        <f t="shared" si="105"/>
        <v>-838227.19891053892</v>
      </c>
      <c r="AV125">
        <f t="shared" si="93"/>
        <v>-1.9275128479652364</v>
      </c>
      <c r="AW125">
        <f t="shared" si="94"/>
        <v>-224511.10859655082</v>
      </c>
      <c r="AX125">
        <f t="shared" si="95"/>
        <v>-127752.32651832899</v>
      </c>
      <c r="AY125">
        <f t="shared" si="103"/>
        <v>-2.6242606986042589</v>
      </c>
      <c r="BA125">
        <f t="shared" si="80"/>
        <v>3.4630000159359877</v>
      </c>
      <c r="BB125">
        <f t="shared" si="96"/>
        <v>10.789049870959829</v>
      </c>
      <c r="BC125">
        <f t="shared" si="97"/>
        <v>0.69674785063902256</v>
      </c>
      <c r="BD125">
        <f t="shared" si="81"/>
        <v>-140.07928872795648</v>
      </c>
      <c r="BF125">
        <f t="shared" si="82"/>
        <v>-3.1538039454184696</v>
      </c>
      <c r="BG125">
        <f t="shared" si="83"/>
        <v>-117.20948967796704</v>
      </c>
      <c r="BH125">
        <f t="shared" si="98"/>
        <v>62.790510322032958</v>
      </c>
      <c r="BI125">
        <f t="shared" si="99"/>
        <v>62.790510322032958</v>
      </c>
      <c r="BJ125">
        <f t="shared" si="84"/>
        <v>0</v>
      </c>
      <c r="BK125">
        <f t="shared" si="100"/>
        <v>0</v>
      </c>
      <c r="BM125">
        <f t="shared" si="101"/>
        <v>-13.942853816378298</v>
      </c>
      <c r="BN125">
        <f t="shared" si="85"/>
        <v>-157.13020095001056</v>
      </c>
      <c r="BQ125" s="56">
        <f t="shared" si="102"/>
        <v>27.691010671244968</v>
      </c>
      <c r="BR125" s="59"/>
      <c r="BS125" s="59"/>
      <c r="BT125" s="59">
        <v>1412.538</v>
      </c>
      <c r="BU125" s="59">
        <v>12.0929</v>
      </c>
      <c r="BV125" s="59">
        <v>-258.13599999999997</v>
      </c>
      <c r="BW125" s="61"/>
      <c r="BY125" s="59"/>
      <c r="BZ125" s="59"/>
      <c r="CA125" s="59"/>
      <c r="CC125" s="59"/>
    </row>
    <row r="126" spans="1:81" x14ac:dyDescent="0.25">
      <c r="A126">
        <f t="shared" si="106"/>
        <v>46000</v>
      </c>
      <c r="B126">
        <f t="shared" si="86"/>
        <v>46</v>
      </c>
      <c r="C126">
        <f t="shared" si="55"/>
        <v>1.0703054255378466</v>
      </c>
      <c r="D126">
        <f t="shared" si="56"/>
        <v>0.36447019132556685</v>
      </c>
      <c r="F126">
        <f t="shared" si="57"/>
        <v>1.2253255117041969E-2</v>
      </c>
      <c r="G126">
        <f t="shared" si="58"/>
        <v>3.7881779605065551E-2</v>
      </c>
      <c r="H126">
        <f t="shared" si="59"/>
        <v>-3.1037108703949348</v>
      </c>
      <c r="J126">
        <f t="shared" si="60"/>
        <v>15</v>
      </c>
      <c r="M126">
        <f t="shared" si="61"/>
        <v>3.2480521123980186E-2</v>
      </c>
      <c r="N126">
        <f t="shared" si="62"/>
        <v>-1.5707963250000001</v>
      </c>
      <c r="O126">
        <f t="shared" si="63"/>
        <v>11.806383771034064</v>
      </c>
      <c r="P126">
        <f t="shared" si="64"/>
        <v>1.4859947841703676</v>
      </c>
      <c r="Q126">
        <f t="shared" si="65"/>
        <v>10.006766283258091</v>
      </c>
      <c r="R126">
        <f t="shared" si="66"/>
        <v>1.4706968631246256</v>
      </c>
      <c r="S126">
        <f t="shared" si="67"/>
        <v>0.93619200015003778</v>
      </c>
      <c r="T126">
        <f t="shared" si="68"/>
        <v>-0.35916114844348185</v>
      </c>
      <c r="U126">
        <f t="shared" si="69"/>
        <v>0.95968676361640637</v>
      </c>
      <c r="V126">
        <f t="shared" si="70"/>
        <v>-0.28491067358309996</v>
      </c>
      <c r="X126">
        <f t="shared" si="87"/>
        <v>-3.3724293301138912</v>
      </c>
      <c r="Y126">
        <f t="shared" si="71"/>
        <v>-114.44357440299341</v>
      </c>
      <c r="Z126">
        <f t="shared" si="88"/>
        <v>65.556425597006594</v>
      </c>
      <c r="AC126">
        <v>1</v>
      </c>
      <c r="AD126">
        <f t="shared" si="72"/>
        <v>11.7639575717076</v>
      </c>
      <c r="AE126">
        <f t="shared" si="73"/>
        <v>-4.0801149156976049E-4</v>
      </c>
      <c r="AF126">
        <f t="shared" si="74"/>
        <v>1.393107844716E-3</v>
      </c>
      <c r="AG126">
        <f t="shared" si="89"/>
        <v>7583.654538482001</v>
      </c>
      <c r="AH126">
        <f t="shared" si="90"/>
        <v>-2938.9097300148187</v>
      </c>
      <c r="AJ126">
        <f t="shared" si="75"/>
        <v>22100</v>
      </c>
      <c r="AK126">
        <f t="shared" si="76"/>
        <v>8297.3445425980208</v>
      </c>
      <c r="AL126">
        <v>1</v>
      </c>
      <c r="AM126">
        <f t="shared" si="77"/>
        <v>9.9566747183861999</v>
      </c>
      <c r="AN126">
        <f t="shared" si="91"/>
        <v>1045.7239946592053</v>
      </c>
      <c r="AO126">
        <f t="shared" si="92"/>
        <v>-2114.589117435115</v>
      </c>
      <c r="AQ126">
        <f t="shared" si="78"/>
        <v>1.1813349084465445</v>
      </c>
      <c r="AR126">
        <f t="shared" si="79"/>
        <v>-108.68281157708211</v>
      </c>
      <c r="AT126">
        <f t="shared" si="104"/>
        <v>-310450.13658934593</v>
      </c>
      <c r="AU126">
        <f t="shared" si="105"/>
        <v>-827684.73392836261</v>
      </c>
      <c r="AV126">
        <f t="shared" si="93"/>
        <v>-1.9296394058252555</v>
      </c>
      <c r="AW126">
        <f t="shared" si="94"/>
        <v>-219537.45193141609</v>
      </c>
      <c r="AX126">
        <f t="shared" si="95"/>
        <v>-125851.45792764194</v>
      </c>
      <c r="AY126">
        <f t="shared" si="103"/>
        <v>-2.6210690076906147</v>
      </c>
      <c r="BA126">
        <f t="shared" si="80"/>
        <v>3.4933211863314702</v>
      </c>
      <c r="BB126">
        <f t="shared" si="96"/>
        <v>10.864770355974729</v>
      </c>
      <c r="BC126">
        <f t="shared" si="97"/>
        <v>0.69142960186535918</v>
      </c>
      <c r="BD126">
        <f t="shared" si="81"/>
        <v>-140.38400193743621</v>
      </c>
      <c r="BF126">
        <f t="shared" si="82"/>
        <v>-3.2582204088348696</v>
      </c>
      <c r="BG126">
        <f t="shared" si="83"/>
        <v>-117.33093209799861</v>
      </c>
      <c r="BH126">
        <f t="shared" si="98"/>
        <v>62.669067902001387</v>
      </c>
      <c r="BI126">
        <f t="shared" si="99"/>
        <v>62.669067902001387</v>
      </c>
      <c r="BJ126">
        <f t="shared" si="84"/>
        <v>0</v>
      </c>
      <c r="BK126">
        <f t="shared" si="100"/>
        <v>0</v>
      </c>
      <c r="BM126">
        <f t="shared" si="101"/>
        <v>-14.1229907648096</v>
      </c>
      <c r="BN126">
        <f t="shared" si="85"/>
        <v>-156.94693016056243</v>
      </c>
      <c r="BQ126" s="56">
        <f t="shared" si="102"/>
        <v>27.766731156259866</v>
      </c>
      <c r="BR126" s="59"/>
      <c r="BS126" s="59"/>
      <c r="BT126" s="59">
        <v>1445.44</v>
      </c>
      <c r="BU126" s="59">
        <v>11.918900000000001</v>
      </c>
      <c r="BV126" s="59">
        <v>-257.92899999999997</v>
      </c>
      <c r="BW126" s="61"/>
      <c r="BY126" s="59"/>
      <c r="BZ126" s="59"/>
      <c r="CA126" s="59"/>
      <c r="CC126" s="59"/>
    </row>
    <row r="127" spans="1:81" x14ac:dyDescent="0.25">
      <c r="A127">
        <f t="shared" si="106"/>
        <v>46500</v>
      </c>
      <c r="B127">
        <f t="shared" si="86"/>
        <v>46.5</v>
      </c>
      <c r="C127">
        <f t="shared" si="55"/>
        <v>1.0717906100025063</v>
      </c>
      <c r="D127">
        <f t="shared" si="56"/>
        <v>0.36808518111129224</v>
      </c>
      <c r="F127">
        <f t="shared" si="57"/>
        <v>1.1988186582879031E-2</v>
      </c>
      <c r="G127">
        <f t="shared" si="58"/>
        <v>3.7464957014373211E-2</v>
      </c>
      <c r="H127">
        <f t="shared" si="59"/>
        <v>-3.1041276929856272</v>
      </c>
      <c r="J127">
        <f t="shared" si="60"/>
        <v>15</v>
      </c>
      <c r="M127">
        <f t="shared" si="61"/>
        <v>3.2131268208668566E-2</v>
      </c>
      <c r="N127">
        <f t="shared" si="62"/>
        <v>-1.5707963250000001</v>
      </c>
      <c r="O127">
        <f t="shared" si="63"/>
        <v>11.933798292498048</v>
      </c>
      <c r="P127">
        <f t="shared" si="64"/>
        <v>1.4869023331915254</v>
      </c>
      <c r="Q127">
        <f t="shared" si="65"/>
        <v>10.114455042635704</v>
      </c>
      <c r="R127">
        <f t="shared" si="66"/>
        <v>1.4717661403813158</v>
      </c>
      <c r="S127">
        <f t="shared" si="67"/>
        <v>0.9349305325985563</v>
      </c>
      <c r="T127">
        <f t="shared" si="68"/>
        <v>-0.36273308893991185</v>
      </c>
      <c r="U127">
        <f t="shared" si="69"/>
        <v>0.95885926378828645</v>
      </c>
      <c r="V127">
        <f t="shared" si="70"/>
        <v>-0.28784011504754009</v>
      </c>
      <c r="X127">
        <f t="shared" si="87"/>
        <v>-3.4772407852535876</v>
      </c>
      <c r="Y127">
        <f t="shared" si="71"/>
        <v>-114.51957086543672</v>
      </c>
      <c r="Z127">
        <f t="shared" si="88"/>
        <v>65.480429134563281</v>
      </c>
      <c r="AC127">
        <v>1</v>
      </c>
      <c r="AD127">
        <f t="shared" si="72"/>
        <v>11.8918266757479</v>
      </c>
      <c r="AE127">
        <f t="shared" si="73"/>
        <v>-4.1692951212037553E-4</v>
      </c>
      <c r="AF127">
        <f t="shared" si="74"/>
        <v>1.408250321289E-3</v>
      </c>
      <c r="AG127">
        <f t="shared" si="89"/>
        <v>7570.5820079037258</v>
      </c>
      <c r="AH127">
        <f t="shared" si="90"/>
        <v>-2951.4632449848532</v>
      </c>
      <c r="AJ127">
        <f t="shared" si="75"/>
        <v>22100</v>
      </c>
      <c r="AK127">
        <f t="shared" si="76"/>
        <v>8387.5330702349565</v>
      </c>
      <c r="AL127">
        <v>1</v>
      </c>
      <c r="AM127">
        <f t="shared" si="77"/>
        <v>10.06489944358605</v>
      </c>
      <c r="AN127">
        <f t="shared" si="91"/>
        <v>1041.2256636592028</v>
      </c>
      <c r="AO127">
        <f t="shared" si="92"/>
        <v>-2092.2985325760701</v>
      </c>
      <c r="AQ127">
        <f t="shared" si="78"/>
        <v>1.1560693641618498</v>
      </c>
      <c r="AR127">
        <f t="shared" si="79"/>
        <v>-107.51445086705202</v>
      </c>
      <c r="AT127">
        <f t="shared" si="104"/>
        <v>-308572.8321106215</v>
      </c>
      <c r="AU127">
        <f t="shared" si="105"/>
        <v>-817359.06356072985</v>
      </c>
      <c r="AV127">
        <f t="shared" si="93"/>
        <v>-1.9317781616547067</v>
      </c>
      <c r="AW127">
        <f t="shared" si="94"/>
        <v>-214721.54379711684</v>
      </c>
      <c r="AX127">
        <f t="shared" si="95"/>
        <v>-124009.30452973853</v>
      </c>
      <c r="AY127">
        <f t="shared" si="103"/>
        <v>-2.6178549996502225</v>
      </c>
      <c r="BA127">
        <f t="shared" si="80"/>
        <v>3.5234314906640605</v>
      </c>
      <c r="BB127">
        <f t="shared" si="96"/>
        <v>10.93931663052517</v>
      </c>
      <c r="BC127">
        <f t="shared" si="97"/>
        <v>0.68607683799551578</v>
      </c>
      <c r="BD127">
        <f t="shared" si="81"/>
        <v>-140.69069271625881</v>
      </c>
      <c r="BF127">
        <f t="shared" si="82"/>
        <v>-3.3615893584791641</v>
      </c>
      <c r="BG127">
        <f t="shared" si="83"/>
        <v>-117.45438139415921</v>
      </c>
      <c r="BH127">
        <f t="shared" si="98"/>
        <v>62.545618605840787</v>
      </c>
      <c r="BI127">
        <f t="shared" si="99"/>
        <v>62.545618605840787</v>
      </c>
      <c r="BJ127">
        <f t="shared" si="84"/>
        <v>0</v>
      </c>
      <c r="BK127">
        <f t="shared" si="100"/>
        <v>0</v>
      </c>
      <c r="BM127">
        <f t="shared" si="101"/>
        <v>-14.300905989004335</v>
      </c>
      <c r="BN127">
        <f t="shared" si="85"/>
        <v>-156.76368867790043</v>
      </c>
      <c r="BQ127" s="56">
        <f t="shared" si="102"/>
        <v>27.841277430810308</v>
      </c>
      <c r="BR127" s="59"/>
      <c r="BS127" s="59"/>
      <c r="BT127" s="59">
        <v>1479.1079999999999</v>
      </c>
      <c r="BU127" s="59">
        <v>11.714700000000001</v>
      </c>
      <c r="BV127" s="59">
        <v>-257.745</v>
      </c>
      <c r="BW127" s="61"/>
      <c r="BY127" s="59"/>
      <c r="BZ127" s="59"/>
      <c r="CA127" s="59"/>
      <c r="CC127" s="59"/>
    </row>
    <row r="128" spans="1:81" x14ac:dyDescent="0.25">
      <c r="A128">
        <f t="shared" si="106"/>
        <v>47000</v>
      </c>
      <c r="B128">
        <f t="shared" si="86"/>
        <v>47</v>
      </c>
      <c r="C128">
        <f t="shared" si="55"/>
        <v>1.0732897619192485</v>
      </c>
      <c r="D128">
        <f t="shared" si="56"/>
        <v>0.37169011919176737</v>
      </c>
      <c r="F128">
        <f t="shared" si="57"/>
        <v>1.1731657789440941E-2</v>
      </c>
      <c r="G128">
        <f t="shared" si="58"/>
        <v>3.7057305439335483E-2</v>
      </c>
      <c r="H128">
        <f t="shared" si="59"/>
        <v>-3.1045353445606647</v>
      </c>
      <c r="J128">
        <f t="shared" si="60"/>
        <v>15</v>
      </c>
      <c r="M128">
        <f t="shared" si="61"/>
        <v>3.178944620644869E-2</v>
      </c>
      <c r="N128">
        <f t="shared" si="62"/>
        <v>-1.5707963250000001</v>
      </c>
      <c r="O128">
        <f t="shared" si="63"/>
        <v>12.06122243550206</v>
      </c>
      <c r="P128">
        <f t="shared" si="64"/>
        <v>1.4877907068228564</v>
      </c>
      <c r="Q128">
        <f t="shared" si="65"/>
        <v>10.222155122748621</v>
      </c>
      <c r="R128">
        <f t="shared" si="66"/>
        <v>1.4728128871178106</v>
      </c>
      <c r="S128">
        <f t="shared" si="67"/>
        <v>0.93366059577306826</v>
      </c>
      <c r="T128">
        <f t="shared" si="68"/>
        <v>-0.36629537109264221</v>
      </c>
      <c r="U128">
        <f t="shared" si="69"/>
        <v>0.95802498963533</v>
      </c>
      <c r="V128">
        <f t="shared" si="70"/>
        <v>-0.29076448393655402</v>
      </c>
      <c r="X128">
        <f t="shared" si="87"/>
        <v>-3.5809948792169966</v>
      </c>
      <c r="Y128">
        <f t="shared" si="71"/>
        <v>-114.59716334080957</v>
      </c>
      <c r="Z128">
        <f t="shared" si="88"/>
        <v>65.402836659190427</v>
      </c>
      <c r="AC128">
        <v>1</v>
      </c>
      <c r="AD128">
        <f t="shared" si="72"/>
        <v>12.019695779788201</v>
      </c>
      <c r="AE128">
        <f t="shared" si="73"/>
        <v>-4.2594394370397019E-4</v>
      </c>
      <c r="AF128">
        <f t="shared" si="74"/>
        <v>1.4233927978619999E-3</v>
      </c>
      <c r="AG128">
        <f t="shared" si="89"/>
        <v>7557.4138747337383</v>
      </c>
      <c r="AH128">
        <f t="shared" si="90"/>
        <v>-2964.0691426459161</v>
      </c>
      <c r="AJ128">
        <f t="shared" si="75"/>
        <v>22100</v>
      </c>
      <c r="AK128">
        <f t="shared" si="76"/>
        <v>8477.7215978718905</v>
      </c>
      <c r="AL128">
        <v>1</v>
      </c>
      <c r="AM128">
        <f t="shared" si="77"/>
        <v>10.173124168785902</v>
      </c>
      <c r="AN128">
        <f t="shared" si="91"/>
        <v>1036.8682994095473</v>
      </c>
      <c r="AO128">
        <f t="shared" si="92"/>
        <v>-2070.4683586993119</v>
      </c>
      <c r="AQ128">
        <f t="shared" si="78"/>
        <v>1.1316057485572026</v>
      </c>
      <c r="AR128">
        <f t="shared" si="79"/>
        <v>-106.37094036437705</v>
      </c>
      <c r="AT128">
        <f t="shared" si="104"/>
        <v>-306738.80902340432</v>
      </c>
      <c r="AU128">
        <f t="shared" si="105"/>
        <v>-807243.3782591573</v>
      </c>
      <c r="AV128">
        <f t="shared" si="93"/>
        <v>-1.9339285341279493</v>
      </c>
      <c r="AW128">
        <f t="shared" si="94"/>
        <v>-210056.83202044116</v>
      </c>
      <c r="AX128">
        <f t="shared" si="95"/>
        <v>-122223.26753207573</v>
      </c>
      <c r="AY128">
        <f t="shared" si="103"/>
        <v>-2.6146196099524932</v>
      </c>
      <c r="BA128">
        <f t="shared" si="80"/>
        <v>3.5533290658665164</v>
      </c>
      <c r="BB128">
        <f t="shared" si="96"/>
        <v>11.012708567869584</v>
      </c>
      <c r="BC128">
        <f t="shared" si="97"/>
        <v>0.68069107582454391</v>
      </c>
      <c r="BD128">
        <f t="shared" si="81"/>
        <v>-140.99927415846929</v>
      </c>
      <c r="BF128">
        <f t="shared" si="82"/>
        <v>-3.4639387939979982</v>
      </c>
      <c r="BG128">
        <f t="shared" si="83"/>
        <v>-117.57977181350472</v>
      </c>
      <c r="BH128">
        <f t="shared" si="98"/>
        <v>62.420228186495279</v>
      </c>
      <c r="BI128">
        <f t="shared" si="99"/>
        <v>62.420228186495279</v>
      </c>
      <c r="BJ128">
        <f t="shared" si="84"/>
        <v>0</v>
      </c>
      <c r="BK128">
        <f t="shared" si="100"/>
        <v>0</v>
      </c>
      <c r="BM128">
        <f t="shared" si="101"/>
        <v>-14.476647361867583</v>
      </c>
      <c r="BN128">
        <f t="shared" si="85"/>
        <v>-156.58049765503543</v>
      </c>
      <c r="BQ128" s="56">
        <f t="shared" si="102"/>
        <v>27.914669368154719</v>
      </c>
      <c r="BR128" s="59"/>
      <c r="BS128" s="59"/>
      <c r="BT128" s="59">
        <v>1513.5609999999999</v>
      </c>
      <c r="BU128" s="59">
        <v>11.5252</v>
      </c>
      <c r="BV128" s="59">
        <v>-257.61</v>
      </c>
      <c r="BW128" s="61"/>
      <c r="BY128" s="59"/>
      <c r="BZ128" s="59"/>
      <c r="CA128" s="59"/>
      <c r="CC128" s="59"/>
    </row>
    <row r="129" spans="1:81" x14ac:dyDescent="0.25">
      <c r="A129">
        <f t="shared" si="106"/>
        <v>47500</v>
      </c>
      <c r="B129">
        <f t="shared" si="86"/>
        <v>47.5</v>
      </c>
      <c r="C129">
        <f t="shared" si="55"/>
        <v>1.0748028228420077</v>
      </c>
      <c r="D129">
        <f t="shared" si="56"/>
        <v>0.37528495412831453</v>
      </c>
      <c r="F129">
        <f t="shared" si="57"/>
        <v>1.1483304537868767E-2</v>
      </c>
      <c r="G129">
        <f t="shared" si="58"/>
        <v>3.6658522510531116E-2</v>
      </c>
      <c r="H129">
        <f t="shared" si="59"/>
        <v>-3.1049341274894693</v>
      </c>
      <c r="J129">
        <f t="shared" si="60"/>
        <v>15</v>
      </c>
      <c r="M129">
        <f t="shared" si="61"/>
        <v>3.1454820456907125E-2</v>
      </c>
      <c r="N129">
        <f t="shared" si="62"/>
        <v>-1.5707963250000001</v>
      </c>
      <c r="O129">
        <f t="shared" si="63"/>
        <v>12.188655898286049</v>
      </c>
      <c r="P129">
        <f t="shared" si="64"/>
        <v>1.4886605050807975</v>
      </c>
      <c r="Q129">
        <f t="shared" si="65"/>
        <v>10.329866169503942</v>
      </c>
      <c r="R129">
        <f t="shared" si="66"/>
        <v>1.4738378057908874</v>
      </c>
      <c r="S129">
        <f t="shared" si="67"/>
        <v>0.9323823206308407</v>
      </c>
      <c r="T129">
        <f t="shared" si="68"/>
        <v>-0.36984794398041865</v>
      </c>
      <c r="U129">
        <f t="shared" si="69"/>
        <v>0.95718400157568828</v>
      </c>
      <c r="V129">
        <f t="shared" si="70"/>
        <v>-0.29368374352662341</v>
      </c>
      <c r="X129">
        <f t="shared" si="87"/>
        <v>-3.6837175351133169</v>
      </c>
      <c r="Y129">
        <f t="shared" si="71"/>
        <v>-114.67629245292898</v>
      </c>
      <c r="Z129">
        <f t="shared" si="88"/>
        <v>65.323707547071024</v>
      </c>
      <c r="AC129">
        <v>1</v>
      </c>
      <c r="AD129">
        <f t="shared" si="72"/>
        <v>12.147564883828499</v>
      </c>
      <c r="AE129">
        <f t="shared" si="73"/>
        <v>-4.3505478632054452E-4</v>
      </c>
      <c r="AF129">
        <f t="shared" si="74"/>
        <v>1.438535274435E-3</v>
      </c>
      <c r="AG129">
        <f t="shared" si="89"/>
        <v>7544.1513705760681</v>
      </c>
      <c r="AH129">
        <f t="shared" si="90"/>
        <v>-2976.7216964336603</v>
      </c>
      <c r="AJ129">
        <f t="shared" si="75"/>
        <v>22100</v>
      </c>
      <c r="AK129">
        <f t="shared" si="76"/>
        <v>8567.9101255088262</v>
      </c>
      <c r="AL129">
        <v>1</v>
      </c>
      <c r="AM129">
        <f t="shared" si="77"/>
        <v>10.281348893985752</v>
      </c>
      <c r="AN129">
        <f t="shared" si="91"/>
        <v>1032.6460911568042</v>
      </c>
      <c r="AO129">
        <f t="shared" si="92"/>
        <v>-2049.0846216848936</v>
      </c>
      <c r="AQ129">
        <f t="shared" si="78"/>
        <v>1.1079104808331486</v>
      </c>
      <c r="AR129">
        <f t="shared" si="79"/>
        <v>-105.25149567914913</v>
      </c>
      <c r="AT129">
        <f t="shared" si="104"/>
        <v>-304946.16639776388</v>
      </c>
      <c r="AU129">
        <f t="shared" si="105"/>
        <v>-797331.15654903627</v>
      </c>
      <c r="AV129">
        <f t="shared" si="93"/>
        <v>-1.9360899650038936</v>
      </c>
      <c r="AW129">
        <f t="shared" si="94"/>
        <v>-205537.09995987365</v>
      </c>
      <c r="AX129">
        <f t="shared" si="95"/>
        <v>-120490.89416323602</v>
      </c>
      <c r="AY129">
        <f t="shared" si="103"/>
        <v>-2.6113637415382627</v>
      </c>
      <c r="BA129">
        <f t="shared" si="80"/>
        <v>3.5830120923987825</v>
      </c>
      <c r="BB129">
        <f t="shared" si="96"/>
        <v>11.084965477601878</v>
      </c>
      <c r="BC129">
        <f t="shared" si="97"/>
        <v>0.67527377653436904</v>
      </c>
      <c r="BD129">
        <f t="shared" si="81"/>
        <v>-141.30966254451022</v>
      </c>
      <c r="BF129">
        <f t="shared" si="82"/>
        <v>-3.5652957237510625</v>
      </c>
      <c r="BG129">
        <f t="shared" si="83"/>
        <v>-117.70703990818842</v>
      </c>
      <c r="BH129">
        <f t="shared" si="98"/>
        <v>62.29296009181158</v>
      </c>
      <c r="BI129">
        <f t="shared" si="99"/>
        <v>62.29296009181158</v>
      </c>
      <c r="BJ129">
        <f t="shared" si="84"/>
        <v>0</v>
      </c>
      <c r="BK129">
        <f t="shared" si="100"/>
        <v>0</v>
      </c>
      <c r="BM129">
        <f t="shared" si="101"/>
        <v>-14.65026120135294</v>
      </c>
      <c r="BN129">
        <f t="shared" si="85"/>
        <v>-156.39737736367823</v>
      </c>
      <c r="BQ129" s="56">
        <f t="shared" si="102"/>
        <v>27.986926277887015</v>
      </c>
      <c r="BR129" s="59"/>
      <c r="BS129" s="59"/>
      <c r="BT129" s="59">
        <v>1548.817</v>
      </c>
      <c r="BU129" s="59">
        <v>11.3354</v>
      </c>
      <c r="BV129" s="59">
        <v>-257.471</v>
      </c>
      <c r="BW129" s="61"/>
      <c r="BY129" s="59"/>
      <c r="BZ129" s="59"/>
      <c r="CA129" s="59"/>
      <c r="CC129" s="59"/>
    </row>
    <row r="130" spans="1:81" x14ac:dyDescent="0.25">
      <c r="A130">
        <f t="shared" si="106"/>
        <v>48000</v>
      </c>
      <c r="B130">
        <f t="shared" si="86"/>
        <v>48</v>
      </c>
      <c r="C130">
        <f t="shared" si="55"/>
        <v>1.0763297341126266</v>
      </c>
      <c r="D130">
        <f t="shared" si="56"/>
        <v>0.37886963581463001</v>
      </c>
      <c r="F130">
        <f t="shared" si="57"/>
        <v>1.1242781903967349E-2</v>
      </c>
      <c r="G130">
        <f t="shared" si="58"/>
        <v>3.6268319125174579E-2</v>
      </c>
      <c r="H130">
        <f t="shared" si="59"/>
        <v>-3.1053243308748257</v>
      </c>
      <c r="J130">
        <f t="shared" si="60"/>
        <v>15</v>
      </c>
      <c r="M130">
        <f t="shared" si="61"/>
        <v>3.1127166077147671E-2</v>
      </c>
      <c r="N130">
        <f t="shared" si="62"/>
        <v>-1.5707963250000001</v>
      </c>
      <c r="O130">
        <f t="shared" si="63"/>
        <v>12.316098391557469</v>
      </c>
      <c r="P130">
        <f t="shared" si="64"/>
        <v>1.4895123032619526</v>
      </c>
      <c r="Q130">
        <f t="shared" si="65"/>
        <v>10.437587843389744</v>
      </c>
      <c r="R130">
        <f t="shared" si="66"/>
        <v>1.4748415700462554</v>
      </c>
      <c r="S130">
        <f t="shared" si="67"/>
        <v>0.93109583796841033</v>
      </c>
      <c r="T130">
        <f t="shared" si="68"/>
        <v>-0.3733907579394628</v>
      </c>
      <c r="U130">
        <f t="shared" si="69"/>
        <v>0.956336360219184</v>
      </c>
      <c r="V130">
        <f t="shared" si="70"/>
        <v>-0.29659785757076557</v>
      </c>
      <c r="X130">
        <f t="shared" si="87"/>
        <v>-3.7854337467673109</v>
      </c>
      <c r="Y130">
        <f t="shared" si="71"/>
        <v>-114.75690115559659</v>
      </c>
      <c r="Z130">
        <f t="shared" si="88"/>
        <v>65.243098844403406</v>
      </c>
      <c r="AC130">
        <v>1</v>
      </c>
      <c r="AD130">
        <f t="shared" si="72"/>
        <v>12.2754339878688</v>
      </c>
      <c r="AE130">
        <f t="shared" si="73"/>
        <v>-4.4426203997009842E-4</v>
      </c>
      <c r="AF130">
        <f t="shared" si="74"/>
        <v>1.4536777510079999E-3</v>
      </c>
      <c r="AG130">
        <f t="shared" si="89"/>
        <v>7530.7957289467622</v>
      </c>
      <c r="AH130">
        <f t="shared" si="90"/>
        <v>-2989.4154121342658</v>
      </c>
      <c r="AJ130">
        <f t="shared" si="75"/>
        <v>22100</v>
      </c>
      <c r="AK130">
        <f t="shared" si="76"/>
        <v>8658.0986531457602</v>
      </c>
      <c r="AL130">
        <v>1</v>
      </c>
      <c r="AM130">
        <f t="shared" si="77"/>
        <v>10.389573619185601</v>
      </c>
      <c r="AN130">
        <f t="shared" si="91"/>
        <v>1028.5535235676964</v>
      </c>
      <c r="AO130">
        <f t="shared" si="92"/>
        <v>-2028.1339012335727</v>
      </c>
      <c r="AQ130">
        <f t="shared" si="78"/>
        <v>1.0849517196484757</v>
      </c>
      <c r="AR130">
        <f t="shared" si="79"/>
        <v>-104.15536508625367</v>
      </c>
      <c r="AT130">
        <f t="shared" si="104"/>
        <v>-303193.10386887577</v>
      </c>
      <c r="AU130">
        <f t="shared" si="105"/>
        <v>-787616.14993058855</v>
      </c>
      <c r="AV130">
        <f t="shared" si="93"/>
        <v>-1.9382619179676366</v>
      </c>
      <c r="AW130">
        <f t="shared" si="94"/>
        <v>-201156.44616724379</v>
      </c>
      <c r="AX130">
        <f t="shared" si="95"/>
        <v>-118809.867866685</v>
      </c>
      <c r="AY130">
        <f t="shared" si="103"/>
        <v>-2.608088266504037</v>
      </c>
      <c r="BA130">
        <f t="shared" si="80"/>
        <v>3.6124787942321133</v>
      </c>
      <c r="BB130">
        <f t="shared" si="96"/>
        <v>11.156106128025602</v>
      </c>
      <c r="BC130">
        <f t="shared" si="97"/>
        <v>0.66982634853640044</v>
      </c>
      <c r="BD130">
        <f t="shared" si="81"/>
        <v>-141.62177717835186</v>
      </c>
      <c r="BF130">
        <f t="shared" si="82"/>
        <v>-3.6656862108452537</v>
      </c>
      <c r="BG130">
        <f t="shared" si="83"/>
        <v>-117.83612441742984</v>
      </c>
      <c r="BH130">
        <f t="shared" si="98"/>
        <v>62.163875582570157</v>
      </c>
      <c r="BI130">
        <f t="shared" si="99"/>
        <v>62.163875582570157</v>
      </c>
      <c r="BJ130">
        <f t="shared" si="84"/>
        <v>0</v>
      </c>
      <c r="BK130">
        <f t="shared" si="100"/>
        <v>0</v>
      </c>
      <c r="BM130">
        <f t="shared" si="101"/>
        <v>-14.821792338870859</v>
      </c>
      <c r="BN130">
        <f t="shared" si="85"/>
        <v>-156.21434723907799</v>
      </c>
      <c r="BQ130" s="56">
        <f t="shared" si="102"/>
        <v>28.058066928310737</v>
      </c>
      <c r="BR130" s="59"/>
      <c r="BS130" s="59"/>
      <c r="BT130" s="59">
        <v>1584.893</v>
      </c>
      <c r="BU130" s="59">
        <v>11.160399999999999</v>
      </c>
      <c r="BV130" s="59">
        <v>-256.94200000000001</v>
      </c>
      <c r="BW130" s="61"/>
      <c r="BY130" s="59"/>
      <c r="BZ130" s="59"/>
      <c r="CA130" s="59"/>
      <c r="CC130" s="59"/>
    </row>
    <row r="131" spans="1:81" x14ac:dyDescent="0.25">
      <c r="A131">
        <f t="shared" si="106"/>
        <v>48500</v>
      </c>
      <c r="B131">
        <f t="shared" si="86"/>
        <v>48.5</v>
      </c>
      <c r="C131">
        <f t="shared" si="55"/>
        <v>1.0778704368698979</v>
      </c>
      <c r="D131">
        <f t="shared" si="56"/>
        <v>0.38244411547076557</v>
      </c>
      <c r="F131">
        <f t="shared" si="57"/>
        <v>1.100976302304689E-2</v>
      </c>
      <c r="G131">
        <f t="shared" si="58"/>
        <v>3.5886418721614195E-2</v>
      </c>
      <c r="H131">
        <f t="shared" si="59"/>
        <v>-3.1057062312783859</v>
      </c>
      <c r="J131">
        <f t="shared" si="60"/>
        <v>15</v>
      </c>
      <c r="M131">
        <f t="shared" si="61"/>
        <v>3.0806267457795636E-2</v>
      </c>
      <c r="N131">
        <f t="shared" si="62"/>
        <v>-1.5707963250000001</v>
      </c>
      <c r="O131">
        <f t="shared" si="63"/>
        <v>12.443549637855021</v>
      </c>
      <c r="P131">
        <f t="shared" si="64"/>
        <v>1.4903466532003651</v>
      </c>
      <c r="Q131">
        <f t="shared" si="65"/>
        <v>10.545319818733898</v>
      </c>
      <c r="R131">
        <f t="shared" si="66"/>
        <v>1.47582482617613</v>
      </c>
      <c r="S131">
        <f t="shared" si="67"/>
        <v>0.92980127839340165</v>
      </c>
      <c r="T131">
        <f t="shared" si="68"/>
        <v>-0.37692376455835847</v>
      </c>
      <c r="U131">
        <f t="shared" si="69"/>
        <v>0.95548212635682395</v>
      </c>
      <c r="V131">
        <f t="shared" si="70"/>
        <v>-0.29950679029922578</v>
      </c>
      <c r="X131">
        <f t="shared" si="87"/>
        <v>-3.88616762245428</v>
      </c>
      <c r="Y131">
        <f t="shared" si="71"/>
        <v>-114.83893461870929</v>
      </c>
      <c r="Z131">
        <f t="shared" si="88"/>
        <v>65.161065381290712</v>
      </c>
      <c r="AC131">
        <v>1</v>
      </c>
      <c r="AD131">
        <f t="shared" si="72"/>
        <v>12.4033030919091</v>
      </c>
      <c r="AE131">
        <f t="shared" si="73"/>
        <v>-4.5356570465263183E-4</v>
      </c>
      <c r="AF131">
        <f t="shared" si="74"/>
        <v>1.4688202275810001E-3</v>
      </c>
      <c r="AG131">
        <f t="shared" si="89"/>
        <v>7517.3481850288954</v>
      </c>
      <c r="AH131">
        <f t="shared" si="90"/>
        <v>-3002.145016700922</v>
      </c>
      <c r="AJ131">
        <f t="shared" si="75"/>
        <v>22100</v>
      </c>
      <c r="AK131">
        <f t="shared" si="76"/>
        <v>8748.2871807826959</v>
      </c>
      <c r="AL131">
        <v>1</v>
      </c>
      <c r="AM131">
        <f t="shared" si="77"/>
        <v>10.497798344385451</v>
      </c>
      <c r="AN131">
        <f t="shared" si="91"/>
        <v>1024.5853589432759</v>
      </c>
      <c r="AO131">
        <f t="shared" si="92"/>
        <v>-2007.603304013599</v>
      </c>
      <c r="AQ131">
        <f t="shared" si="78"/>
        <v>1.0626992561105206</v>
      </c>
      <c r="AR131">
        <f t="shared" si="79"/>
        <v>-103.08182784272051</v>
      </c>
      <c r="AT131">
        <f t="shared" si="104"/>
        <v>-301477.91544629179</v>
      </c>
      <c r="AU131">
        <f t="shared" si="105"/>
        <v>-778092.36871892004</v>
      </c>
      <c r="AV131">
        <f t="shared" si="93"/>
        <v>-1.9404438775424104</v>
      </c>
      <c r="AW131">
        <f t="shared" si="94"/>
        <v>-196909.26546798734</v>
      </c>
      <c r="AX131">
        <f t="shared" si="95"/>
        <v>-117177.99925357559</v>
      </c>
      <c r="AY131">
        <f t="shared" si="103"/>
        <v>-2.6047940276804384</v>
      </c>
      <c r="BA131">
        <f t="shared" si="80"/>
        <v>3.6417274388555456</v>
      </c>
      <c r="BB131">
        <f t="shared" si="96"/>
        <v>11.226148767505252</v>
      </c>
      <c r="BC131">
        <f t="shared" si="97"/>
        <v>0.66435015013802801</v>
      </c>
      <c r="BD131">
        <f t="shared" si="81"/>
        <v>-141.93554023471341</v>
      </c>
      <c r="BF131">
        <f t="shared" si="82"/>
        <v>-3.765135416427499</v>
      </c>
      <c r="BG131">
        <f t="shared" si="83"/>
        <v>-117.96696615664879</v>
      </c>
      <c r="BH131">
        <f t="shared" si="98"/>
        <v>62.033033843351205</v>
      </c>
      <c r="BI131">
        <f t="shared" si="99"/>
        <v>62.033033843351205</v>
      </c>
      <c r="BJ131">
        <f t="shared" si="84"/>
        <v>0</v>
      </c>
      <c r="BK131">
        <f t="shared" si="100"/>
        <v>0</v>
      </c>
      <c r="BM131">
        <f t="shared" si="101"/>
        <v>-14.991284183932752</v>
      </c>
      <c r="BN131">
        <f t="shared" si="85"/>
        <v>-156.03142592193538</v>
      </c>
      <c r="BQ131" s="56">
        <f t="shared" si="102"/>
        <v>28.128109567790389</v>
      </c>
      <c r="BR131" s="59"/>
      <c r="BS131" s="59"/>
      <c r="BT131" s="59">
        <v>1621.81</v>
      </c>
      <c r="BU131" s="59">
        <v>10.9787</v>
      </c>
      <c r="BV131" s="59">
        <v>-256.75299999999999</v>
      </c>
      <c r="BW131" s="61"/>
      <c r="BY131" s="59"/>
      <c r="BZ131" s="59"/>
      <c r="CA131" s="59"/>
      <c r="CC131" s="59"/>
    </row>
    <row r="132" spans="1:81" x14ac:dyDescent="0.25">
      <c r="A132">
        <f t="shared" si="106"/>
        <v>49000</v>
      </c>
      <c r="B132">
        <f t="shared" si="86"/>
        <v>49</v>
      </c>
      <c r="C132">
        <f t="shared" si="55"/>
        <v>1.0794248720585378</v>
      </c>
      <c r="D132">
        <f t="shared" si="56"/>
        <v>0.38600834563680336</v>
      </c>
      <c r="F132">
        <f t="shared" si="57"/>
        <v>1.0783937963482676E-2</v>
      </c>
      <c r="G132">
        <f t="shared" si="58"/>
        <v>3.551255660125742E-2</v>
      </c>
      <c r="H132">
        <f t="shared" si="59"/>
        <v>-3.1060800933987429</v>
      </c>
      <c r="J132">
        <f t="shared" si="60"/>
        <v>15</v>
      </c>
      <c r="M132">
        <f t="shared" si="61"/>
        <v>3.0491917789858949E-2</v>
      </c>
      <c r="N132">
        <f t="shared" si="62"/>
        <v>-1.5707963250000001</v>
      </c>
      <c r="O132">
        <f t="shared" si="63"/>
        <v>12.571009370950899</v>
      </c>
      <c r="P132">
        <f t="shared" si="64"/>
        <v>1.4911640844489935</v>
      </c>
      <c r="Q132">
        <f t="shared" si="65"/>
        <v>10.653061783007532</v>
      </c>
      <c r="R132">
        <f t="shared" si="66"/>
        <v>1.4767881944894792</v>
      </c>
      <c r="S132">
        <f t="shared" si="67"/>
        <v>0.92849877229683409</v>
      </c>
      <c r="T132">
        <f t="shared" si="68"/>
        <v>-0.38044691667264763</v>
      </c>
      <c r="U132">
        <f t="shared" si="69"/>
        <v>0.95462136095037509</v>
      </c>
      <c r="V132">
        <f t="shared" si="70"/>
        <v>-0.30241050642007411</v>
      </c>
      <c r="X132">
        <f t="shared" si="87"/>
        <v>-3.9859424260746175</v>
      </c>
      <c r="Y132">
        <f t="shared" si="71"/>
        <v>-114.92234012099367</v>
      </c>
      <c r="Z132">
        <f t="shared" si="88"/>
        <v>65.077659879006333</v>
      </c>
      <c r="AC132">
        <v>1</v>
      </c>
      <c r="AD132">
        <f t="shared" si="72"/>
        <v>12.5311721959494</v>
      </c>
      <c r="AE132">
        <f t="shared" si="73"/>
        <v>-4.6296578036814496E-4</v>
      </c>
      <c r="AF132">
        <f t="shared" si="74"/>
        <v>1.483962704154E-3</v>
      </c>
      <c r="AG132">
        <f t="shared" si="89"/>
        <v>7503.8099754297336</v>
      </c>
      <c r="AH132">
        <f t="shared" si="90"/>
        <v>-3014.9054477482355</v>
      </c>
      <c r="AJ132">
        <f t="shared" si="75"/>
        <v>22100</v>
      </c>
      <c r="AK132">
        <f t="shared" si="76"/>
        <v>8838.4757084196317</v>
      </c>
      <c r="AL132">
        <v>1</v>
      </c>
      <c r="AM132">
        <f t="shared" si="77"/>
        <v>10.606023069585301</v>
      </c>
      <c r="AN132">
        <f t="shared" si="91"/>
        <v>1020.7366206660769</v>
      </c>
      <c r="AO132">
        <f t="shared" si="92"/>
        <v>-1987.4804383353212</v>
      </c>
      <c r="AQ132">
        <f t="shared" si="78"/>
        <v>1.0411244143675169</v>
      </c>
      <c r="AR132">
        <f t="shared" si="79"/>
        <v>-102.03019260801666</v>
      </c>
      <c r="AT132">
        <f t="shared" si="104"/>
        <v>-299798.98376251676</v>
      </c>
      <c r="AU132">
        <f t="shared" si="105"/>
        <v>-768754.06875571283</v>
      </c>
      <c r="AV132">
        <f t="shared" si="93"/>
        <v>-1.9426353480669194</v>
      </c>
      <c r="AW132">
        <f t="shared" si="94"/>
        <v>-192790.23134847602</v>
      </c>
      <c r="AX132">
        <f t="shared" si="95"/>
        <v>-115593.21774846932</v>
      </c>
      <c r="AY132">
        <f t="shared" si="103"/>
        <v>-2.6014818401122159</v>
      </c>
      <c r="BA132">
        <f t="shared" si="80"/>
        <v>3.6707563373017966</v>
      </c>
      <c r="BB132">
        <f t="shared" si="96"/>
        <v>11.295111144847493</v>
      </c>
      <c r="BC132">
        <f t="shared" si="97"/>
        <v>0.65884649204529655</v>
      </c>
      <c r="BD132">
        <f t="shared" si="81"/>
        <v>-142.25087661567028</v>
      </c>
      <c r="BF132">
        <f t="shared" si="82"/>
        <v>-3.8636676404306307</v>
      </c>
      <c r="BG132">
        <f t="shared" si="83"/>
        <v>-118.09950791328585</v>
      </c>
      <c r="BH132">
        <f t="shared" si="98"/>
        <v>61.900492086714152</v>
      </c>
      <c r="BI132">
        <f t="shared" si="99"/>
        <v>61.900492086714152</v>
      </c>
      <c r="BJ132">
        <f t="shared" si="84"/>
        <v>0</v>
      </c>
      <c r="BK132">
        <f t="shared" si="100"/>
        <v>0</v>
      </c>
      <c r="BM132">
        <f t="shared" si="101"/>
        <v>-15.158778785278122</v>
      </c>
      <c r="BN132">
        <f t="shared" si="85"/>
        <v>-155.84863129761558</v>
      </c>
      <c r="BQ132" s="56">
        <f t="shared" si="102"/>
        <v>28.197071945132631</v>
      </c>
      <c r="BR132" s="59"/>
      <c r="BS132" s="59"/>
      <c r="BT132" s="59">
        <v>1659.587</v>
      </c>
      <c r="BU132" s="59">
        <v>10.7578</v>
      </c>
      <c r="BV132" s="59">
        <v>-256.85699999999997</v>
      </c>
      <c r="BW132" s="61"/>
      <c r="BY132" s="59"/>
      <c r="BZ132" s="59"/>
      <c r="CA132" s="59"/>
      <c r="CC132" s="59"/>
    </row>
    <row r="133" spans="1:81" x14ac:dyDescent="0.25">
      <c r="A133">
        <f t="shared" si="106"/>
        <v>49500</v>
      </c>
      <c r="B133">
        <f t="shared" si="86"/>
        <v>49.5</v>
      </c>
      <c r="C133">
        <f t="shared" si="55"/>
        <v>1.0809929804380853</v>
      </c>
      <c r="D133">
        <f t="shared" si="56"/>
        <v>0.3895622801662304</v>
      </c>
      <c r="F133">
        <f t="shared" si="57"/>
        <v>1.0565012681645407E-2</v>
      </c>
      <c r="G133">
        <f t="shared" si="58"/>
        <v>3.5146479294323192E-2</v>
      </c>
      <c r="H133">
        <f t="shared" si="59"/>
        <v>-3.1064461707056772</v>
      </c>
      <c r="J133">
        <f t="shared" si="60"/>
        <v>15</v>
      </c>
      <c r="M133">
        <f t="shared" si="61"/>
        <v>3.018391862026441E-2</v>
      </c>
      <c r="N133">
        <f t="shared" si="62"/>
        <v>-1.5707963250000001</v>
      </c>
      <c r="O133">
        <f t="shared" si="63"/>
        <v>12.698477335288862</v>
      </c>
      <c r="P133">
        <f t="shared" si="64"/>
        <v>1.491965105390658</v>
      </c>
      <c r="Q133">
        <f t="shared" si="65"/>
        <v>10.760813436170078</v>
      </c>
      <c r="R133">
        <f t="shared" si="66"/>
        <v>1.4777322706009604</v>
      </c>
      <c r="S133">
        <f t="shared" si="67"/>
        <v>0.92718844982592896</v>
      </c>
      <c r="T133">
        <f t="shared" si="68"/>
        <v>-0.38396016835914304</v>
      </c>
      <c r="U133">
        <f t="shared" si="69"/>
        <v>0.95375412512199931</v>
      </c>
      <c r="V133">
        <f t="shared" si="70"/>
        <v>-0.30530897111971017</v>
      </c>
      <c r="X133">
        <f t="shared" si="87"/>
        <v>-4.0847806159464275</v>
      </c>
      <c r="Y133">
        <f t="shared" si="71"/>
        <v>-115.00706694892561</v>
      </c>
      <c r="Z133">
        <f t="shared" si="88"/>
        <v>64.992933051074388</v>
      </c>
      <c r="AC133">
        <v>1</v>
      </c>
      <c r="AD133">
        <f t="shared" si="72"/>
        <v>12.659041299989699</v>
      </c>
      <c r="AE133">
        <f t="shared" si="73"/>
        <v>-4.7246226711663777E-4</v>
      </c>
      <c r="AF133">
        <f t="shared" si="74"/>
        <v>1.4991051807269999E-3</v>
      </c>
      <c r="AG133">
        <f t="shared" si="89"/>
        <v>7490.1823379400494</v>
      </c>
      <c r="AH133">
        <f t="shared" si="90"/>
        <v>-3027.6918436763872</v>
      </c>
      <c r="AJ133">
        <f t="shared" si="75"/>
        <v>22100</v>
      </c>
      <c r="AK133">
        <f t="shared" si="76"/>
        <v>8928.6642360565656</v>
      </c>
      <c r="AL133">
        <v>1</v>
      </c>
      <c r="AM133">
        <f t="shared" si="77"/>
        <v>10.714247794785152</v>
      </c>
      <c r="AN133">
        <f t="shared" si="91"/>
        <v>1017.0025777838238</v>
      </c>
      <c r="AO133">
        <f t="shared" si="92"/>
        <v>-1967.7533902545833</v>
      </c>
      <c r="AQ133">
        <f t="shared" si="78"/>
        <v>1.0201999591920017</v>
      </c>
      <c r="AR133">
        <f t="shared" si="79"/>
        <v>-100.99979596000816</v>
      </c>
      <c r="AT133">
        <f t="shared" si="104"/>
        <v>-298154.77472558891</v>
      </c>
      <c r="AU133">
        <f t="shared" si="105"/>
        <v>-759595.73893056647</v>
      </c>
      <c r="AV133">
        <f t="shared" si="93"/>
        <v>-1.9448358527335237</v>
      </c>
      <c r="AW133">
        <f t="shared" si="94"/>
        <v>-188794.27954860436</v>
      </c>
      <c r="AX133">
        <f t="shared" si="95"/>
        <v>-114053.56386822289</v>
      </c>
      <c r="AY133">
        <f t="shared" si="103"/>
        <v>-2.5981524924466264</v>
      </c>
      <c r="BA133">
        <f t="shared" si="80"/>
        <v>3.699563844189782</v>
      </c>
      <c r="BB133">
        <f t="shared" si="96"/>
        <v>11.363010528761961</v>
      </c>
      <c r="BC133">
        <f t="shared" si="97"/>
        <v>0.65331663971310272</v>
      </c>
      <c r="BD133">
        <f t="shared" si="81"/>
        <v>-142.56771381599759</v>
      </c>
      <c r="BF133">
        <f t="shared" si="82"/>
        <v>-3.9613063599511373</v>
      </c>
      <c r="BG133">
        <f t="shared" si="83"/>
        <v>-118.23369434886534</v>
      </c>
      <c r="BH133">
        <f t="shared" si="98"/>
        <v>61.766305651134658</v>
      </c>
      <c r="BI133">
        <f t="shared" si="99"/>
        <v>61.766305651134658</v>
      </c>
      <c r="BJ133">
        <f t="shared" si="84"/>
        <v>0</v>
      </c>
      <c r="BK133">
        <f t="shared" si="100"/>
        <v>0</v>
      </c>
      <c r="BM133">
        <f t="shared" si="101"/>
        <v>-15.324316888713099</v>
      </c>
      <c r="BN133">
        <f t="shared" si="85"/>
        <v>-155.66598053286776</v>
      </c>
      <c r="BQ133" s="56">
        <f t="shared" si="102"/>
        <v>28.264971329047096</v>
      </c>
      <c r="BR133" s="59"/>
      <c r="BS133" s="59"/>
      <c r="BT133" s="59">
        <v>1698.2439999999999</v>
      </c>
      <c r="BU133" s="59">
        <v>10.580500000000001</v>
      </c>
      <c r="BV133" s="59">
        <v>-256.31299999999999</v>
      </c>
      <c r="BW133" s="61"/>
      <c r="BY133" s="59"/>
      <c r="BZ133" s="59"/>
      <c r="CA133" s="59"/>
      <c r="CC133" s="59"/>
    </row>
    <row r="134" spans="1:81" x14ac:dyDescent="0.25">
      <c r="A134">
        <f t="shared" si="106"/>
        <v>50000</v>
      </c>
      <c r="B134">
        <f t="shared" si="86"/>
        <v>50</v>
      </c>
      <c r="C134">
        <f t="shared" si="55"/>
        <v>1.0825747025917321</v>
      </c>
      <c r="D134">
        <f t="shared" si="56"/>
        <v>0.3931058742190221</v>
      </c>
      <c r="F134">
        <f t="shared" si="57"/>
        <v>1.0352708051534097E-2</v>
      </c>
      <c r="G134">
        <f t="shared" si="58"/>
        <v>3.4787943966132218E-2</v>
      </c>
      <c r="H134">
        <f t="shared" si="59"/>
        <v>-3.1068047060338682</v>
      </c>
      <c r="J134">
        <f t="shared" si="60"/>
        <v>15</v>
      </c>
      <c r="M134">
        <f t="shared" si="61"/>
        <v>2.9882079434061768E-2</v>
      </c>
      <c r="N134">
        <f t="shared" si="62"/>
        <v>-1.5707963250000001</v>
      </c>
      <c r="O134">
        <f t="shared" si="63"/>
        <v>12.825953285455652</v>
      </c>
      <c r="P134">
        <f t="shared" si="64"/>
        <v>1.492750204283309</v>
      </c>
      <c r="Q134">
        <f t="shared" si="65"/>
        <v>10.868574490052985</v>
      </c>
      <c r="R134">
        <f t="shared" si="66"/>
        <v>1.4786576266441116</v>
      </c>
      <c r="S134">
        <f t="shared" si="67"/>
        <v>0.92587044085741488</v>
      </c>
      <c r="T134">
        <f t="shared" si="68"/>
        <v>-0.38746347492996547</v>
      </c>
      <c r="U134">
        <f t="shared" si="69"/>
        <v>0.95288048014395488</v>
      </c>
      <c r="V134">
        <f t="shared" si="70"/>
        <v>-0.30820215006327384</v>
      </c>
      <c r="X134">
        <f t="shared" si="87"/>
        <v>-4.1827038813803918</v>
      </c>
      <c r="Y134">
        <f t="shared" si="71"/>
        <v>-115.09306630142504</v>
      </c>
      <c r="Z134">
        <f t="shared" si="88"/>
        <v>64.90693369857496</v>
      </c>
      <c r="AC134">
        <v>1</v>
      </c>
      <c r="AD134">
        <f t="shared" si="72"/>
        <v>12.786910404029999</v>
      </c>
      <c r="AE134">
        <f t="shared" si="73"/>
        <v>-4.820551648981102E-4</v>
      </c>
      <c r="AF134">
        <f t="shared" si="74"/>
        <v>1.5142476573000001E-3</v>
      </c>
      <c r="AG134">
        <f t="shared" si="89"/>
        <v>7476.4665112957136</v>
      </c>
      <c r="AH134">
        <f t="shared" si="90"/>
        <v>-3040.4995343807914</v>
      </c>
      <c r="AJ134">
        <f t="shared" si="75"/>
        <v>22100</v>
      </c>
      <c r="AK134">
        <f t="shared" si="76"/>
        <v>9018.8527636934996</v>
      </c>
      <c r="AL134">
        <v>1</v>
      </c>
      <c r="AM134">
        <f t="shared" si="77"/>
        <v>10.822472519985</v>
      </c>
      <c r="AN134">
        <f t="shared" si="91"/>
        <v>1013.3787306416501</v>
      </c>
      <c r="AO134">
        <f t="shared" si="92"/>
        <v>-1948.4107010130413</v>
      </c>
      <c r="AQ134">
        <f t="shared" si="78"/>
        <v>0.99990000999900008</v>
      </c>
      <c r="AR134">
        <f t="shared" si="79"/>
        <v>-99.990000999900005</v>
      </c>
      <c r="AT134">
        <f t="shared" si="104"/>
        <v>-296543.83254352905</v>
      </c>
      <c r="AU134">
        <f t="shared" si="105"/>
        <v>-750612.08945500664</v>
      </c>
      <c r="AV134">
        <f t="shared" si="93"/>
        <v>-1.9470449326830928</v>
      </c>
      <c r="AW134">
        <f t="shared" si="94"/>
        <v>-184916.59276662688</v>
      </c>
      <c r="AX134">
        <f t="shared" si="95"/>
        <v>-112557.1820799933</v>
      </c>
      <c r="AY134">
        <f t="shared" si="103"/>
        <v>-2.5948067482364503</v>
      </c>
      <c r="BA134">
        <f t="shared" si="80"/>
        <v>3.7281483577811727</v>
      </c>
      <c r="BB134">
        <f t="shared" si="96"/>
        <v>11.42986372644849</v>
      </c>
      <c r="BC134">
        <f t="shared" si="97"/>
        <v>0.64776181555335755</v>
      </c>
      <c r="BD134">
        <f t="shared" si="81"/>
        <v>-142.88598179665198</v>
      </c>
      <c r="BF134">
        <f t="shared" si="82"/>
        <v>-4.0580742654230475</v>
      </c>
      <c r="BG134">
        <f t="shared" si="83"/>
        <v>-118.36947190689027</v>
      </c>
      <c r="BH134">
        <f t="shared" si="98"/>
        <v>61.630528093109731</v>
      </c>
      <c r="BI134">
        <f t="shared" si="99"/>
        <v>61.630528093109731</v>
      </c>
      <c r="BJ134">
        <f t="shared" si="84"/>
        <v>0</v>
      </c>
      <c r="BK134">
        <f t="shared" si="100"/>
        <v>0</v>
      </c>
      <c r="BM134">
        <f t="shared" si="101"/>
        <v>-15.487937991871537</v>
      </c>
      <c r="BN134">
        <f t="shared" si="85"/>
        <v>-155.48349011023828</v>
      </c>
      <c r="BQ134" s="56">
        <f t="shared" si="102"/>
        <v>28.331824526733627</v>
      </c>
      <c r="BR134" s="59"/>
      <c r="BS134" s="59"/>
      <c r="BT134" s="59">
        <v>1737.8009999999999</v>
      </c>
      <c r="BU134" s="59">
        <v>10.4643</v>
      </c>
      <c r="BV134" s="59">
        <v>-256.37900000000002</v>
      </c>
      <c r="BW134" s="61"/>
      <c r="BY134" s="59"/>
      <c r="BZ134" s="59"/>
      <c r="CA134" s="59"/>
      <c r="CC134" s="59"/>
    </row>
    <row r="135" spans="1:81" x14ac:dyDescent="0.25">
      <c r="A135">
        <f t="shared" si="106"/>
        <v>50500</v>
      </c>
      <c r="B135">
        <f t="shared" si="86"/>
        <v>50.5</v>
      </c>
      <c r="C135">
        <f t="shared" si="55"/>
        <v>1.0841699789350734</v>
      </c>
      <c r="D135">
        <f t="shared" si="56"/>
        <v>0.39663908425444194</v>
      </c>
      <c r="F135">
        <f t="shared" si="57"/>
        <v>1.0146758963053627E-2</v>
      </c>
      <c r="G135">
        <f t="shared" si="58"/>
        <v>3.4436717860926065E-2</v>
      </c>
      <c r="H135">
        <f t="shared" si="59"/>
        <v>-3.107155932139074</v>
      </c>
      <c r="J135">
        <f t="shared" si="60"/>
        <v>15</v>
      </c>
      <c r="M135">
        <f t="shared" si="61"/>
        <v>2.9586217261447292E-2</v>
      </c>
      <c r="N135">
        <f t="shared" si="62"/>
        <v>-1.5707963250000001</v>
      </c>
      <c r="O135">
        <f t="shared" si="63"/>
        <v>12.953436985683471</v>
      </c>
      <c r="P135">
        <f t="shared" si="64"/>
        <v>1.4935198502440983</v>
      </c>
      <c r="Q135">
        <f t="shared" si="65"/>
        <v>10.976344667779511</v>
      </c>
      <c r="R135">
        <f t="shared" si="66"/>
        <v>1.47956481241392</v>
      </c>
      <c r="S135">
        <f t="shared" si="67"/>
        <v>0.92454487497134141</v>
      </c>
      <c r="T135">
        <f t="shared" si="68"/>
        <v>-0.39095679292631114</v>
      </c>
      <c r="U135">
        <f t="shared" si="69"/>
        <v>0.95200048742836607</v>
      </c>
      <c r="V135">
        <f t="shared" si="70"/>
        <v>-0.31109000939496551</v>
      </c>
      <c r="X135">
        <f t="shared" si="87"/>
        <v>-4.2797331771879223</v>
      </c>
      <c r="Y135">
        <f t="shared" si="71"/>
        <v>-115.18029119994924</v>
      </c>
      <c r="Z135">
        <f t="shared" si="88"/>
        <v>64.819708800050762</v>
      </c>
      <c r="AC135">
        <v>1</v>
      </c>
      <c r="AD135">
        <f t="shared" si="72"/>
        <v>12.914779508070298</v>
      </c>
      <c r="AE135">
        <f t="shared" si="73"/>
        <v>-4.9174447371256225E-4</v>
      </c>
      <c r="AF135">
        <f t="shared" si="74"/>
        <v>1.529390133873E-3</v>
      </c>
      <c r="AG135">
        <f t="shared" si="89"/>
        <v>7462.6637349415878</v>
      </c>
      <c r="AH135">
        <f t="shared" si="90"/>
        <v>-3053.3240325064417</v>
      </c>
      <c r="AJ135">
        <f t="shared" si="75"/>
        <v>22100</v>
      </c>
      <c r="AK135">
        <f t="shared" si="76"/>
        <v>9109.0412913304372</v>
      </c>
      <c r="AL135">
        <v>1</v>
      </c>
      <c r="AM135">
        <f t="shared" si="77"/>
        <v>10.930697245184851</v>
      </c>
      <c r="AN135">
        <f t="shared" si="91"/>
        <v>1009.8607974823524</v>
      </c>
      <c r="AO135">
        <f t="shared" si="92"/>
        <v>-1929.4413457300902</v>
      </c>
      <c r="AQ135">
        <f t="shared" si="78"/>
        <v>0.98019996079200156</v>
      </c>
      <c r="AR135">
        <f t="shared" si="79"/>
        <v>-99.000196039992161</v>
      </c>
      <c r="AT135">
        <f t="shared" si="104"/>
        <v>-294964.77509136347</v>
      </c>
      <c r="AU135">
        <f t="shared" si="105"/>
        <v>-741798.04083670548</v>
      </c>
      <c r="AV135">
        <f t="shared" si="93"/>
        <v>-1.9492621461526718</v>
      </c>
      <c r="AW135">
        <f t="shared" si="94"/>
        <v>-181152.58639120252</v>
      </c>
      <c r="AX135">
        <f t="shared" si="95"/>
        <v>-111102.31418942315</v>
      </c>
      <c r="AY135">
        <f t="shared" si="103"/>
        <v>-2.5914453471634178</v>
      </c>
      <c r="BA135">
        <f t="shared" si="80"/>
        <v>3.7565083200485967</v>
      </c>
      <c r="BB135">
        <f t="shared" si="96"/>
        <v>11.495687101354971</v>
      </c>
      <c r="BC135">
        <f t="shared" si="97"/>
        <v>0.642183201010746</v>
      </c>
      <c r="BD135">
        <f t="shared" si="81"/>
        <v>-143.20561286583916</v>
      </c>
      <c r="BF135">
        <f t="shared" si="82"/>
        <v>-4.1539932947392337</v>
      </c>
      <c r="BG135">
        <f t="shared" si="83"/>
        <v>-118.50678872618938</v>
      </c>
      <c r="BH135">
        <f t="shared" si="98"/>
        <v>61.493211273810616</v>
      </c>
      <c r="BI135">
        <f t="shared" si="99"/>
        <v>61.493211273810616</v>
      </c>
      <c r="BJ135">
        <f t="shared" si="84"/>
        <v>0</v>
      </c>
      <c r="BK135">
        <f t="shared" si="100"/>
        <v>0</v>
      </c>
      <c r="BM135">
        <f t="shared" si="101"/>
        <v>-15.649680396094203</v>
      </c>
      <c r="BN135">
        <f t="shared" si="85"/>
        <v>-155.30117586035024</v>
      </c>
      <c r="BQ135" s="56">
        <f t="shared" si="102"/>
        <v>28.397647901640109</v>
      </c>
      <c r="BR135" s="59"/>
      <c r="BS135" s="59"/>
      <c r="BT135" s="59">
        <v>1778.279</v>
      </c>
      <c r="BU135" s="59">
        <v>10.213699999999999</v>
      </c>
      <c r="BV135" s="59">
        <v>-256.01499999999999</v>
      </c>
      <c r="BW135" s="61"/>
      <c r="BY135" s="59"/>
      <c r="BZ135" s="59"/>
      <c r="CA135" s="59"/>
      <c r="CC135" s="59"/>
    </row>
    <row r="136" spans="1:81" x14ac:dyDescent="0.25">
      <c r="A136">
        <f t="shared" si="106"/>
        <v>51000</v>
      </c>
      <c r="B136">
        <f t="shared" si="86"/>
        <v>51</v>
      </c>
      <c r="C136">
        <f t="shared" si="55"/>
        <v>1.0857787497247846</v>
      </c>
      <c r="D136">
        <f t="shared" si="56"/>
        <v>0.40016186802356551</v>
      </c>
      <c r="F136">
        <f t="shared" si="57"/>
        <v>9.9469134834276208E-3</v>
      </c>
      <c r="G136">
        <f t="shared" si="58"/>
        <v>3.4092577780460355E-2</v>
      </c>
      <c r="H136">
        <f t="shared" si="59"/>
        <v>-3.1075000722195401</v>
      </c>
      <c r="J136">
        <f t="shared" si="60"/>
        <v>15</v>
      </c>
      <c r="M136">
        <f t="shared" si="61"/>
        <v>2.9296156307903696E-2</v>
      </c>
      <c r="N136">
        <f t="shared" si="62"/>
        <v>-1.5707963250000001</v>
      </c>
      <c r="O136">
        <f t="shared" si="63"/>
        <v>13.080928209381417</v>
      </c>
      <c r="P136">
        <f t="shared" si="64"/>
        <v>1.4942744941763784</v>
      </c>
      <c r="Q136">
        <f t="shared" si="65"/>
        <v>11.084123703218134</v>
      </c>
      <c r="R136">
        <f t="shared" si="66"/>
        <v>1.480454356443506</v>
      </c>
      <c r="S136">
        <f t="shared" si="67"/>
        <v>0.92321188142540189</v>
      </c>
      <c r="T136">
        <f t="shared" si="68"/>
        <v>-0.39444008011195797</v>
      </c>
      <c r="U136">
        <f t="shared" si="69"/>
        <v>0.95111420851706086</v>
      </c>
      <c r="V136">
        <f t="shared" si="70"/>
        <v>-0.3139725157382745</v>
      </c>
      <c r="X136">
        <f t="shared" si="87"/>
        <v>-4.3758887562617907</v>
      </c>
      <c r="Y136">
        <f t="shared" si="71"/>
        <v>-115.26869640363402</v>
      </c>
      <c r="Z136">
        <f t="shared" si="88"/>
        <v>64.731303596365976</v>
      </c>
      <c r="AC136">
        <v>1</v>
      </c>
      <c r="AD136">
        <f t="shared" si="72"/>
        <v>13.0426486121106</v>
      </c>
      <c r="AE136">
        <f t="shared" si="73"/>
        <v>-5.0153019355999391E-4</v>
      </c>
      <c r="AF136">
        <f t="shared" si="74"/>
        <v>1.5445326104459997E-3</v>
      </c>
      <c r="AG136">
        <f t="shared" si="89"/>
        <v>7448.7752487978032</v>
      </c>
      <c r="AH136">
        <f t="shared" si="90"/>
        <v>-3066.1610252093983</v>
      </c>
      <c r="AJ136">
        <f t="shared" si="75"/>
        <v>22100</v>
      </c>
      <c r="AK136">
        <f t="shared" si="76"/>
        <v>9199.2298189673711</v>
      </c>
      <c r="AL136">
        <v>1</v>
      </c>
      <c r="AM136">
        <f t="shared" si="77"/>
        <v>11.038921970384701</v>
      </c>
      <c r="AN136">
        <f t="shared" si="91"/>
        <v>1006.4447019410701</v>
      </c>
      <c r="AO136">
        <f t="shared" si="92"/>
        <v>-1910.8347132671897</v>
      </c>
      <c r="AQ136">
        <f t="shared" si="78"/>
        <v>0.96107640557424312</v>
      </c>
      <c r="AR136">
        <f t="shared" si="79"/>
        <v>-98.029793368572797</v>
      </c>
      <c r="AT136">
        <f t="shared" si="104"/>
        <v>-293416.28959400364</v>
      </c>
      <c r="AU136">
        <f t="shared" si="105"/>
        <v>-733148.71350560815</v>
      </c>
      <c r="AV136">
        <f t="shared" si="93"/>
        <v>-1.9514870676723934</v>
      </c>
      <c r="AW136">
        <f t="shared" si="94"/>
        <v>-177497.89518282746</v>
      </c>
      <c r="AX136">
        <f t="shared" si="95"/>
        <v>-109687.29321464935</v>
      </c>
      <c r="AY136">
        <f t="shared" si="103"/>
        <v>-2.5880690061874145</v>
      </c>
      <c r="BA136">
        <f t="shared" si="80"/>
        <v>3.7846422167532001</v>
      </c>
      <c r="BB136">
        <f t="shared" si="96"/>
        <v>11.560496590147491</v>
      </c>
      <c r="BC136">
        <f t="shared" si="97"/>
        <v>0.6365819385150211</v>
      </c>
      <c r="BD136">
        <f t="shared" si="81"/>
        <v>-143.52654156715582</v>
      </c>
      <c r="BF136">
        <f t="shared" si="82"/>
        <v>-4.2490846654595531</v>
      </c>
      <c r="BG136">
        <f t="shared" si="83"/>
        <v>-118.64559455936195</v>
      </c>
      <c r="BH136">
        <f t="shared" si="98"/>
        <v>61.354405440638047</v>
      </c>
      <c r="BI136">
        <f t="shared" si="99"/>
        <v>61.354405440638047</v>
      </c>
      <c r="BJ136">
        <f t="shared" si="84"/>
        <v>0</v>
      </c>
      <c r="BK136">
        <f t="shared" si="100"/>
        <v>0</v>
      </c>
      <c r="BM136">
        <f t="shared" si="101"/>
        <v>-15.809581255607043</v>
      </c>
      <c r="BN136">
        <f t="shared" si="85"/>
        <v>-155.11905299220615</v>
      </c>
      <c r="BQ136" s="56">
        <f t="shared" si="102"/>
        <v>28.462457390432625</v>
      </c>
      <c r="BR136" s="59"/>
      <c r="BS136" s="59"/>
      <c r="BT136" s="59">
        <v>1819.701</v>
      </c>
      <c r="BU136" s="59">
        <v>10.045199999999999</v>
      </c>
      <c r="BV136" s="59">
        <v>-255.833</v>
      </c>
      <c r="BW136" s="61"/>
      <c r="BY136" s="59"/>
      <c r="BZ136" s="59"/>
      <c r="CA136" s="59"/>
      <c r="CC136" s="59"/>
    </row>
    <row r="137" spans="1:81" x14ac:dyDescent="0.25">
      <c r="A137">
        <f t="shared" si="106"/>
        <v>51500</v>
      </c>
      <c r="B137">
        <f t="shared" si="86"/>
        <v>51.5</v>
      </c>
      <c r="C137">
        <f t="shared" ref="C137:C200" si="107">SQRT((A137/Fesr)^2+1)</f>
        <v>1.0874009550672161</v>
      </c>
      <c r="D137">
        <f t="shared" ref="D137:D200" si="108">ATAN(A137/Fesr)</f>
        <v>0.40367418456153753</v>
      </c>
      <c r="F137">
        <f t="shared" ref="F137:F200" si="109">(Ro/(Ro+Rdcr))/SQRT((A137/(Q*Fo))^2+(1-(A137^2/Fo^2))^2)</f>
        <v>9.7529320767310961E-3</v>
      </c>
      <c r="G137">
        <f t="shared" ref="G137:G200" si="110">-ATAN(A137*Fo/(Q*(Fo^2-A137^2)))</f>
        <v>3.3755309594846926E-2</v>
      </c>
      <c r="H137">
        <f t="shared" ref="H137:H200" si="111">IF(G137&gt;0,G137-Pi,G137)</f>
        <v>-3.1078373404051534</v>
      </c>
      <c r="J137">
        <f t="shared" ref="J137:J200" si="112">Vin/Vramp</f>
        <v>15</v>
      </c>
      <c r="M137">
        <f t="shared" ref="M137:M200" si="113">1/(2*Pi*_Rfb1*(Cc1ea_u+Cc2ea_u)*A137)</f>
        <v>2.9011727605885211E-2</v>
      </c>
      <c r="N137">
        <f t="shared" ref="N137:N200" si="114">-Pi/2</f>
        <v>-1.5707963250000001</v>
      </c>
      <c r="O137">
        <f t="shared" ref="O137:O200" si="115">SQRT(1+(A137/Fz1_u)^2)</f>
        <v>13.208426738693927</v>
      </c>
      <c r="P137">
        <f t="shared" ref="P137:P200" si="116">ATAN2(Fz1_u,A137)</f>
        <v>1.4950145696434516</v>
      </c>
      <c r="Q137">
        <f t="shared" ref="Q137:Q200" si="117">SQRT(1+(A137/Fz2_u)^2)</f>
        <v>11.191911340467348</v>
      </c>
      <c r="R137">
        <f t="shared" ref="R137:R200" si="118">ATAN2(Fz2_u,A137)</f>
        <v>1.4813267670193002</v>
      </c>
      <c r="S137">
        <f t="shared" ref="S137:S200" si="119">1/SQRT(1+(A137/Fp1_u)^2)</f>
        <v>0.92187158912977196</v>
      </c>
      <c r="T137">
        <f t="shared" ref="T137:T200" si="120">-ATAN2(Fp1_u,A137)</f>
        <v>-0.39791329546651732</v>
      </c>
      <c r="U137">
        <f t="shared" ref="U137:U200" si="121">1/SQRT(1+(A137/Fp2_u)^2)</f>
        <v>0.95022170507148318</v>
      </c>
      <c r="V137">
        <f t="shared" ref="V137:V200" si="122">-ATAN2(Fp2_u,A137)</f>
        <v>-0.31684963619611822</v>
      </c>
      <c r="X137">
        <f t="shared" si="87"/>
        <v>-4.4711902003576753</v>
      </c>
      <c r="Y137">
        <f t="shared" ref="Y137:Y200" si="123">(180/Pi)*(D137+H137+N137+P137+R137+T137+V137)</f>
        <v>-115.35823832915761</v>
      </c>
      <c r="Z137">
        <f t="shared" si="88"/>
        <v>64.641761670842385</v>
      </c>
      <c r="AC137">
        <v>1</v>
      </c>
      <c r="AD137">
        <f t="shared" ref="AD137:AD200" si="124">Rcea1_u*Cc1ea_u*A137*2*Pi</f>
        <v>13.170517716150899</v>
      </c>
      <c r="AE137">
        <f t="shared" ref="AE137:AE200" si="125">-Rcea1_u*Cc1ea_u*Cc2ea_u*(A137*2*Pi)^2</f>
        <v>-5.1141232444040514E-4</v>
      </c>
      <c r="AF137">
        <f t="shared" ref="AF137:AF200" si="126">(Cc2ea_u+Cc1ea_u)*A137*2*Pi</f>
        <v>1.559675087019E-3</v>
      </c>
      <c r="AG137">
        <f t="shared" si="89"/>
        <v>7434.8022930284478</v>
      </c>
      <c r="AH137">
        <f t="shared" si="90"/>
        <v>-3079.0063663907404</v>
      </c>
      <c r="AJ137">
        <f t="shared" ref="AJ137:AJ200" si="127">_Rfb1</f>
        <v>22100</v>
      </c>
      <c r="AK137">
        <f t="shared" ref="AK137:AK200" si="128">_Rfb1*Rcea2_u*Cc3ea_u*A137*2*Pi</f>
        <v>9289.418346604305</v>
      </c>
      <c r="AL137">
        <v>1</v>
      </c>
      <c r="AM137">
        <f t="shared" ref="AM137:AM200" si="129">(_Rfb1+Rcea2_u)*Cc3ea_u*A137*2*Pi</f>
        <v>11.147146695584551</v>
      </c>
      <c r="AN137">
        <f t="shared" si="91"/>
        <v>1003.126561367</v>
      </c>
      <c r="AO137">
        <f t="shared" si="92"/>
        <v>-1892.5805871909438</v>
      </c>
      <c r="AQ137">
        <f t="shared" ref="AQ137:AQ200" si="130">Eadcg/(1+(Eadcg*A137/GBP)^2)</f>
        <v>0.94250706880301605</v>
      </c>
      <c r="AR137">
        <f t="shared" ref="AR137:AR200" si="131">-(A137*Eadcg*Eadcg/GBP)/(1+(Eadcg*A137/GBP)^2)</f>
        <v>-97.078228086710652</v>
      </c>
      <c r="AT137">
        <f t="shared" si="104"/>
        <v>-291897.12860058231</v>
      </c>
      <c r="AU137">
        <f t="shared" si="105"/>
        <v>-724659.41804742778</v>
      </c>
      <c r="AV137">
        <f t="shared" si="93"/>
        <v>-1.9537192873083509</v>
      </c>
      <c r="AW137">
        <f t="shared" si="94"/>
        <v>-173948.36083338043</v>
      </c>
      <c r="AX137">
        <f t="shared" si="95"/>
        <v>-108310.5377058904</v>
      </c>
      <c r="AY137">
        <f t="shared" si="103"/>
        <v>-2.5846784206263886</v>
      </c>
      <c r="BA137">
        <f t="shared" ref="BA137:BA200" si="132">SQRT(AT137^2+AU137^2)/SQRT(AW137^2+AX137^2)</f>
        <v>3.8125485775294856</v>
      </c>
      <c r="BB137">
        <f t="shared" si="96"/>
        <v>11.624307718932103</v>
      </c>
      <c r="BC137">
        <f t="shared" si="97"/>
        <v>0.63095913331803777</v>
      </c>
      <c r="BD137">
        <f t="shared" ref="BD137:BD200" si="133">BC137*180/Pi-180</f>
        <v>-143.84870457433533</v>
      </c>
      <c r="BF137">
        <f t="shared" ref="BF137:BF200" si="134">20*LOG(BA137*J137*F137*C137)</f>
        <v>-4.343368905234315</v>
      </c>
      <c r="BG137">
        <f t="shared" ref="BG137:BG200" si="135">(180/Pi)*(D137+H137+BC137)</f>
        <v>-118.78584069599347</v>
      </c>
      <c r="BH137">
        <f t="shared" si="98"/>
        <v>61.214159304006529</v>
      </c>
      <c r="BI137">
        <f t="shared" si="99"/>
        <v>61.214159304006529</v>
      </c>
      <c r="BJ137">
        <f t="shared" ref="BJ137:BJ200" si="136">SUM((BF138&lt;0)*(BF137&gt;0))*A137</f>
        <v>0</v>
      </c>
      <c r="BK137">
        <f t="shared" si="100"/>
        <v>0</v>
      </c>
      <c r="BM137">
        <f t="shared" si="101"/>
        <v>-15.967676624166421</v>
      </c>
      <c r="BN137">
        <f t="shared" ref="BN137:BN200" si="137">(H137+D137)*180/Pi</f>
        <v>-154.93713612165817</v>
      </c>
      <c r="BQ137" s="56">
        <f t="shared" si="102"/>
        <v>28.52626851921724</v>
      </c>
      <c r="BR137" s="59"/>
      <c r="BS137" s="59"/>
      <c r="BT137" s="59">
        <v>1862.087</v>
      </c>
      <c r="BU137" s="59">
        <v>9.8767200000000006</v>
      </c>
      <c r="BV137" s="59">
        <v>-255.47</v>
      </c>
      <c r="BW137" s="61"/>
      <c r="BY137" s="59"/>
      <c r="BZ137" s="59"/>
      <c r="CA137" s="59"/>
      <c r="CC137" s="59"/>
    </row>
    <row r="138" spans="1:81" x14ac:dyDescent="0.25">
      <c r="A138">
        <f t="shared" si="106"/>
        <v>52000</v>
      </c>
      <c r="B138">
        <f t="shared" ref="B138:B201" si="138">A138/1000</f>
        <v>52</v>
      </c>
      <c r="C138">
        <f t="shared" si="107"/>
        <v>1.0890365349269093</v>
      </c>
      <c r="D138">
        <f t="shared" si="108"/>
        <v>0.40717599417956951</v>
      </c>
      <c r="F138">
        <f t="shared" si="109"/>
        <v>9.5645868769723141E-3</v>
      </c>
      <c r="G138">
        <f t="shared" si="110"/>
        <v>3.342470778332824E-2</v>
      </c>
      <c r="H138">
        <f t="shared" si="111"/>
        <v>-3.1081679422166721</v>
      </c>
      <c r="J138">
        <f t="shared" si="112"/>
        <v>15</v>
      </c>
      <c r="M138">
        <f t="shared" si="113"/>
        <v>2.8732768686597854E-2</v>
      </c>
      <c r="N138">
        <f t="shared" si="114"/>
        <v>-1.5707963250000001</v>
      </c>
      <c r="O138">
        <f t="shared" si="115"/>
        <v>13.335932364084448</v>
      </c>
      <c r="P138">
        <f t="shared" si="116"/>
        <v>1.4957404936925949</v>
      </c>
      <c r="Q138">
        <f t="shared" si="117"/>
        <v>11.299707333369756</v>
      </c>
      <c r="R138">
        <f t="shared" si="118"/>
        <v>1.4821825331387628</v>
      </c>
      <c r="S138">
        <f t="shared" si="119"/>
        <v>0.9205241266224643</v>
      </c>
      <c r="T138">
        <f t="shared" si="120"/>
        <v>-0.40137639917843815</v>
      </c>
      <c r="U138">
        <f t="shared" si="121"/>
        <v>0.94932303886267833</v>
      </c>
      <c r="V138">
        <f t="shared" si="122"/>
        <v>-0.31972133835089223</v>
      </c>
      <c r="X138">
        <f t="shared" ref="X138:X201" si="139">20*LOG(C138*J138*O138*Q138*F138*M138*S138*U138)</f>
        <v>-4.5656564491950355</v>
      </c>
      <c r="Y138">
        <f t="shared" si="123"/>
        <v>-115.44887497502695</v>
      </c>
      <c r="Z138">
        <f t="shared" ref="Z138:Z201" si="140">Y138+180</f>
        <v>64.551125024973047</v>
      </c>
      <c r="AC138">
        <v>1</v>
      </c>
      <c r="AD138">
        <f t="shared" si="124"/>
        <v>13.298386820191201</v>
      </c>
      <c r="AE138">
        <f t="shared" si="125"/>
        <v>-5.2139086635379604E-4</v>
      </c>
      <c r="AF138">
        <f t="shared" si="126"/>
        <v>1.5748175635920002E-3</v>
      </c>
      <c r="AG138">
        <f t="shared" ref="AG138:AG201" si="141">AC138*AE138/(AE138^2+AF138^2)+AD138*AF138/(AE138^2+AF138^2)</f>
        <v>7420.7461078128053</v>
      </c>
      <c r="AH138">
        <f t="shared" ref="AH138:AH201" si="142">AD138*AE138/(AE138^2+AF138^2)-AC138*AF138/(AE138^2+AF138^2)</f>
        <v>-3091.8560693710647</v>
      </c>
      <c r="AJ138">
        <f t="shared" si="127"/>
        <v>22100</v>
      </c>
      <c r="AK138">
        <f t="shared" si="128"/>
        <v>9379.6068742412408</v>
      </c>
      <c r="AL138">
        <v>1</v>
      </c>
      <c r="AM138">
        <f t="shared" si="129"/>
        <v>11.255371420784401</v>
      </c>
      <c r="AN138">
        <f t="shared" ref="AN138:AN201" si="143">AJ138*AL138/(AL138^2+AM138^2)+AK138*AM138/(AL138^2+AM138^2)</f>
        <v>999.90267591039583</v>
      </c>
      <c r="AO138">
        <f t="shared" ref="AO138:AO201" si="144">AK138*AL138/(AL138^2+AM138^2)-AJ138*AM138/(AL138^2+AM138^2)</f>
        <v>-1874.669127766475</v>
      </c>
      <c r="AQ138">
        <f t="shared" si="130"/>
        <v>0.92447074050106315</v>
      </c>
      <c r="AR138">
        <f t="shared" si="131"/>
        <v>-96.144957012110567</v>
      </c>
      <c r="AT138">
        <f t="shared" si="104"/>
        <v>-290406.10622795403</v>
      </c>
      <c r="AU138">
        <f t="shared" si="105"/>
        <v>-716325.64600342314</v>
      </c>
      <c r="AV138">
        <f t="shared" ref="AV138:AV201" si="145">ATAN2(AT138,AU138)</f>
        <v>-1.955958409948388</v>
      </c>
      <c r="AW138">
        <f t="shared" ref="AW138:AW201" si="146">AG138-AH138*AO138/_Rfb2+AG138*AN138/_Rfb2+AN138-AO138*AR138+AQ138*AN138</f>
        <v>-170500.02033845073</v>
      </c>
      <c r="AX138">
        <f t="shared" ref="AX138:AX201" si="147">AH138+AH138*AN138/_Rfb2+AG138*AO138/_Rfb2+AO138+AO138*AQ138+AN138*AR138</f>
        <v>-106970.54647406159</v>
      </c>
      <c r="AY138">
        <f t="shared" si="103"/>
        <v>-2.5812742651715537</v>
      </c>
      <c r="BA138">
        <f t="shared" si="132"/>
        <v>3.8402259759754682</v>
      </c>
      <c r="BB138">
        <f t="shared" ref="BB138:BB201" si="148">20*LOG(BA138)</f>
        <v>11.687135618765364</v>
      </c>
      <c r="BC138">
        <f t="shared" ref="BC138:BC201" si="149">AV138-AY138</f>
        <v>0.62531585522316568</v>
      </c>
      <c r="BD138">
        <f t="shared" si="133"/>
        <v>-144.17204059215959</v>
      </c>
      <c r="BF138">
        <f t="shared" si="134"/>
        <v>-4.4368658805617587</v>
      </c>
      <c r="BG138">
        <f t="shared" si="135"/>
        <v>-118.92747989033799</v>
      </c>
      <c r="BH138">
        <f t="shared" ref="BH138:BH201" si="150">IF(BG138&gt;180,BG138-180,BG138+180)</f>
        <v>61.072520109662008</v>
      </c>
      <c r="BI138">
        <f t="shared" ref="BI138:BI201" si="151">IF(BH138&gt;180,BH138-360,BH138)</f>
        <v>61.072520109662008</v>
      </c>
      <c r="BJ138">
        <f t="shared" si="136"/>
        <v>0</v>
      </c>
      <c r="BK138">
        <f t="shared" ref="BK138:BK201" si="152">IF(BJ138&gt;0,BI138,0)</f>
        <v>0</v>
      </c>
      <c r="BM138">
        <f t="shared" ref="BM138:BM201" si="153">20*LOG(J138*F138*C138)</f>
        <v>-16.124001499327122</v>
      </c>
      <c r="BN138">
        <f t="shared" si="137"/>
        <v>-154.7554392981784</v>
      </c>
      <c r="BQ138" s="56">
        <f t="shared" ref="BQ138:BQ201" si="154">20*LOG(BA138*7)</f>
        <v>28.589096419050502</v>
      </c>
      <c r="BR138" s="59"/>
      <c r="BS138" s="59"/>
      <c r="BT138" s="59">
        <v>1905.461</v>
      </c>
      <c r="BU138" s="59">
        <v>9.7134199999999993</v>
      </c>
      <c r="BV138" s="59">
        <v>-255.059</v>
      </c>
      <c r="BW138" s="61"/>
      <c r="BY138" s="59"/>
      <c r="BZ138" s="59"/>
      <c r="CA138" s="59"/>
      <c r="CC138" s="59"/>
    </row>
    <row r="139" spans="1:81" x14ac:dyDescent="0.25">
      <c r="A139">
        <f t="shared" si="106"/>
        <v>52500</v>
      </c>
      <c r="B139">
        <f t="shared" si="138"/>
        <v>52.5</v>
      </c>
      <c r="C139">
        <f t="shared" si="107"/>
        <v>1.0906854291350294</v>
      </c>
      <c r="D139">
        <f t="shared" si="108"/>
        <v>0.41066725845668539</v>
      </c>
      <c r="F139">
        <f t="shared" si="109"/>
        <v>9.3816610105547683E-3</v>
      </c>
      <c r="G139">
        <f t="shared" si="110"/>
        <v>3.3100575002856764E-2</v>
      </c>
      <c r="H139">
        <f t="shared" si="111"/>
        <v>-3.1084920749971436</v>
      </c>
      <c r="J139">
        <f t="shared" si="112"/>
        <v>15</v>
      </c>
      <c r="M139">
        <f t="shared" si="113"/>
        <v>2.8459123270535014E-2</v>
      </c>
      <c r="N139">
        <f t="shared" si="114"/>
        <v>-1.5707963250000001</v>
      </c>
      <c r="O139">
        <f t="shared" si="115"/>
        <v>13.463444883942644</v>
      </c>
      <c r="P139">
        <f t="shared" si="116"/>
        <v>1.4964526676326242</v>
      </c>
      <c r="Q139">
        <f t="shared" si="117"/>
        <v>11.407511445053567</v>
      </c>
      <c r="R139">
        <f t="shared" si="118"/>
        <v>1.4830221254143932</v>
      </c>
      <c r="S139">
        <f t="shared" si="119"/>
        <v>0.91916962204520358</v>
      </c>
      <c r="T139">
        <f t="shared" si="120"/>
        <v>-0.4048293526377712</v>
      </c>
      <c r="U139">
        <f t="shared" si="121"/>
        <v>0.94841827176135873</v>
      </c>
      <c r="V139">
        <f t="shared" si="122"/>
        <v>-0.32258759026443212</v>
      </c>
      <c r="X139">
        <f t="shared" si="139"/>
        <v>-4.6593058279868549</v>
      </c>
      <c r="Y139">
        <f t="shared" si="123"/>
        <v>-115.54056585000471</v>
      </c>
      <c r="Z139">
        <f t="shared" si="140"/>
        <v>64.459434149995289</v>
      </c>
      <c r="AC139">
        <v>1</v>
      </c>
      <c r="AD139">
        <f t="shared" si="124"/>
        <v>13.4262559242315</v>
      </c>
      <c r="AE139">
        <f t="shared" si="125"/>
        <v>-5.3146581930016662E-4</v>
      </c>
      <c r="AF139">
        <f t="shared" si="126"/>
        <v>1.5899600401650001E-3</v>
      </c>
      <c r="AG139">
        <f t="shared" si="141"/>
        <v>7406.6079331190731</v>
      </c>
      <c r="AH139">
        <f t="shared" si="142"/>
        <v>-3104.7062999759196</v>
      </c>
      <c r="AJ139">
        <f t="shared" si="127"/>
        <v>22100</v>
      </c>
      <c r="AK139">
        <f t="shared" si="128"/>
        <v>9469.7954018781766</v>
      </c>
      <c r="AL139">
        <v>1</v>
      </c>
      <c r="AM139">
        <f t="shared" si="129"/>
        <v>11.363596145984252</v>
      </c>
      <c r="AN139">
        <f t="shared" si="143"/>
        <v>996.76951831822498</v>
      </c>
      <c r="AO139">
        <f t="shared" si="144"/>
        <v>-1857.0908549173837</v>
      </c>
      <c r="AQ139">
        <f t="shared" si="130"/>
        <v>0.90694721567204784</v>
      </c>
      <c r="AR139">
        <f t="shared" si="131"/>
        <v>-95.229457645565034</v>
      </c>
      <c r="AT139">
        <f t="shared" si="104"/>
        <v>-288942.09465295897</v>
      </c>
      <c r="AU139">
        <f t="shared" si="105"/>
        <v>-708143.06119851139</v>
      </c>
      <c r="AV139">
        <f t="shared" si="145"/>
        <v>-1.9582040546279884</v>
      </c>
      <c r="AW139">
        <f t="shared" si="146"/>
        <v>-167149.09512251714</v>
      </c>
      <c r="AX139">
        <f t="shared" si="147"/>
        <v>-105665.89369519221</v>
      </c>
      <c r="AY139">
        <f t="shared" ref="AY139:AY202" si="155">ATAN2(AW139,AX139)</f>
        <v>-2.5778571948421165</v>
      </c>
      <c r="BA139">
        <f t="shared" si="132"/>
        <v>3.8676730297462742</v>
      </c>
      <c r="BB139">
        <f t="shared" si="148"/>
        <v>11.748995040488584</v>
      </c>
      <c r="BC139">
        <f t="shared" si="149"/>
        <v>0.6196531402141281</v>
      </c>
      <c r="BD139">
        <f t="shared" si="133"/>
        <v>-144.49649026313355</v>
      </c>
      <c r="BF139">
        <f t="shared" si="134"/>
        <v>-4.5295948239891324</v>
      </c>
      <c r="BG139">
        <f t="shared" si="135"/>
        <v>-119.07046629318394</v>
      </c>
      <c r="BH139">
        <f t="shared" si="150"/>
        <v>60.929533706816059</v>
      </c>
      <c r="BI139">
        <f t="shared" si="151"/>
        <v>60.929533706816059</v>
      </c>
      <c r="BJ139">
        <f t="shared" si="136"/>
        <v>0</v>
      </c>
      <c r="BK139">
        <f t="shared" si="152"/>
        <v>0</v>
      </c>
      <c r="BM139">
        <f t="shared" si="153"/>
        <v>-16.278589864477716</v>
      </c>
      <c r="BN139">
        <f t="shared" si="137"/>
        <v>-154.57397603005037</v>
      </c>
      <c r="BQ139" s="56">
        <f t="shared" si="154"/>
        <v>28.650955840773719</v>
      </c>
      <c r="BR139" s="59"/>
      <c r="BS139" s="59"/>
      <c r="BT139" s="59">
        <v>1949.845</v>
      </c>
      <c r="BU139" s="59">
        <v>9.5268499999999996</v>
      </c>
      <c r="BV139" s="59">
        <v>-254.971</v>
      </c>
      <c r="BW139" s="61"/>
      <c r="BY139" s="59"/>
      <c r="BZ139" s="59"/>
      <c r="CA139" s="59"/>
      <c r="CC139" s="59"/>
    </row>
    <row r="140" spans="1:81" x14ac:dyDescent="0.25">
      <c r="A140">
        <f t="shared" si="106"/>
        <v>53000</v>
      </c>
      <c r="B140">
        <f t="shared" si="138"/>
        <v>53</v>
      </c>
      <c r="C140">
        <f t="shared" si="107"/>
        <v>1.0923475773977145</v>
      </c>
      <c r="D140">
        <f t="shared" si="108"/>
        <v>0.41414794023122498</v>
      </c>
      <c r="F140">
        <f t="shared" si="109"/>
        <v>9.2039479643126771E-3</v>
      </c>
      <c r="G140">
        <f t="shared" si="110"/>
        <v>3.2782721682523719E-2</v>
      </c>
      <c r="H140">
        <f t="shared" si="111"/>
        <v>-3.1088099283174766</v>
      </c>
      <c r="J140">
        <f t="shared" si="112"/>
        <v>15</v>
      </c>
      <c r="M140">
        <f t="shared" si="113"/>
        <v>2.8190640975529969E-2</v>
      </c>
      <c r="N140">
        <f t="shared" si="114"/>
        <v>-1.5707963250000001</v>
      </c>
      <c r="O140">
        <f t="shared" si="115"/>
        <v>13.590964104213652</v>
      </c>
      <c r="P140">
        <f t="shared" si="116"/>
        <v>1.4971514777680215</v>
      </c>
      <c r="Q140">
        <f t="shared" si="117"/>
        <v>11.515323447499647</v>
      </c>
      <c r="R140">
        <f t="shared" si="118"/>
        <v>1.483845996927502</v>
      </c>
      <c r="S140">
        <f t="shared" si="119"/>
        <v>0.91780820311982536</v>
      </c>
      <c r="T140">
        <f t="shared" si="120"/>
        <v>-0.40827211842870026</v>
      </c>
      <c r="U140">
        <f t="shared" si="121"/>
        <v>0.94750746572804578</v>
      </c>
      <c r="V140">
        <f t="shared" si="122"/>
        <v>-0.32544836047788883</v>
      </c>
      <c r="X140">
        <f t="shared" si="139"/>
        <v>-4.7521560734994441</v>
      </c>
      <c r="Y140">
        <f t="shared" si="123"/>
        <v>-115.63327190541941</v>
      </c>
      <c r="Z140">
        <f t="shared" si="140"/>
        <v>64.366728094580594</v>
      </c>
      <c r="AC140">
        <v>1</v>
      </c>
      <c r="AD140">
        <f t="shared" si="124"/>
        <v>13.5541250282718</v>
      </c>
      <c r="AE140">
        <f t="shared" si="125"/>
        <v>-5.4163718327951676E-4</v>
      </c>
      <c r="AF140">
        <f t="shared" si="126"/>
        <v>1.605102516738E-3</v>
      </c>
      <c r="AG140">
        <f t="shared" si="141"/>
        <v>7392.3890084807354</v>
      </c>
      <c r="AH140">
        <f t="shared" si="142"/>
        <v>-3117.5533700049418</v>
      </c>
      <c r="AJ140">
        <f t="shared" si="127"/>
        <v>22100</v>
      </c>
      <c r="AK140">
        <f t="shared" si="128"/>
        <v>9559.9839295151105</v>
      </c>
      <c r="AL140">
        <v>1</v>
      </c>
      <c r="AM140">
        <f t="shared" si="129"/>
        <v>11.471820871184102</v>
      </c>
      <c r="AN140">
        <f t="shared" si="143"/>
        <v>993.72372438652235</v>
      </c>
      <c r="AO140">
        <f t="shared" si="144"/>
        <v>-1839.8366320929943</v>
      </c>
      <c r="AQ140">
        <f t="shared" si="130"/>
        <v>0.88991723769689424</v>
      </c>
      <c r="AR140">
        <f t="shared" si="131"/>
        <v>-94.331227195870781</v>
      </c>
      <c r="AT140">
        <f t="shared" si="104"/>
        <v>-287504.02083478071</v>
      </c>
      <c r="AU140">
        <f t="shared" si="105"/>
        <v>-700107.4915626616</v>
      </c>
      <c r="AV140">
        <f t="shared" si="145"/>
        <v>-1.9604558538936598</v>
      </c>
      <c r="AW140">
        <f t="shared" si="146"/>
        <v>-163891.9808619557</v>
      </c>
      <c r="AX140">
        <f t="shared" si="147"/>
        <v>-104395.2243604109</v>
      </c>
      <c r="AY140">
        <f t="shared" si="155"/>
        <v>-2.5744278458834637</v>
      </c>
      <c r="BA140">
        <f t="shared" si="132"/>
        <v>3.894888400649521</v>
      </c>
      <c r="BB140">
        <f t="shared" si="148"/>
        <v>11.809900368919049</v>
      </c>
      <c r="BC140">
        <f t="shared" si="149"/>
        <v>0.6139719919898039</v>
      </c>
      <c r="BD140">
        <f t="shared" si="133"/>
        <v>-144.82199607954752</v>
      </c>
      <c r="BF140">
        <f t="shared" si="134"/>
        <v>-4.621574359858692</v>
      </c>
      <c r="BG140">
        <f t="shared" si="135"/>
        <v>-119.21475538764089</v>
      </c>
      <c r="BH140">
        <f t="shared" si="150"/>
        <v>60.785244612359108</v>
      </c>
      <c r="BI140">
        <f t="shared" si="151"/>
        <v>60.785244612359108</v>
      </c>
      <c r="BJ140">
        <f t="shared" si="136"/>
        <v>0</v>
      </c>
      <c r="BK140">
        <f t="shared" si="152"/>
        <v>0</v>
      </c>
      <c r="BM140">
        <f t="shared" si="153"/>
        <v>-16.431474728777744</v>
      </c>
      <c r="BN140">
        <f t="shared" si="137"/>
        <v>-154.39275930809339</v>
      </c>
      <c r="BQ140" s="56">
        <f t="shared" si="154"/>
        <v>28.711861169204184</v>
      </c>
      <c r="BR140" s="59"/>
      <c r="BS140" s="59"/>
      <c r="BT140" s="59">
        <v>1995.2619999999999</v>
      </c>
      <c r="BU140" s="59">
        <v>9.3349399999999996</v>
      </c>
      <c r="BV140" s="59">
        <v>-254.804</v>
      </c>
      <c r="BW140" s="61"/>
      <c r="BY140" s="59"/>
      <c r="BZ140" s="59"/>
      <c r="CA140" s="59"/>
      <c r="CC140" s="59"/>
    </row>
    <row r="141" spans="1:81" x14ac:dyDescent="0.25">
      <c r="A141">
        <f t="shared" si="106"/>
        <v>53500</v>
      </c>
      <c r="B141">
        <f t="shared" si="138"/>
        <v>53.5</v>
      </c>
      <c r="C141">
        <f t="shared" si="107"/>
        <v>1.094022919304338</v>
      </c>
      <c r="D141">
        <f t="shared" si="108"/>
        <v>0.41761800359211104</v>
      </c>
      <c r="F141">
        <f t="shared" si="109"/>
        <v>9.0312509956412077E-3</v>
      </c>
      <c r="G141">
        <f t="shared" si="110"/>
        <v>3.2470965642038128E-2</v>
      </c>
      <c r="H141">
        <f t="shared" si="111"/>
        <v>-3.1091216843579619</v>
      </c>
      <c r="J141">
        <f t="shared" si="112"/>
        <v>15</v>
      </c>
      <c r="M141">
        <f t="shared" si="113"/>
        <v>2.7927177041179221E-2</v>
      </c>
      <c r="N141">
        <f t="shared" si="114"/>
        <v>-1.5707963250000001</v>
      </c>
      <c r="O141">
        <f t="shared" si="115"/>
        <v>13.718489838047871</v>
      </c>
      <c r="P141">
        <f t="shared" si="116"/>
        <v>1.4978372960924236</v>
      </c>
      <c r="Q141">
        <f t="shared" si="117"/>
        <v>11.62314312113257</v>
      </c>
      <c r="R141">
        <f t="shared" si="118"/>
        <v>1.4846545840349663</v>
      </c>
      <c r="S141">
        <f t="shared" si="119"/>
        <v>0.9164399971251993</v>
      </c>
      <c r="T141">
        <f t="shared" si="120"/>
        <v>-0.41170466032184766</v>
      </c>
      <c r="U141">
        <f t="shared" si="121"/>
        <v>0.9465906828032975</v>
      </c>
      <c r="V141">
        <f t="shared" si="122"/>
        <v>-0.32830361801151731</v>
      </c>
      <c r="X141">
        <f t="shared" si="139"/>
        <v>-4.8442243587360956</v>
      </c>
      <c r="Y141">
        <f t="shared" si="123"/>
        <v>-115.72695547111387</v>
      </c>
      <c r="Z141">
        <f t="shared" si="140"/>
        <v>64.273044528886132</v>
      </c>
      <c r="AC141">
        <v>1</v>
      </c>
      <c r="AD141">
        <f t="shared" si="124"/>
        <v>13.681994132312099</v>
      </c>
      <c r="AE141">
        <f t="shared" si="125"/>
        <v>-5.5190495829184635E-4</v>
      </c>
      <c r="AF141">
        <f t="shared" si="126"/>
        <v>1.6202449933110001E-3</v>
      </c>
      <c r="AG141">
        <f t="shared" si="141"/>
        <v>7378.0905727755617</v>
      </c>
      <c r="AH141">
        <f t="shared" si="142"/>
        <v>-3130.3937310594165</v>
      </c>
      <c r="AJ141">
        <f t="shared" si="127"/>
        <v>22100</v>
      </c>
      <c r="AK141">
        <f t="shared" si="128"/>
        <v>9650.1724571520463</v>
      </c>
      <c r="AL141">
        <v>1</v>
      </c>
      <c r="AM141">
        <f t="shared" si="129"/>
        <v>11.580045596383952</v>
      </c>
      <c r="AN141">
        <f t="shared" si="143"/>
        <v>990.76208402170278</v>
      </c>
      <c r="AO141">
        <f t="shared" si="144"/>
        <v>-1822.8976509876595</v>
      </c>
      <c r="AQ141">
        <f t="shared" si="130"/>
        <v>0.8733624454148472</v>
      </c>
      <c r="AR141">
        <f t="shared" si="131"/>
        <v>-93.449781659388648</v>
      </c>
      <c r="AT141">
        <f t="shared" si="104"/>
        <v>-286090.86345028999</v>
      </c>
      <c r="AU141">
        <f t="shared" si="105"/>
        <v>-692214.92141313932</v>
      </c>
      <c r="AV141">
        <f t="shared" si="145"/>
        <v>-1.9627134532013972</v>
      </c>
      <c r="AW141">
        <f t="shared" si="146"/>
        <v>-160725.2379553249</v>
      </c>
      <c r="AX141">
        <f t="shared" si="147"/>
        <v>-103157.2500439634</v>
      </c>
      <c r="AY141">
        <f t="shared" si="155"/>
        <v>-2.5709868366124531</v>
      </c>
      <c r="BA141">
        <f t="shared" si="132"/>
        <v>3.9218707947407911</v>
      </c>
      <c r="BB141">
        <f t="shared" si="148"/>
        <v>11.869865636429211</v>
      </c>
      <c r="BC141">
        <f t="shared" si="149"/>
        <v>0.60827338341105586</v>
      </c>
      <c r="BD141">
        <f t="shared" si="133"/>
        <v>-145.14850230057993</v>
      </c>
      <c r="BF141">
        <f t="shared" si="134"/>
        <v>-4.7128225286925876</v>
      </c>
      <c r="BG141">
        <f t="shared" si="135"/>
        <v>-119.36030392860228</v>
      </c>
      <c r="BH141">
        <f t="shared" si="150"/>
        <v>60.639696071397722</v>
      </c>
      <c r="BI141">
        <f t="shared" si="151"/>
        <v>60.639696071397722</v>
      </c>
      <c r="BJ141">
        <f t="shared" si="136"/>
        <v>0</v>
      </c>
      <c r="BK141">
        <f t="shared" si="152"/>
        <v>0</v>
      </c>
      <c r="BM141">
        <f t="shared" si="153"/>
        <v>-16.582688165121798</v>
      </c>
      <c r="BN141">
        <f t="shared" si="137"/>
        <v>-154.21180162802236</v>
      </c>
      <c r="BQ141" s="56">
        <f t="shared" si="154"/>
        <v>28.771826436714349</v>
      </c>
      <c r="BR141" s="59"/>
      <c r="BS141" s="59"/>
      <c r="BT141" s="59">
        <v>2041.7380000000001</v>
      </c>
      <c r="BU141" s="59">
        <v>9.0884699999999992</v>
      </c>
      <c r="BV141" s="59">
        <v>-254.411</v>
      </c>
      <c r="BW141" s="61"/>
      <c r="BY141" s="59"/>
      <c r="BZ141" s="59"/>
      <c r="CA141" s="59"/>
      <c r="CC141" s="59"/>
    </row>
    <row r="142" spans="1:81" x14ac:dyDescent="0.25">
      <c r="A142">
        <f t="shared" si="106"/>
        <v>54000</v>
      </c>
      <c r="B142">
        <f t="shared" si="138"/>
        <v>54</v>
      </c>
      <c r="C142">
        <f t="shared" si="107"/>
        <v>1.0957113943356869</v>
      </c>
      <c r="D142">
        <f t="shared" si="108"/>
        <v>0.42107741386988978</v>
      </c>
      <c r="F142">
        <f t="shared" si="109"/>
        <v>8.8633825815392676E-3</v>
      </c>
      <c r="G142">
        <f t="shared" si="110"/>
        <v>3.2165131732599439E-2</v>
      </c>
      <c r="H142">
        <f t="shared" si="111"/>
        <v>-3.1094275182674007</v>
      </c>
      <c r="J142">
        <f t="shared" si="112"/>
        <v>15</v>
      </c>
      <c r="M142">
        <f t="shared" si="113"/>
        <v>2.766859206857571E-2</v>
      </c>
      <c r="N142">
        <f t="shared" si="114"/>
        <v>-1.5707963250000001</v>
      </c>
      <c r="O142">
        <f t="shared" si="115"/>
        <v>13.846021905470089</v>
      </c>
      <c r="P142">
        <f t="shared" si="116"/>
        <v>1.498510480944067</v>
      </c>
      <c r="Q142">
        <f t="shared" si="117"/>
        <v>11.730970254434061</v>
      </c>
      <c r="R142">
        <f t="shared" si="118"/>
        <v>1.4854483071319498</v>
      </c>
      <c r="S142">
        <f t="shared" si="119"/>
        <v>0.91506513087467867</v>
      </c>
      <c r="T142">
        <f t="shared" si="120"/>
        <v>-0.41512694326636107</v>
      </c>
      <c r="U142">
        <f t="shared" si="121"/>
        <v>0.94566798509801708</v>
      </c>
      <c r="V142">
        <f t="shared" si="122"/>
        <v>-0.33115333236438144</v>
      </c>
      <c r="X142">
        <f t="shared" si="139"/>
        <v>-4.9355273163312194</v>
      </c>
      <c r="Y142">
        <f t="shared" si="123"/>
        <v>-115.82158019481058</v>
      </c>
      <c r="Z142">
        <f t="shared" si="140"/>
        <v>64.178419805189421</v>
      </c>
      <c r="AC142">
        <v>1</v>
      </c>
      <c r="AD142">
        <f t="shared" si="124"/>
        <v>13.809863236352401</v>
      </c>
      <c r="AE142">
        <f t="shared" si="125"/>
        <v>-5.6226914433715562E-4</v>
      </c>
      <c r="AF142">
        <f t="shared" si="126"/>
        <v>1.6353874698840001E-3</v>
      </c>
      <c r="AG142">
        <f t="shared" si="141"/>
        <v>7363.7138640073163</v>
      </c>
      <c r="AH142">
        <f t="shared" si="142"/>
        <v>-3143.2239687048955</v>
      </c>
      <c r="AJ142">
        <f t="shared" si="127"/>
        <v>22100</v>
      </c>
      <c r="AK142">
        <f t="shared" si="128"/>
        <v>9740.360984788982</v>
      </c>
      <c r="AL142">
        <v>1</v>
      </c>
      <c r="AM142">
        <f t="shared" si="129"/>
        <v>11.688270321583801</v>
      </c>
      <c r="AN142">
        <f t="shared" si="143"/>
        <v>987.88153286696172</v>
      </c>
      <c r="AO142">
        <f t="shared" si="144"/>
        <v>-1806.2654170606377</v>
      </c>
      <c r="AQ142">
        <f t="shared" si="130"/>
        <v>0.85726532361765961</v>
      </c>
      <c r="AR142">
        <f t="shared" si="131"/>
        <v>-92.584654950707247</v>
      </c>
      <c r="AT142">
        <f t="shared" si="104"/>
        <v>-284701.65002667933</v>
      </c>
      <c r="AU142">
        <f t="shared" si="105"/>
        <v>-684461.48416759109</v>
      </c>
      <c r="AV142">
        <f t="shared" si="145"/>
        <v>-1.9649765103479846</v>
      </c>
      <c r="AW142">
        <f t="shared" si="146"/>
        <v>-157645.58259444294</v>
      </c>
      <c r="AX142">
        <f t="shared" si="147"/>
        <v>-101950.74496416087</v>
      </c>
      <c r="AY142">
        <f t="shared" si="155"/>
        <v>-2.5675347682131924</v>
      </c>
      <c r="BA142">
        <f t="shared" si="132"/>
        <v>3.9486189624177839</v>
      </c>
      <c r="BB142">
        <f t="shared" si="148"/>
        <v>11.928904535943637</v>
      </c>
      <c r="BC142">
        <f t="shared" si="149"/>
        <v>0.60255825786520778</v>
      </c>
      <c r="BD142">
        <f t="shared" si="133"/>
        <v>-145.47595487411857</v>
      </c>
      <c r="BF142">
        <f t="shared" si="134"/>
        <v>-4.8033568103032582</v>
      </c>
      <c r="BG142">
        <f t="shared" si="135"/>
        <v>-119.50706988565642</v>
      </c>
      <c r="BH142">
        <f t="shared" si="150"/>
        <v>60.492930114343579</v>
      </c>
      <c r="BI142">
        <f t="shared" si="151"/>
        <v>60.492930114343579</v>
      </c>
      <c r="BJ142">
        <f t="shared" si="136"/>
        <v>0</v>
      </c>
      <c r="BK142">
        <f t="shared" si="152"/>
        <v>0</v>
      </c>
      <c r="BM142">
        <f t="shared" si="153"/>
        <v>-16.732261346246894</v>
      </c>
      <c r="BN142">
        <f t="shared" si="137"/>
        <v>-154.03111501153785</v>
      </c>
      <c r="BQ142" s="56">
        <f t="shared" si="154"/>
        <v>28.830865336228776</v>
      </c>
      <c r="BR142" s="59"/>
      <c r="BS142" s="59"/>
      <c r="BT142" s="59">
        <v>2089.2959999999998</v>
      </c>
      <c r="BU142" s="59">
        <v>8.9698600000000006</v>
      </c>
      <c r="BV142" s="59">
        <v>-254.113</v>
      </c>
      <c r="BW142" s="61"/>
      <c r="BY142" s="59"/>
      <c r="BZ142" s="59"/>
      <c r="CA142" s="59"/>
      <c r="CC142" s="59"/>
    </row>
    <row r="143" spans="1:81" x14ac:dyDescent="0.25">
      <c r="A143">
        <f t="shared" si="106"/>
        <v>54500</v>
      </c>
      <c r="B143">
        <f t="shared" si="138"/>
        <v>54.5</v>
      </c>
      <c r="C143">
        <f t="shared" si="107"/>
        <v>1.0974129418720477</v>
      </c>
      <c r="D143">
        <f t="shared" si="108"/>
        <v>0.42452613762755231</v>
      </c>
      <c r="F143">
        <f t="shared" si="109"/>
        <v>8.7001639036514214E-3</v>
      </c>
      <c r="G143">
        <f t="shared" si="110"/>
        <v>3.1865051498636651E-2</v>
      </c>
      <c r="H143">
        <f t="shared" si="111"/>
        <v>-3.1097275985013635</v>
      </c>
      <c r="J143">
        <f t="shared" si="112"/>
        <v>15</v>
      </c>
      <c r="M143">
        <f t="shared" si="113"/>
        <v>2.7414751774368591E-2</v>
      </c>
      <c r="N143">
        <f t="shared" si="114"/>
        <v>-1.5707963250000001</v>
      </c>
      <c r="O143">
        <f t="shared" si="115"/>
        <v>13.973560133066611</v>
      </c>
      <c r="P143">
        <f t="shared" si="116"/>
        <v>1.4991713776256015</v>
      </c>
      <c r="Q143">
        <f t="shared" si="117"/>
        <v>11.838804643577461</v>
      </c>
      <c r="R143">
        <f t="shared" si="118"/>
        <v>1.4862275713733628</v>
      </c>
      <c r="S143">
        <f t="shared" si="119"/>
        <v>0.91368373069407738</v>
      </c>
      <c r="T143">
        <f t="shared" si="120"/>
        <v>-0.4185389333817891</v>
      </c>
      <c r="U143">
        <f t="shared" si="121"/>
        <v>0.9447394347838507</v>
      </c>
      <c r="V143">
        <f t="shared" si="122"/>
        <v>-0.33399747351397363</v>
      </c>
      <c r="X143">
        <f t="shared" si="139"/>
        <v>-5.0260810607355833</v>
      </c>
      <c r="Y143">
        <f t="shared" si="123"/>
        <v>-115.9171109846815</v>
      </c>
      <c r="Z143">
        <f t="shared" si="140"/>
        <v>64.0828890153185</v>
      </c>
      <c r="AC143">
        <v>1</v>
      </c>
      <c r="AD143">
        <f t="shared" si="124"/>
        <v>13.937732340392699</v>
      </c>
      <c r="AE143">
        <f t="shared" si="125"/>
        <v>-5.7272974141544467E-4</v>
      </c>
      <c r="AF143">
        <f t="shared" si="126"/>
        <v>1.650529946457E-3</v>
      </c>
      <c r="AG143">
        <f t="shared" si="141"/>
        <v>7349.2601190902133</v>
      </c>
      <c r="AH143">
        <f t="shared" si="142"/>
        <v>-3156.0407969472044</v>
      </c>
      <c r="AJ143">
        <f t="shared" si="127"/>
        <v>22100</v>
      </c>
      <c r="AK143">
        <f t="shared" si="128"/>
        <v>9830.549512425916</v>
      </c>
      <c r="AL143">
        <v>1</v>
      </c>
      <c r="AM143">
        <f t="shared" si="129"/>
        <v>11.796495046783651</v>
      </c>
      <c r="AN143">
        <f t="shared" si="143"/>
        <v>985.07914445340612</v>
      </c>
      <c r="AO143">
        <f t="shared" si="144"/>
        <v>-1789.9317358085646</v>
      </c>
      <c r="AQ143">
        <f t="shared" si="130"/>
        <v>0.84160915670762493</v>
      </c>
      <c r="AR143">
        <f t="shared" si="131"/>
        <v>-91.735398081131123</v>
      </c>
      <c r="AT143">
        <f t="shared" si="104"/>
        <v>-283335.45425698964</v>
      </c>
      <c r="AU143">
        <f t="shared" si="105"/>
        <v>-676843.45546017541</v>
      </c>
      <c r="AV143">
        <f t="shared" si="145"/>
        <v>-1.9672446949330551</v>
      </c>
      <c r="AW143">
        <f t="shared" si="146"/>
        <v>-154649.87839348591</v>
      </c>
      <c r="AX143">
        <f t="shared" si="147"/>
        <v>-100774.54231435564</v>
      </c>
      <c r="AY143">
        <f t="shared" si="155"/>
        <v>-2.5640722254864516</v>
      </c>
      <c r="BA143">
        <f t="shared" si="132"/>
        <v>3.9751316985116727</v>
      </c>
      <c r="BB143">
        <f t="shared" si="148"/>
        <v>11.987030433381435</v>
      </c>
      <c r="BC143">
        <f t="shared" si="149"/>
        <v>0.59682753055339655</v>
      </c>
      <c r="BD143">
        <f t="shared" si="133"/>
        <v>-145.80430136300092</v>
      </c>
      <c r="BF143">
        <f t="shared" si="134"/>
        <v>-4.893194145710126</v>
      </c>
      <c r="BG143">
        <f t="shared" si="135"/>
        <v>-119.65501238923341</v>
      </c>
      <c r="BH143">
        <f t="shared" si="150"/>
        <v>60.344987610766594</v>
      </c>
      <c r="BI143">
        <f t="shared" si="151"/>
        <v>60.344987610766594</v>
      </c>
      <c r="BJ143">
        <f t="shared" si="136"/>
        <v>0</v>
      </c>
      <c r="BK143">
        <f t="shared" si="152"/>
        <v>0</v>
      </c>
      <c r="BM143">
        <f t="shared" si="153"/>
        <v>-16.880224579091557</v>
      </c>
      <c r="BN143">
        <f t="shared" si="137"/>
        <v>-153.85071102623249</v>
      </c>
      <c r="BQ143" s="56">
        <f t="shared" si="154"/>
        <v>28.888991233666573</v>
      </c>
      <c r="BR143" s="59"/>
      <c r="BS143" s="59"/>
      <c r="BT143" s="59">
        <v>2137.962</v>
      </c>
      <c r="BU143" s="59">
        <v>8.68736</v>
      </c>
      <c r="BV143" s="59">
        <v>-254.34</v>
      </c>
      <c r="BW143" s="61"/>
      <c r="BY143" s="59"/>
      <c r="BZ143" s="59"/>
      <c r="CA143" s="59"/>
      <c r="CC143" s="59"/>
    </row>
    <row r="144" spans="1:81" x14ac:dyDescent="0.25">
      <c r="A144">
        <f t="shared" si="106"/>
        <v>55000</v>
      </c>
      <c r="B144">
        <f t="shared" si="138"/>
        <v>55</v>
      </c>
      <c r="C144">
        <f t="shared" si="107"/>
        <v>1.0991275012012063</v>
      </c>
      <c r="D144">
        <f t="shared" si="108"/>
        <v>0.42796414265114341</v>
      </c>
      <c r="F144">
        <f t="shared" si="109"/>
        <v>8.541424366639197E-3</v>
      </c>
      <c r="G144">
        <f t="shared" si="110"/>
        <v>3.1570562859005724E-2</v>
      </c>
      <c r="H144">
        <f t="shared" si="111"/>
        <v>-3.1100220871409947</v>
      </c>
      <c r="J144">
        <f t="shared" si="112"/>
        <v>15</v>
      </c>
      <c r="M144">
        <f t="shared" si="113"/>
        <v>2.7165526758237971E-2</v>
      </c>
      <c r="N144">
        <f t="shared" si="114"/>
        <v>-1.5707963250000001</v>
      </c>
      <c r="O144">
        <f t="shared" si="115"/>
        <v>14.10110435368931</v>
      </c>
      <c r="P144">
        <f t="shared" si="116"/>
        <v>1.4998203189905026</v>
      </c>
      <c r="Q144">
        <f t="shared" si="117"/>
        <v>11.946646092081867</v>
      </c>
      <c r="R144">
        <f t="shared" si="118"/>
        <v>1.486992767356637</v>
      </c>
      <c r="S144">
        <f t="shared" si="119"/>
        <v>0.91229592240017687</v>
      </c>
      <c r="T144">
        <f t="shared" si="120"/>
        <v>-0.42194059794975264</v>
      </c>
      <c r="U144">
        <f t="shared" si="121"/>
        <v>0.94380509408367075</v>
      </c>
      <c r="V144">
        <f t="shared" si="122"/>
        <v>-0.33683601191575285</v>
      </c>
      <c r="X144">
        <f t="shared" si="139"/>
        <v>-5.1159012092672231</v>
      </c>
      <c r="Y144">
        <f t="shared" si="123"/>
        <v>-116.01351395492952</v>
      </c>
      <c r="Z144">
        <f t="shared" si="140"/>
        <v>63.986486045070478</v>
      </c>
      <c r="AC144">
        <v>1</v>
      </c>
      <c r="AD144">
        <f t="shared" si="124"/>
        <v>14.065601444433002</v>
      </c>
      <c r="AE144">
        <f t="shared" si="125"/>
        <v>-5.8328674952671329E-4</v>
      </c>
      <c r="AF144">
        <f t="shared" si="126"/>
        <v>1.6656724230300001E-3</v>
      </c>
      <c r="AG144">
        <f t="shared" si="141"/>
        <v>7334.730573636165</v>
      </c>
      <c r="AH144">
        <f t="shared" si="142"/>
        <v>-3168.8410530017995</v>
      </c>
      <c r="AJ144">
        <f t="shared" si="127"/>
        <v>22100</v>
      </c>
      <c r="AK144">
        <f t="shared" si="128"/>
        <v>9920.7380400628517</v>
      </c>
      <c r="AL144">
        <v>1</v>
      </c>
      <c r="AM144">
        <f t="shared" si="129"/>
        <v>11.904719771983501</v>
      </c>
      <c r="AN144">
        <f t="shared" si="143"/>
        <v>982.35212283876365</v>
      </c>
      <c r="AO144">
        <f t="shared" si="144"/>
        <v>-1773.8886997457416</v>
      </c>
      <c r="AQ144">
        <f t="shared" si="130"/>
        <v>0.82637798529047191</v>
      </c>
      <c r="AR144">
        <f t="shared" si="131"/>
        <v>-90.901578381951907</v>
      </c>
      <c r="AT144">
        <f t="shared" si="104"/>
        <v>-281991.39348530024</v>
      </c>
      <c r="AU144">
        <f t="shared" si="105"/>
        <v>-669357.24663497228</v>
      </c>
      <c r="AV144">
        <f t="shared" si="145"/>
        <v>-1.9695176878499836</v>
      </c>
      <c r="AW144">
        <f t="shared" si="146"/>
        <v>-151735.12853671977</v>
      </c>
      <c r="AX144">
        <f t="shared" si="147"/>
        <v>-99627.530843029337</v>
      </c>
      <c r="AY144">
        <f t="shared" si="155"/>
        <v>-2.5605997775556331</v>
      </c>
      <c r="BA144">
        <f t="shared" si="132"/>
        <v>4.0014078423743813</v>
      </c>
      <c r="BB144">
        <f t="shared" si="148"/>
        <v>12.044256379570605</v>
      </c>
      <c r="BC144">
        <f t="shared" si="149"/>
        <v>0.59108208970564946</v>
      </c>
      <c r="BD144">
        <f t="shared" si="133"/>
        <v>-146.13349087539504</v>
      </c>
      <c r="BF144">
        <f t="shared" si="134"/>
        <v>-4.9823509579371237</v>
      </c>
      <c r="BG144">
        <f t="shared" si="135"/>
        <v>-119.8040916797906</v>
      </c>
      <c r="BH144">
        <f t="shared" si="150"/>
        <v>60.195908320209398</v>
      </c>
      <c r="BI144">
        <f t="shared" si="151"/>
        <v>60.195908320209398</v>
      </c>
      <c r="BJ144">
        <f t="shared" si="136"/>
        <v>0</v>
      </c>
      <c r="BK144">
        <f t="shared" si="152"/>
        <v>0</v>
      </c>
      <c r="BM144">
        <f t="shared" si="153"/>
        <v>-17.026607337507727</v>
      </c>
      <c r="BN144">
        <f t="shared" si="137"/>
        <v>-153.67060080439555</v>
      </c>
      <c r="BQ144" s="56">
        <f t="shared" si="154"/>
        <v>28.946217179855743</v>
      </c>
      <c r="BR144" s="59"/>
      <c r="BS144" s="59"/>
      <c r="BT144" s="59">
        <v>2187.7620000000002</v>
      </c>
      <c r="BU144" s="59">
        <v>8.5308799999999998</v>
      </c>
      <c r="BV144" s="59">
        <v>-253.785</v>
      </c>
      <c r="BW144" s="61"/>
      <c r="BY144" s="59"/>
      <c r="BZ144" s="59"/>
      <c r="CA144" s="59"/>
      <c r="CC144" s="59"/>
    </row>
    <row r="145" spans="1:81" x14ac:dyDescent="0.25">
      <c r="A145">
        <f t="shared" si="106"/>
        <v>55500</v>
      </c>
      <c r="B145">
        <f t="shared" si="138"/>
        <v>55.5</v>
      </c>
      <c r="C145">
        <f t="shared" si="107"/>
        <v>1.1008550115263553</v>
      </c>
      <c r="D145">
        <f t="shared" si="108"/>
        <v>0.43139139794016834</v>
      </c>
      <c r="F145">
        <f t="shared" si="109"/>
        <v>8.3870011474332391E-3</v>
      </c>
      <c r="G145">
        <f t="shared" si="110"/>
        <v>3.12815098063444E-2</v>
      </c>
      <c r="H145">
        <f t="shared" si="111"/>
        <v>-3.1103111401936556</v>
      </c>
      <c r="J145">
        <f t="shared" si="112"/>
        <v>15</v>
      </c>
      <c r="M145">
        <f t="shared" si="113"/>
        <v>2.6920792282938533E-2</v>
      </c>
      <c r="N145">
        <f t="shared" si="114"/>
        <v>-1.5707963250000001</v>
      </c>
      <c r="O145">
        <f t="shared" si="115"/>
        <v>14.228654406175551</v>
      </c>
      <c r="P145">
        <f t="shared" si="116"/>
        <v>1.5004576259981652</v>
      </c>
      <c r="Q145">
        <f t="shared" si="117"/>
        <v>12.054494410484736</v>
      </c>
      <c r="R145">
        <f t="shared" si="118"/>
        <v>1.487744271768203</v>
      </c>
      <c r="S145">
        <f t="shared" si="119"/>
        <v>0.91090183127976043</v>
      </c>
      <c r="T145">
        <f t="shared" si="120"/>
        <v>-0.42533190540541882</v>
      </c>
      <c r="U145">
        <f t="shared" si="121"/>
        <v>0.94286502526215255</v>
      </c>
      <c r="V145">
        <f t="shared" si="122"/>
        <v>-0.33966891850260045</v>
      </c>
      <c r="X145">
        <f t="shared" si="139"/>
        <v>-5.205002902097327</v>
      </c>
      <c r="Y145">
        <f t="shared" si="123"/>
        <v>-116.1107563741992</v>
      </c>
      <c r="Z145">
        <f t="shared" si="140"/>
        <v>63.889243625800802</v>
      </c>
      <c r="AC145">
        <v>1</v>
      </c>
      <c r="AD145">
        <f t="shared" si="124"/>
        <v>14.1934705484733</v>
      </c>
      <c r="AE145">
        <f t="shared" si="125"/>
        <v>-5.9394016867096158E-4</v>
      </c>
      <c r="AF145">
        <f t="shared" si="126"/>
        <v>1.680814899603E-3</v>
      </c>
      <c r="AG145">
        <f t="shared" si="141"/>
        <v>7320.1264617448796</v>
      </c>
      <c r="AH145">
        <f t="shared" si="142"/>
        <v>-3181.6216923378215</v>
      </c>
      <c r="AJ145">
        <f t="shared" si="127"/>
        <v>22100</v>
      </c>
      <c r="AK145">
        <f t="shared" si="128"/>
        <v>10010.926567699786</v>
      </c>
      <c r="AL145">
        <v>1</v>
      </c>
      <c r="AM145">
        <f t="shared" si="129"/>
        <v>12.012944497183351</v>
      </c>
      <c r="AN145">
        <f t="shared" si="143"/>
        <v>979.69779569943944</v>
      </c>
      <c r="AO145">
        <f t="shared" si="144"/>
        <v>-1758.1286760504545</v>
      </c>
      <c r="AQ145">
        <f t="shared" si="130"/>
        <v>0.81155656549261479</v>
      </c>
      <c r="AR145">
        <f t="shared" si="131"/>
        <v>-90.082778769680246</v>
      </c>
      <c r="AT145">
        <f t="shared" si="104"/>
        <v>-280668.62634941837</v>
      </c>
      <c r="AU145">
        <f t="shared" si="105"/>
        <v>-661999.39859277674</v>
      </c>
      <c r="AV145">
        <f t="shared" si="145"/>
        <v>-1.9717951808038114</v>
      </c>
      <c r="AW145">
        <f t="shared" si="146"/>
        <v>-148898.46840856891</v>
      </c>
      <c r="AX145">
        <f t="shared" si="147"/>
        <v>-98508.651663875222</v>
      </c>
      <c r="AY145">
        <f t="shared" si="155"/>
        <v>-2.5571179785320166</v>
      </c>
      <c r="BA145">
        <f t="shared" si="132"/>
        <v>4.0274462779605589</v>
      </c>
      <c r="BB145">
        <f t="shared" si="148"/>
        <v>12.100595121659293</v>
      </c>
      <c r="BC145">
        <f t="shared" si="149"/>
        <v>0.58532279772820517</v>
      </c>
      <c r="BD145">
        <f t="shared" si="133"/>
        <v>-146.46347399906321</v>
      </c>
      <c r="BF145">
        <f t="shared" si="134"/>
        <v>-5.0708431717605187</v>
      </c>
      <c r="BG145">
        <f t="shared" si="135"/>
        <v>-119.95426905985111</v>
      </c>
      <c r="BH145">
        <f t="shared" si="150"/>
        <v>60.045730940148886</v>
      </c>
      <c r="BI145">
        <f t="shared" si="151"/>
        <v>60.045730940148886</v>
      </c>
      <c r="BJ145">
        <f t="shared" si="136"/>
        <v>0</v>
      </c>
      <c r="BK145">
        <f t="shared" si="152"/>
        <v>0</v>
      </c>
      <c r="BM145">
        <f t="shared" si="153"/>
        <v>-17.171438293419811</v>
      </c>
      <c r="BN145">
        <f t="shared" si="137"/>
        <v>-153.49079506078792</v>
      </c>
      <c r="BQ145" s="56">
        <f t="shared" si="154"/>
        <v>29.002555921944428</v>
      </c>
      <c r="BR145" s="59"/>
      <c r="BS145" s="59"/>
      <c r="BT145" s="59">
        <v>2238.721</v>
      </c>
      <c r="BU145" s="59">
        <v>8.3496900000000007</v>
      </c>
      <c r="BV145" s="59">
        <v>-253.78300000000002</v>
      </c>
      <c r="BW145" s="61"/>
      <c r="BY145" s="59"/>
      <c r="BZ145" s="59"/>
      <c r="CA145" s="59"/>
      <c r="CC145" s="59"/>
    </row>
    <row r="146" spans="1:81" x14ac:dyDescent="0.25">
      <c r="A146">
        <f t="shared" si="106"/>
        <v>56000</v>
      </c>
      <c r="B146">
        <f t="shared" si="138"/>
        <v>56</v>
      </c>
      <c r="C146">
        <f t="shared" si="107"/>
        <v>1.102595411973909</v>
      </c>
      <c r="D146">
        <f t="shared" si="108"/>
        <v>0.43480787369780305</v>
      </c>
      <c r="F146">
        <f t="shared" si="109"/>
        <v>8.2367387731187534E-3</v>
      </c>
      <c r="G146">
        <f t="shared" si="110"/>
        <v>3.0997742123383326E-2</v>
      </c>
      <c r="H146">
        <f t="shared" si="111"/>
        <v>-3.1105949078766169</v>
      </c>
      <c r="J146">
        <f t="shared" si="112"/>
        <v>15</v>
      </c>
      <c r="M146">
        <f t="shared" si="113"/>
        <v>2.6680428066126579E-2</v>
      </c>
      <c r="N146">
        <f t="shared" si="114"/>
        <v>-1.5707963250000001</v>
      </c>
      <c r="O146">
        <f t="shared" si="115"/>
        <v>14.356210135082947</v>
      </c>
      <c r="P146">
        <f t="shared" si="116"/>
        <v>1.5010836082396064</v>
      </c>
      <c r="Q146">
        <f t="shared" si="117"/>
        <v>12.16234941603183</v>
      </c>
      <c r="R146">
        <f t="shared" si="118"/>
        <v>1.4884824479959042</v>
      </c>
      <c r="S146">
        <f t="shared" si="119"/>
        <v>0.90950158206917842</v>
      </c>
      <c r="T146">
        <f t="shared" si="120"/>
        <v>-0.42871282532878491</v>
      </c>
      <c r="U146">
        <f t="shared" si="121"/>
        <v>0.94191929061644042</v>
      </c>
      <c r="V146">
        <f t="shared" si="122"/>
        <v>-0.34249616468419503</v>
      </c>
      <c r="X146">
        <f t="shared" si="139"/>
        <v>-5.293400821235565</v>
      </c>
      <c r="Y146">
        <f t="shared" si="123"/>
        <v>-116.20880661664741</v>
      </c>
      <c r="Z146">
        <f t="shared" si="140"/>
        <v>63.791193383352592</v>
      </c>
      <c r="AC146">
        <v>1</v>
      </c>
      <c r="AD146">
        <f t="shared" si="124"/>
        <v>14.321339652513601</v>
      </c>
      <c r="AE146">
        <f t="shared" si="125"/>
        <v>-6.0468999884818943E-4</v>
      </c>
      <c r="AF146">
        <f t="shared" si="126"/>
        <v>1.695957376176E-3</v>
      </c>
      <c r="AG146">
        <f t="shared" si="141"/>
        <v>7305.4490157968121</v>
      </c>
      <c r="AH146">
        <f t="shared" si="142"/>
        <v>-3194.3797839795889</v>
      </c>
      <c r="AJ146">
        <f t="shared" si="127"/>
        <v>22100</v>
      </c>
      <c r="AK146">
        <f t="shared" si="128"/>
        <v>10101.115095336721</v>
      </c>
      <c r="AL146">
        <v>1</v>
      </c>
      <c r="AM146">
        <f t="shared" si="129"/>
        <v>12.121169222383202</v>
      </c>
      <c r="AN146">
        <f t="shared" si="143"/>
        <v>977.11360784437238</v>
      </c>
      <c r="AO146">
        <f t="shared" si="144"/>
        <v>-1742.6442948382955</v>
      </c>
      <c r="AQ146">
        <f t="shared" si="130"/>
        <v>0.79713033080908724</v>
      </c>
      <c r="AR146">
        <f t="shared" si="131"/>
        <v>-89.278597050617776</v>
      </c>
      <c r="AT146">
        <f t="shared" si="104"/>
        <v>-279366.35056988214</v>
      </c>
      <c r="AU146">
        <f t="shared" si="105"/>
        <v>-654766.57596908929</v>
      </c>
      <c r="AV146">
        <f t="shared" si="145"/>
        <v>-1.9740768758545451</v>
      </c>
      <c r="AW146">
        <f t="shared" si="146"/>
        <v>-146137.15867255031</v>
      </c>
      <c r="AX146">
        <f t="shared" si="147"/>
        <v>-97416.895278388241</v>
      </c>
      <c r="AY146">
        <f t="shared" si="155"/>
        <v>-2.5536273681418189</v>
      </c>
      <c r="BA146">
        <f t="shared" si="132"/>
        <v>4.0532459339030948</v>
      </c>
      <c r="BB146">
        <f t="shared" si="148"/>
        <v>12.156059114047476</v>
      </c>
      <c r="BC146">
        <f t="shared" si="149"/>
        <v>0.57955049228727384</v>
      </c>
      <c r="BD146">
        <f t="shared" si="133"/>
        <v>-146.79420273926689</v>
      </c>
      <c r="BF146">
        <f t="shared" si="134"/>
        <v>-5.1586862324714309</v>
      </c>
      <c r="BG146">
        <f t="shared" si="135"/>
        <v>-120.10550684872436</v>
      </c>
      <c r="BH146">
        <f t="shared" si="150"/>
        <v>59.89449315127564</v>
      </c>
      <c r="BI146">
        <f t="shared" si="151"/>
        <v>59.89449315127564</v>
      </c>
      <c r="BJ146">
        <f t="shared" si="136"/>
        <v>0</v>
      </c>
      <c r="BK146">
        <f t="shared" si="152"/>
        <v>0</v>
      </c>
      <c r="BM146">
        <f t="shared" si="153"/>
        <v>-17.314745346518908</v>
      </c>
      <c r="BN146">
        <f t="shared" si="137"/>
        <v>-153.3113041094575</v>
      </c>
      <c r="BQ146" s="56">
        <f t="shared" si="154"/>
        <v>29.058019914332615</v>
      </c>
      <c r="BR146" s="59"/>
      <c r="BS146" s="59"/>
      <c r="BT146" s="59">
        <v>2290.8679999999999</v>
      </c>
      <c r="BU146" s="59">
        <v>8.2818299999999994</v>
      </c>
      <c r="BV146" s="59">
        <v>-253.62</v>
      </c>
      <c r="BW146" s="61"/>
      <c r="BY146" s="59"/>
      <c r="BZ146" s="59"/>
      <c r="CA146" s="59"/>
      <c r="CC146" s="59"/>
    </row>
    <row r="147" spans="1:81" x14ac:dyDescent="0.25">
      <c r="A147">
        <f t="shared" si="106"/>
        <v>56500</v>
      </c>
      <c r="B147">
        <f t="shared" si="138"/>
        <v>56.5</v>
      </c>
      <c r="C147">
        <f t="shared" si="107"/>
        <v>1.1043486416012267</v>
      </c>
      <c r="D147">
        <f t="shared" si="108"/>
        <v>0.43821354132091633</v>
      </c>
      <c r="F147">
        <f t="shared" si="109"/>
        <v>8.0904887253894567E-3</v>
      </c>
      <c r="G147">
        <f t="shared" si="110"/>
        <v>3.0719115115102072E-2</v>
      </c>
      <c r="H147">
        <f t="shared" si="111"/>
        <v>-3.1108735348848979</v>
      </c>
      <c r="J147">
        <f t="shared" si="112"/>
        <v>15</v>
      </c>
      <c r="M147">
        <f t="shared" si="113"/>
        <v>2.6444318083240503E-2</v>
      </c>
      <c r="N147">
        <f t="shared" si="114"/>
        <v>-1.5707963250000001</v>
      </c>
      <c r="O147">
        <f t="shared" si="115"/>
        <v>14.483771390438124</v>
      </c>
      <c r="P147">
        <f t="shared" si="116"/>
        <v>1.501698564435576</v>
      </c>
      <c r="Q147">
        <f t="shared" si="117"/>
        <v>12.270210932383396</v>
      </c>
      <c r="R147">
        <f t="shared" si="118"/>
        <v>1.4892076467094102</v>
      </c>
      <c r="S147">
        <f t="shared" si="119"/>
        <v>0.90809529893444063</v>
      </c>
      <c r="T147">
        <f t="shared" si="120"/>
        <v>-0.43208332843577951</v>
      </c>
      <c r="U147">
        <f t="shared" si="121"/>
        <v>0.94096795246691023</v>
      </c>
      <c r="V147">
        <f t="shared" si="122"/>
        <v>-0.34531772234630853</v>
      </c>
      <c r="X147">
        <f t="shared" si="139"/>
        <v>-5.3811092085747489</v>
      </c>
      <c r="Y147">
        <f t="shared" si="123"/>
        <v>-116.30763411551621</v>
      </c>
      <c r="Z147">
        <f t="shared" si="140"/>
        <v>63.692365884483792</v>
      </c>
      <c r="AC147">
        <v>1</v>
      </c>
      <c r="AD147">
        <f t="shared" si="124"/>
        <v>14.449208756553899</v>
      </c>
      <c r="AE147">
        <f t="shared" si="125"/>
        <v>-6.1553624005839696E-4</v>
      </c>
      <c r="AF147">
        <f t="shared" si="126"/>
        <v>1.7110998527490001E-3</v>
      </c>
      <c r="AG147">
        <f t="shared" si="141"/>
        <v>7290.6994662490461</v>
      </c>
      <c r="AH147">
        <f t="shared" si="142"/>
        <v>-3207.1125060494551</v>
      </c>
      <c r="AJ147">
        <f t="shared" si="127"/>
        <v>22100</v>
      </c>
      <c r="AK147">
        <f t="shared" si="128"/>
        <v>10191.303622973657</v>
      </c>
      <c r="AL147">
        <v>1</v>
      </c>
      <c r="AM147">
        <f t="shared" si="129"/>
        <v>12.229393947583052</v>
      </c>
      <c r="AN147">
        <f t="shared" si="143"/>
        <v>974.59711512157492</v>
      </c>
      <c r="AO147">
        <f t="shared" si="144"/>
        <v>-1727.428438026034</v>
      </c>
      <c r="AQ147">
        <f t="shared" si="130"/>
        <v>0.78308535630383713</v>
      </c>
      <c r="AR147">
        <f t="shared" si="131"/>
        <v>-88.488645262333591</v>
      </c>
      <c r="AT147">
        <f t="shared" si="104"/>
        <v>-278083.80087497213</v>
      </c>
      <c r="AU147">
        <f t="shared" si="105"/>
        <v>-647655.56162270287</v>
      </c>
      <c r="AV147">
        <f t="shared" si="145"/>
        <v>-1.976362484984268</v>
      </c>
      <c r="AW147">
        <f t="shared" si="146"/>
        <v>-143448.57876818482</v>
      </c>
      <c r="AX147">
        <f t="shared" si="147"/>
        <v>-96351.298794950548</v>
      </c>
      <c r="AY147">
        <f t="shared" si="155"/>
        <v>-2.5501284723174202</v>
      </c>
      <c r="BA147">
        <f t="shared" si="132"/>
        <v>4.0788057835811138</v>
      </c>
      <c r="BB147">
        <f t="shared" si="148"/>
        <v>12.210660528861521</v>
      </c>
      <c r="BC147">
        <f t="shared" si="149"/>
        <v>0.57376598733315221</v>
      </c>
      <c r="BD147">
        <f t="shared" si="133"/>
        <v>-147.12563046008927</v>
      </c>
      <c r="BF147">
        <f t="shared" si="134"/>
        <v>-5.2458951237129989</v>
      </c>
      <c r="BG147">
        <f t="shared" si="135"/>
        <v>-120.25776833974618</v>
      </c>
      <c r="BH147">
        <f t="shared" si="150"/>
        <v>59.742231660253822</v>
      </c>
      <c r="BI147">
        <f t="shared" si="151"/>
        <v>59.742231660253822</v>
      </c>
      <c r="BJ147">
        <f t="shared" si="136"/>
        <v>0</v>
      </c>
      <c r="BK147">
        <f t="shared" si="152"/>
        <v>0</v>
      </c>
      <c r="BM147">
        <f t="shared" si="153"/>
        <v>-17.456555652574519</v>
      </c>
      <c r="BN147">
        <f t="shared" si="137"/>
        <v>-153.13213787965688</v>
      </c>
      <c r="BQ147" s="56">
        <f t="shared" si="154"/>
        <v>29.112621329146656</v>
      </c>
      <c r="BR147" s="59"/>
      <c r="BS147" s="59"/>
      <c r="BT147" s="59">
        <v>2344.2289999999998</v>
      </c>
      <c r="BU147" s="59">
        <v>8.0662299999999991</v>
      </c>
      <c r="BV147" s="59">
        <v>-253.17099999999999</v>
      </c>
      <c r="BW147" s="61"/>
      <c r="BY147" s="59"/>
      <c r="BZ147" s="59"/>
      <c r="CA147" s="59"/>
      <c r="CC147" s="59"/>
    </row>
    <row r="148" spans="1:81" x14ac:dyDescent="0.25">
      <c r="A148">
        <f t="shared" si="106"/>
        <v>57000</v>
      </c>
      <c r="B148">
        <f t="shared" si="138"/>
        <v>57</v>
      </c>
      <c r="C148">
        <f t="shared" si="107"/>
        <v>1.1061146394042405</v>
      </c>
      <c r="D148">
        <f t="shared" si="108"/>
        <v>0.44160837338991288</v>
      </c>
      <c r="F148">
        <f t="shared" si="109"/>
        <v>7.9481090696716331E-3</v>
      </c>
      <c r="G148">
        <f t="shared" si="110"/>
        <v>3.0445489355701946E-2</v>
      </c>
      <c r="H148">
        <f t="shared" si="111"/>
        <v>-3.1111471606442982</v>
      </c>
      <c r="J148">
        <f t="shared" si="112"/>
        <v>15</v>
      </c>
      <c r="M148">
        <f t="shared" si="113"/>
        <v>2.6212350380755936E-2</v>
      </c>
      <c r="N148">
        <f t="shared" si="114"/>
        <v>-1.5707963250000001</v>
      </c>
      <c r="O148">
        <f t="shared" si="115"/>
        <v>14.61133802749856</v>
      </c>
      <c r="P148">
        <f t="shared" si="116"/>
        <v>1.5023027829087461</v>
      </c>
      <c r="Q148">
        <f t="shared" si="117"/>
        <v>12.37807878933566</v>
      </c>
      <c r="R148">
        <f t="shared" si="118"/>
        <v>1.4899202064105652</v>
      </c>
      <c r="S148">
        <f t="shared" si="119"/>
        <v>0.9066831054518395</v>
      </c>
      <c r="T148">
        <f t="shared" si="120"/>
        <v>-0.43544338656918735</v>
      </c>
      <c r="U148">
        <f t="shared" si="121"/>
        <v>0.94001107314802579</v>
      </c>
      <c r="V148">
        <f t="shared" si="122"/>
        <v>-0.34813356385002359</v>
      </c>
      <c r="X148">
        <f t="shared" si="139"/>
        <v>-5.4681418830505226</v>
      </c>
      <c r="Y148">
        <f t="shared" si="123"/>
        <v>-116.40720931906027</v>
      </c>
      <c r="Z148">
        <f t="shared" si="140"/>
        <v>63.592790680939729</v>
      </c>
      <c r="AC148">
        <v>1</v>
      </c>
      <c r="AD148">
        <f t="shared" si="124"/>
        <v>14.577077860594201</v>
      </c>
      <c r="AE148">
        <f t="shared" si="125"/>
        <v>-6.2647889230158405E-4</v>
      </c>
      <c r="AF148">
        <f t="shared" si="126"/>
        <v>1.726242329322E-3</v>
      </c>
      <c r="AG148">
        <f t="shared" si="141"/>
        <v>7275.8790414341256</v>
      </c>
      <c r="AH148">
        <f t="shared" si="142"/>
        <v>-3219.8171415371321</v>
      </c>
      <c r="AJ148">
        <f t="shared" si="127"/>
        <v>22100</v>
      </c>
      <c r="AK148">
        <f t="shared" si="128"/>
        <v>10281.492150610591</v>
      </c>
      <c r="AL148">
        <v>1</v>
      </c>
      <c r="AM148">
        <f t="shared" si="129"/>
        <v>12.337618672782902</v>
      </c>
      <c r="AN148">
        <f t="shared" si="143"/>
        <v>972.14597869048498</v>
      </c>
      <c r="AO148">
        <f t="shared" si="144"/>
        <v>-1712.4742287519464</v>
      </c>
      <c r="AQ148">
        <f t="shared" si="130"/>
        <v>0.76940832499807643</v>
      </c>
      <c r="AR148">
        <f t="shared" si="131"/>
        <v>-87.712549049780719</v>
      </c>
      <c r="AT148">
        <f t="shared" si="104"/>
        <v>-276820.24705224199</v>
      </c>
      <c r="AU148">
        <f t="shared" si="105"/>
        <v>-640663.25141573243</v>
      </c>
      <c r="AV148">
        <f t="shared" si="145"/>
        <v>-1.9786517296866279</v>
      </c>
      <c r="AW148">
        <f t="shared" si="146"/>
        <v>-140830.22079736137</v>
      </c>
      <c r="AX148">
        <f t="shared" si="147"/>
        <v>-95310.94332974279</v>
      </c>
      <c r="AY148">
        <f t="shared" si="155"/>
        <v>-2.5466218037549648</v>
      </c>
      <c r="BA148">
        <f t="shared" si="132"/>
        <v>4.1041248451794683</v>
      </c>
      <c r="BB148">
        <f t="shared" si="148"/>
        <v>12.264411265992656</v>
      </c>
      <c r="BC148">
        <f t="shared" si="149"/>
        <v>0.56797007406833688</v>
      </c>
      <c r="BD148">
        <f t="shared" si="133"/>
        <v>-147.45771182896655</v>
      </c>
      <c r="BF148">
        <f t="shared" si="134"/>
        <v>-5.332484384447902</v>
      </c>
      <c r="BG148">
        <f t="shared" si="135"/>
        <v>-120.4110177598896</v>
      </c>
      <c r="BH148">
        <f t="shared" si="150"/>
        <v>59.588982240110397</v>
      </c>
      <c r="BI148">
        <f t="shared" si="151"/>
        <v>59.588982240110397</v>
      </c>
      <c r="BJ148">
        <f t="shared" si="136"/>
        <v>0</v>
      </c>
      <c r="BK148">
        <f t="shared" si="152"/>
        <v>0</v>
      </c>
      <c r="BM148">
        <f t="shared" si="153"/>
        <v>-17.596895650440558</v>
      </c>
      <c r="BN148">
        <f t="shared" si="137"/>
        <v>-152.95330593092308</v>
      </c>
      <c r="BQ148" s="56">
        <f t="shared" si="154"/>
        <v>29.166372066277791</v>
      </c>
      <c r="BR148" s="59"/>
      <c r="BS148" s="59"/>
      <c r="BT148" s="59">
        <v>2398.8330000000001</v>
      </c>
      <c r="BU148" s="59">
        <v>7.8140200000000002</v>
      </c>
      <c r="BV148" s="59">
        <v>-252.65800000000002</v>
      </c>
      <c r="BW148" s="61"/>
      <c r="BY148" s="59"/>
      <c r="BZ148" s="59"/>
      <c r="CA148" s="59"/>
      <c r="CC148" s="59"/>
    </row>
    <row r="149" spans="1:81" x14ac:dyDescent="0.25">
      <c r="A149">
        <f t="shared" si="106"/>
        <v>57500</v>
      </c>
      <c r="B149">
        <f t="shared" si="138"/>
        <v>57.5</v>
      </c>
      <c r="C149">
        <f t="shared" si="107"/>
        <v>1.1078933443249899</v>
      </c>
      <c r="D149">
        <f t="shared" si="108"/>
        <v>0.44499234365840229</v>
      </c>
      <c r="F149">
        <f t="shared" si="109"/>
        <v>7.8094641071714752E-3</v>
      </c>
      <c r="G149">
        <f t="shared" si="110"/>
        <v>3.0176730449443058E-2</v>
      </c>
      <c r="H149">
        <f t="shared" si="111"/>
        <v>-3.1114159195505571</v>
      </c>
      <c r="J149">
        <f t="shared" si="112"/>
        <v>15</v>
      </c>
      <c r="M149">
        <f t="shared" si="113"/>
        <v>2.5984416899184147E-2</v>
      </c>
      <c r="N149">
        <f t="shared" si="114"/>
        <v>-1.5707963250000001</v>
      </c>
      <c r="O149">
        <f t="shared" si="115"/>
        <v>14.738909906526784</v>
      </c>
      <c r="P149">
        <f t="shared" si="116"/>
        <v>1.5028965420315374</v>
      </c>
      <c r="Q149">
        <f t="shared" si="117"/>
        <v>12.485952822556669</v>
      </c>
      <c r="R149">
        <f t="shared" si="118"/>
        <v>1.4906204539554659</v>
      </c>
      <c r="S149">
        <f t="shared" si="119"/>
        <v>0.9052651245890978</v>
      </c>
      <c r="T149">
        <f t="shared" si="120"/>
        <v>-0.43879297268940465</v>
      </c>
      <c r="U149">
        <f t="shared" si="121"/>
        <v>0.93904871499929443</v>
      </c>
      <c r="V149">
        <f t="shared" si="122"/>
        <v>-0.35094366203087374</v>
      </c>
      <c r="X149">
        <f t="shared" si="139"/>
        <v>-5.554512256968053</v>
      </c>
      <c r="Y149">
        <f t="shared" si="123"/>
        <v>-116.5075036486915</v>
      </c>
      <c r="Z149">
        <f t="shared" si="140"/>
        <v>63.492496351308503</v>
      </c>
      <c r="AC149">
        <v>1</v>
      </c>
      <c r="AD149">
        <f t="shared" si="124"/>
        <v>14.7049469646345</v>
      </c>
      <c r="AE149">
        <f t="shared" si="125"/>
        <v>-6.3751795557775081E-4</v>
      </c>
      <c r="AF149">
        <f t="shared" si="126"/>
        <v>1.7413848058949999E-3</v>
      </c>
      <c r="AG149">
        <f t="shared" si="141"/>
        <v>7260.9889673618673</v>
      </c>
      <c r="AH149">
        <f t="shared" si="142"/>
        <v>-3232.4910742815755</v>
      </c>
      <c r="AJ149">
        <f t="shared" si="127"/>
        <v>22100</v>
      </c>
      <c r="AK149">
        <f t="shared" si="128"/>
        <v>10371.680678247525</v>
      </c>
      <c r="AL149">
        <v>1</v>
      </c>
      <c r="AM149">
        <f t="shared" si="129"/>
        <v>12.445843397982751</v>
      </c>
      <c r="AN149">
        <f t="shared" si="143"/>
        <v>969.75795963530311</v>
      </c>
      <c r="AO149">
        <f t="shared" si="144"/>
        <v>-1697.7750213207353</v>
      </c>
      <c r="AQ149">
        <f t="shared" si="130"/>
        <v>0.75608649629517621</v>
      </c>
      <c r="AR149">
        <f t="shared" si="131"/>
        <v>-86.949947073945253</v>
      </c>
      <c r="AT149">
        <f t="shared" si="104"/>
        <v>-275574.99211781286</v>
      </c>
      <c r="AU149">
        <f t="shared" si="105"/>
        <v>-633786.64926727372</v>
      </c>
      <c r="AV149">
        <f t="shared" si="145"/>
        <v>-1.9809443405773508</v>
      </c>
      <c r="AW149">
        <f t="shared" si="146"/>
        <v>-138279.68377379587</v>
      </c>
      <c r="AX149">
        <f t="shared" si="147"/>
        <v>-94294.951576027146</v>
      </c>
      <c r="AY149">
        <f t="shared" si="155"/>
        <v>-2.5431078624403827</v>
      </c>
      <c r="BA149">
        <f t="shared" si="132"/>
        <v>4.1292021817387736</v>
      </c>
      <c r="BB149">
        <f t="shared" si="148"/>
        <v>12.317322962719448</v>
      </c>
      <c r="BC149">
        <f t="shared" si="149"/>
        <v>0.56216352186303187</v>
      </c>
      <c r="BD149">
        <f t="shared" si="133"/>
        <v>-147.79040276423308</v>
      </c>
      <c r="BF149">
        <f t="shared" si="134"/>
        <v>-5.4184681251082187</v>
      </c>
      <c r="BG149">
        <f t="shared" si="135"/>
        <v>-120.56522023160517</v>
      </c>
      <c r="BH149">
        <f t="shared" si="150"/>
        <v>59.434779768394833</v>
      </c>
      <c r="BI149">
        <f t="shared" si="151"/>
        <v>59.434779768394833</v>
      </c>
      <c r="BJ149">
        <f t="shared" si="136"/>
        <v>0</v>
      </c>
      <c r="BK149">
        <f t="shared" si="152"/>
        <v>0</v>
      </c>
      <c r="BM149">
        <f t="shared" si="153"/>
        <v>-17.735791087827664</v>
      </c>
      <c r="BN149">
        <f t="shared" si="137"/>
        <v>-152.77481746737212</v>
      </c>
      <c r="BQ149" s="56">
        <f t="shared" si="154"/>
        <v>29.219283763004583</v>
      </c>
      <c r="BR149" s="59"/>
      <c r="BS149" s="59"/>
      <c r="BT149" s="59">
        <v>2454.7089999999998</v>
      </c>
      <c r="BU149" s="59">
        <v>7.6423899999999998</v>
      </c>
      <c r="BV149" s="59">
        <v>-251.97399999999999</v>
      </c>
      <c r="BW149" s="61"/>
      <c r="BY149" s="59"/>
      <c r="BZ149" s="59"/>
      <c r="CA149" s="59"/>
      <c r="CC149" s="59"/>
    </row>
    <row r="150" spans="1:81" x14ac:dyDescent="0.25">
      <c r="A150">
        <f t="shared" si="106"/>
        <v>58000</v>
      </c>
      <c r="B150">
        <f t="shared" si="138"/>
        <v>58</v>
      </c>
      <c r="C150">
        <f t="shared" si="107"/>
        <v>1.1096846952590569</v>
      </c>
      <c r="D150">
        <f t="shared" si="108"/>
        <v>0.4483654270427046</v>
      </c>
      <c r="F150">
        <f t="shared" si="109"/>
        <v>7.6744240482370775E-3</v>
      </c>
      <c r="G150">
        <f t="shared" si="110"/>
        <v>2.9912708804463003E-2</v>
      </c>
      <c r="H150">
        <f t="shared" si="111"/>
        <v>-3.1116799411955371</v>
      </c>
      <c r="J150">
        <f t="shared" si="112"/>
        <v>15</v>
      </c>
      <c r="M150">
        <f t="shared" si="113"/>
        <v>2.576041330522566E-2</v>
      </c>
      <c r="N150">
        <f t="shared" si="114"/>
        <v>-1.5707963250000001</v>
      </c>
      <c r="O150">
        <f t="shared" si="115"/>
        <v>14.866486892576111</v>
      </c>
      <c r="P150">
        <f t="shared" si="116"/>
        <v>1.5034801106510343</v>
      </c>
      <c r="Q150">
        <f t="shared" si="117"/>
        <v>12.593832873335646</v>
      </c>
      <c r="R150">
        <f t="shared" si="118"/>
        <v>1.4913087050499447</v>
      </c>
      <c r="S150">
        <f t="shared" si="119"/>
        <v>0.9038414786870449</v>
      </c>
      <c r="T150">
        <f t="shared" si="120"/>
        <v>-0.44213206086503321</v>
      </c>
      <c r="U150">
        <f t="shared" si="121"/>
        <v>0.93808094035632106</v>
      </c>
      <c r="V150">
        <f t="shared" si="122"/>
        <v>-0.35374799019790742</v>
      </c>
      <c r="X150">
        <f t="shared" si="139"/>
        <v>-5.640233351544147</v>
      </c>
      <c r="Y150">
        <f t="shared" si="123"/>
        <v>-116.60848945921201</v>
      </c>
      <c r="Z150">
        <f t="shared" si="140"/>
        <v>63.391510540787991</v>
      </c>
      <c r="AC150">
        <v>1</v>
      </c>
      <c r="AD150">
        <f t="shared" si="124"/>
        <v>14.832816068674802</v>
      </c>
      <c r="AE150">
        <f t="shared" si="125"/>
        <v>-6.4865342988689714E-4</v>
      </c>
      <c r="AF150">
        <f t="shared" si="126"/>
        <v>1.7565272824680001E-3</v>
      </c>
      <c r="AG150">
        <f t="shared" si="141"/>
        <v>7246.0304675242005</v>
      </c>
      <c r="AH150">
        <f t="shared" si="142"/>
        <v>-3245.131785152545</v>
      </c>
      <c r="AJ150">
        <f t="shared" si="127"/>
        <v>22100</v>
      </c>
      <c r="AK150">
        <f t="shared" si="128"/>
        <v>10461.869205884463</v>
      </c>
      <c r="AL150">
        <v>1</v>
      </c>
      <c r="AM150">
        <f t="shared" si="129"/>
        <v>12.554068123182601</v>
      </c>
      <c r="AN150">
        <f t="shared" si="143"/>
        <v>967.43091389635663</v>
      </c>
      <c r="AO150">
        <f t="shared" si="144"/>
        <v>-1683.3243916432002</v>
      </c>
      <c r="AQ150">
        <f t="shared" si="130"/>
        <v>0.74310767630229624</v>
      </c>
      <c r="AR150">
        <f t="shared" si="131"/>
        <v>-86.200490451066358</v>
      </c>
      <c r="AT150">
        <f t="shared" ref="AT150:AT213" si="156">-AR150*AH150+AG150*AQ150</f>
        <v>-274347.37059535633</v>
      </c>
      <c r="AU150">
        <f t="shared" ref="AU150:AU213" si="157">AQ150*AH150+AG150*AR150</f>
        <v>-627022.86246411526</v>
      </c>
      <c r="AV150">
        <f t="shared" si="145"/>
        <v>-1.9832400570245299</v>
      </c>
      <c r="AW150">
        <f t="shared" si="146"/>
        <v>-135794.66821120938</v>
      </c>
      <c r="AX150">
        <f t="shared" si="147"/>
        <v>-93302.485529454862</v>
      </c>
      <c r="AY150">
        <f t="shared" si="155"/>
        <v>-2.5395871361457556</v>
      </c>
      <c r="BA150">
        <f t="shared" si="132"/>
        <v>4.1540369011952079</v>
      </c>
      <c r="BB150">
        <f t="shared" si="148"/>
        <v>12.369407002933331</v>
      </c>
      <c r="BC150">
        <f t="shared" si="149"/>
        <v>0.55634707912122572</v>
      </c>
      <c r="BD150">
        <f t="shared" si="133"/>
        <v>-148.12366038549885</v>
      </c>
      <c r="BF150">
        <f t="shared" si="134"/>
        <v>-5.5038600429758802</v>
      </c>
      <c r="BG150">
        <f t="shared" si="135"/>
        <v>-120.72034173675864</v>
      </c>
      <c r="BH150">
        <f t="shared" si="150"/>
        <v>59.279658263241359</v>
      </c>
      <c r="BI150">
        <f t="shared" si="151"/>
        <v>59.279658263241359</v>
      </c>
      <c r="BJ150">
        <f t="shared" si="136"/>
        <v>0</v>
      </c>
      <c r="BK150">
        <f t="shared" si="152"/>
        <v>0</v>
      </c>
      <c r="BM150">
        <f t="shared" si="153"/>
        <v>-17.873267045909213</v>
      </c>
      <c r="BN150">
        <f t="shared" si="137"/>
        <v>-152.59668135125978</v>
      </c>
      <c r="BQ150" s="56">
        <f t="shared" si="154"/>
        <v>29.271367803218467</v>
      </c>
      <c r="BR150" s="59"/>
      <c r="BS150" s="59"/>
      <c r="BT150" s="59">
        <v>2511.886</v>
      </c>
      <c r="BU150" s="59">
        <v>7.45716</v>
      </c>
      <c r="BV150" s="59">
        <v>-252.25200000000001</v>
      </c>
      <c r="BW150" s="61"/>
      <c r="BY150" s="59"/>
      <c r="BZ150" s="59"/>
      <c r="CA150" s="59"/>
      <c r="CC150" s="59"/>
    </row>
    <row r="151" spans="1:81" x14ac:dyDescent="0.25">
      <c r="A151">
        <f t="shared" si="106"/>
        <v>58500</v>
      </c>
      <c r="B151">
        <f t="shared" si="138"/>
        <v>58.5</v>
      </c>
      <c r="C151">
        <f t="shared" si="107"/>
        <v>1.1114886310629091</v>
      </c>
      <c r="D151">
        <f t="shared" si="108"/>
        <v>0.45172759961119735</v>
      </c>
      <c r="F151">
        <f t="shared" si="109"/>
        <v>7.5428647055526725E-3</v>
      </c>
      <c r="G151">
        <f t="shared" si="110"/>
        <v>2.9653299418758342E-2</v>
      </c>
      <c r="H151">
        <f t="shared" si="111"/>
        <v>-3.1119393505812418</v>
      </c>
      <c r="J151">
        <f t="shared" si="112"/>
        <v>15</v>
      </c>
      <c r="M151">
        <f t="shared" si="113"/>
        <v>2.5540238832531426E-2</v>
      </c>
      <c r="N151">
        <f t="shared" si="114"/>
        <v>-1.5707963250000001</v>
      </c>
      <c r="O151">
        <f t="shared" si="115"/>
        <v>14.994068855287326</v>
      </c>
      <c r="P151">
        <f t="shared" si="116"/>
        <v>1.504053748492342</v>
      </c>
      <c r="Q151">
        <f t="shared" si="117"/>
        <v>12.70171878834504</v>
      </c>
      <c r="R151">
        <f t="shared" si="118"/>
        <v>1.491985264720024</v>
      </c>
      <c r="S151">
        <f t="shared" si="119"/>
        <v>0.9024122894418164</v>
      </c>
      <c r="T151">
        <f t="shared" si="120"/>
        <v>-0.44546062626331784</v>
      </c>
      <c r="U151">
        <f t="shared" si="121"/>
        <v>0.93710781154196199</v>
      </c>
      <c r="V151">
        <f t="shared" si="122"/>
        <v>-0.35654652213267757</v>
      </c>
      <c r="X151">
        <f t="shared" si="139"/>
        <v>-5.7253178117098456</v>
      </c>
      <c r="Y151">
        <f t="shared" si="123"/>
        <v>-116.7101400010155</v>
      </c>
      <c r="Z151">
        <f t="shared" si="140"/>
        <v>63.289859998984497</v>
      </c>
      <c r="AC151">
        <v>1</v>
      </c>
      <c r="AD151">
        <f t="shared" si="124"/>
        <v>14.960685172715101</v>
      </c>
      <c r="AE151">
        <f t="shared" si="125"/>
        <v>-6.5988531522902293E-4</v>
      </c>
      <c r="AF151">
        <f t="shared" si="126"/>
        <v>1.771669759041E-3</v>
      </c>
      <c r="AG151">
        <f t="shared" si="141"/>
        <v>7231.0047627030362</v>
      </c>
      <c r="AH151">
        <f t="shared" si="142"/>
        <v>-3257.7368484197805</v>
      </c>
      <c r="AJ151">
        <f t="shared" si="127"/>
        <v>22100</v>
      </c>
      <c r="AK151">
        <f t="shared" si="128"/>
        <v>10552.057733521397</v>
      </c>
      <c r="AL151">
        <v>1</v>
      </c>
      <c r="AM151">
        <f t="shared" si="129"/>
        <v>12.662292848382451</v>
      </c>
      <c r="AN151">
        <f t="shared" si="143"/>
        <v>965.16278749826449</v>
      </c>
      <c r="AO151">
        <f t="shared" si="144"/>
        <v>-1669.1161281427492</v>
      </c>
      <c r="AQ151">
        <f t="shared" si="130"/>
        <v>0.73046018991964934</v>
      </c>
      <c r="AR151">
        <f t="shared" si="131"/>
        <v>-85.463842220598977</v>
      </c>
      <c r="AT151">
        <f t="shared" si="156"/>
        <v>-273136.74689730554</v>
      </c>
      <c r="AU151">
        <f t="shared" si="157"/>
        <v>-620369.09721305699</v>
      </c>
      <c r="AV151">
        <f t="shared" si="145"/>
        <v>-1.9855386267975172</v>
      </c>
      <c r="AW151">
        <f t="shared" si="146"/>
        <v>-133372.97102767488</v>
      </c>
      <c r="AX151">
        <f t="shared" si="147"/>
        <v>-92332.744358058379</v>
      </c>
      <c r="AY151">
        <f t="shared" si="155"/>
        <v>-2.5360601008978136</v>
      </c>
      <c r="BA151">
        <f t="shared" si="132"/>
        <v>4.1786281564091601</v>
      </c>
      <c r="BB151">
        <f t="shared" si="148"/>
        <v>12.420674525984944</v>
      </c>
      <c r="BC151">
        <f t="shared" si="149"/>
        <v>0.55052147410029639</v>
      </c>
      <c r="BD151">
        <f t="shared" si="133"/>
        <v>-148.45744296668974</v>
      </c>
      <c r="BF151">
        <f t="shared" si="134"/>
        <v>-5.5886734368389934</v>
      </c>
      <c r="BG151">
        <f t="shared" si="135"/>
        <v>-120.87634908254404</v>
      </c>
      <c r="BH151">
        <f t="shared" si="150"/>
        <v>59.123650917455961</v>
      </c>
      <c r="BI151">
        <f t="shared" si="151"/>
        <v>59.123650917455961</v>
      </c>
      <c r="BJ151">
        <f t="shared" si="136"/>
        <v>0</v>
      </c>
      <c r="BK151">
        <f t="shared" si="152"/>
        <v>0</v>
      </c>
      <c r="BM151">
        <f t="shared" si="153"/>
        <v>-18.009347962823941</v>
      </c>
      <c r="BN151">
        <f t="shared" si="137"/>
        <v>-152.41890611585433</v>
      </c>
      <c r="BQ151" s="56">
        <f t="shared" si="154"/>
        <v>29.322635326270081</v>
      </c>
      <c r="BR151" s="59"/>
      <c r="BS151" s="59"/>
      <c r="BT151" s="59">
        <v>2570.3960000000002</v>
      </c>
      <c r="BU151" s="59">
        <v>7.31271</v>
      </c>
      <c r="BV151" s="59">
        <v>-251.702</v>
      </c>
      <c r="BW151" s="61"/>
      <c r="BY151" s="59"/>
      <c r="BZ151" s="59"/>
      <c r="CA151" s="59"/>
      <c r="CC151" s="59"/>
    </row>
    <row r="152" spans="1:81" x14ac:dyDescent="0.25">
      <c r="A152">
        <f t="shared" si="106"/>
        <v>59000</v>
      </c>
      <c r="B152">
        <f t="shared" si="138"/>
        <v>59</v>
      </c>
      <c r="C152">
        <f t="shared" si="107"/>
        <v>1.1133050905611417</v>
      </c>
      <c r="D152">
        <f t="shared" si="108"/>
        <v>0.45507883857351317</v>
      </c>
      <c r="F152">
        <f t="shared" si="109"/>
        <v>7.4146672057978412E-3</v>
      </c>
      <c r="G152">
        <f t="shared" si="110"/>
        <v>2.9398381677568829E-2</v>
      </c>
      <c r="H152">
        <f t="shared" si="111"/>
        <v>-3.1121942683224315</v>
      </c>
      <c r="J152">
        <f t="shared" si="112"/>
        <v>15</v>
      </c>
      <c r="M152">
        <f t="shared" si="113"/>
        <v>2.5323796130560818E-2</v>
      </c>
      <c r="N152">
        <f t="shared" si="114"/>
        <v>-1.5707963250000001</v>
      </c>
      <c r="O152">
        <f t="shared" si="115"/>
        <v>15.121655668695595</v>
      </c>
      <c r="P152">
        <f t="shared" si="116"/>
        <v>1.5046177065416506</v>
      </c>
      <c r="Q152">
        <f t="shared" si="117"/>
        <v>12.809610419414573</v>
      </c>
      <c r="R152">
        <f t="shared" si="118"/>
        <v>1.4926504277587991</v>
      </c>
      <c r="S152">
        <f t="shared" si="119"/>
        <v>0.90097767788757743</v>
      </c>
      <c r="T152">
        <f t="shared" si="120"/>
        <v>-0.44877864514043642</v>
      </c>
      <c r="U152">
        <f t="shared" si="121"/>
        <v>0.93612939085758384</v>
      </c>
      <c r="V152">
        <f t="shared" si="122"/>
        <v>-0.35933923208815699</v>
      </c>
      <c r="X152">
        <f t="shared" si="139"/>
        <v>-5.8097779202156499</v>
      </c>
      <c r="Y152">
        <f t="shared" si="123"/>
        <v>-116.81242938414408</v>
      </c>
      <c r="Z152">
        <f t="shared" si="140"/>
        <v>63.187570615855918</v>
      </c>
      <c r="AC152">
        <v>1</v>
      </c>
      <c r="AD152">
        <f t="shared" si="124"/>
        <v>15.088554276755401</v>
      </c>
      <c r="AE152">
        <f t="shared" si="125"/>
        <v>-6.712136116041286E-4</v>
      </c>
      <c r="AF152">
        <f t="shared" si="126"/>
        <v>1.7868122356139999E-3</v>
      </c>
      <c r="AG152">
        <f t="shared" si="141"/>
        <v>7215.9130707812401</v>
      </c>
      <c r="AH152">
        <f t="shared" si="142"/>
        <v>-3270.3039282986265</v>
      </c>
      <c r="AJ152">
        <f t="shared" si="127"/>
        <v>22100</v>
      </c>
      <c r="AK152">
        <f t="shared" si="128"/>
        <v>10642.246261158331</v>
      </c>
      <c r="AL152">
        <v>1</v>
      </c>
      <c r="AM152">
        <f t="shared" si="129"/>
        <v>12.770517573582303</v>
      </c>
      <c r="AN152">
        <f t="shared" si="143"/>
        <v>962.95161205524482</v>
      </c>
      <c r="AO152">
        <f t="shared" si="144"/>
        <v>-1655.1442231025821</v>
      </c>
      <c r="AQ152">
        <f t="shared" si="130"/>
        <v>0.71813285457809695</v>
      </c>
      <c r="AR152">
        <f t="shared" si="131"/>
        <v>-84.739676840215438</v>
      </c>
      <c r="AT152">
        <f t="shared" si="156"/>
        <v>-271942.51380140515</v>
      </c>
      <c r="AU152">
        <f t="shared" si="157"/>
        <v>-613822.65442045603</v>
      </c>
      <c r="AV152">
        <f t="shared" si="145"/>
        <v>-1.9878398057333289</v>
      </c>
      <c r="AW152">
        <f t="shared" si="146"/>
        <v>-131012.48074524727</v>
      </c>
      <c r="AX152">
        <f t="shared" si="147"/>
        <v>-91384.962406503677</v>
      </c>
      <c r="AY152">
        <f t="shared" si="155"/>
        <v>-2.5325272214202359</v>
      </c>
      <c r="BA152">
        <f t="shared" si="132"/>
        <v>4.20297514518216</v>
      </c>
      <c r="BB152">
        <f t="shared" si="148"/>
        <v>12.471136435168681</v>
      </c>
      <c r="BC152">
        <f t="shared" si="149"/>
        <v>0.54468741568690704</v>
      </c>
      <c r="BD152">
        <f t="shared" si="133"/>
        <v>-148.79170989159169</v>
      </c>
      <c r="BF152">
        <f t="shared" si="134"/>
        <v>-5.6729212209658382</v>
      </c>
      <c r="BG152">
        <f t="shared" si="135"/>
        <v>-121.03320986925597</v>
      </c>
      <c r="BH152">
        <f t="shared" si="150"/>
        <v>58.96679013074403</v>
      </c>
      <c r="BI152">
        <f t="shared" si="151"/>
        <v>58.96679013074403</v>
      </c>
      <c r="BJ152">
        <f t="shared" si="136"/>
        <v>0</v>
      </c>
      <c r="BK152">
        <f t="shared" si="152"/>
        <v>0</v>
      </c>
      <c r="BM152">
        <f t="shared" si="153"/>
        <v>-18.144057656134521</v>
      </c>
      <c r="BN152">
        <f t="shared" si="137"/>
        <v>-152.24149997766429</v>
      </c>
      <c r="BQ152" s="56">
        <f t="shared" si="154"/>
        <v>29.37309723545382</v>
      </c>
      <c r="BR152" s="59"/>
      <c r="BS152" s="59"/>
      <c r="BT152" s="59">
        <v>2630.268</v>
      </c>
      <c r="BU152" s="59">
        <v>7.13504</v>
      </c>
      <c r="BV152" s="59">
        <v>-251.40100000000001</v>
      </c>
      <c r="BW152" s="61"/>
      <c r="BY152" s="59"/>
      <c r="BZ152" s="59"/>
      <c r="CA152" s="59"/>
      <c r="CC152" s="59"/>
    </row>
    <row r="153" spans="1:81" x14ac:dyDescent="0.25">
      <c r="A153">
        <f t="shared" si="106"/>
        <v>59500</v>
      </c>
      <c r="B153">
        <f t="shared" si="138"/>
        <v>59.5</v>
      </c>
      <c r="C153">
        <f t="shared" si="107"/>
        <v>1.1151340125536222</v>
      </c>
      <c r="D153">
        <f t="shared" si="108"/>
        <v>0.45841912226959497</v>
      </c>
      <c r="F153">
        <f t="shared" si="109"/>
        <v>7.2897177185098786E-3</v>
      </c>
      <c r="G153">
        <f t="shared" si="110"/>
        <v>2.914783916145838E-2</v>
      </c>
      <c r="H153">
        <f t="shared" si="111"/>
        <v>-3.1124448108385416</v>
      </c>
      <c r="J153">
        <f t="shared" si="112"/>
        <v>15</v>
      </c>
      <c r="M153">
        <f t="shared" si="113"/>
        <v>2.511099112106031E-2</v>
      </c>
      <c r="N153">
        <f t="shared" si="114"/>
        <v>-1.5707963250000001</v>
      </c>
      <c r="O153">
        <f t="shared" si="115"/>
        <v>15.249247211047042</v>
      </c>
      <c r="P153">
        <f t="shared" si="116"/>
        <v>1.5051722274101842</v>
      </c>
      <c r="Q153">
        <f t="shared" si="117"/>
        <v>12.917507623316528</v>
      </c>
      <c r="R153">
        <f t="shared" si="118"/>
        <v>1.493304479151115</v>
      </c>
      <c r="S153">
        <f t="shared" si="119"/>
        <v>0.89953776437976518</v>
      </c>
      <c r="T153">
        <f t="shared" si="120"/>
        <v>-0.45208609483164697</v>
      </c>
      <c r="U153">
        <f t="shared" si="121"/>
        <v>0.93514574057442312</v>
      </c>
      <c r="V153">
        <f t="shared" si="122"/>
        <v>-0.36212609478758162</v>
      </c>
      <c r="X153">
        <f t="shared" si="139"/>
        <v>-5.8936256110787797</v>
      </c>
      <c r="Y153">
        <f t="shared" si="123"/>
        <v>-116.91533254409596</v>
      </c>
      <c r="Z153">
        <f t="shared" si="140"/>
        <v>63.084667455904039</v>
      </c>
      <c r="AC153">
        <v>1</v>
      </c>
      <c r="AD153">
        <f t="shared" si="124"/>
        <v>15.2164233807957</v>
      </c>
      <c r="AE153">
        <f t="shared" si="125"/>
        <v>-6.8263831901221373E-4</v>
      </c>
      <c r="AF153">
        <f t="shared" si="126"/>
        <v>1.8019547121870001E-3</v>
      </c>
      <c r="AG153">
        <f t="shared" si="141"/>
        <v>7200.7566065566871</v>
      </c>
      <c r="AH153">
        <f t="shared" si="142"/>
        <v>-3282.8307756616136</v>
      </c>
      <c r="AJ153">
        <f t="shared" si="127"/>
        <v>22100</v>
      </c>
      <c r="AK153">
        <f t="shared" si="128"/>
        <v>10732.434788795266</v>
      </c>
      <c r="AL153">
        <v>1</v>
      </c>
      <c r="AM153">
        <f t="shared" si="129"/>
        <v>12.878742298782152</v>
      </c>
      <c r="AN153">
        <f t="shared" si="143"/>
        <v>960.79550053536082</v>
      </c>
      <c r="AO153">
        <f t="shared" si="144"/>
        <v>-1641.4028644290536</v>
      </c>
      <c r="AQ153">
        <f t="shared" si="130"/>
        <v>0.70611495551475778</v>
      </c>
      <c r="AR153">
        <f t="shared" si="131"/>
        <v>-84.02767970625618</v>
      </c>
      <c r="AT153">
        <f t="shared" si="156"/>
        <v>-270764.09101622325</v>
      </c>
      <c r="AU153">
        <f t="shared" si="157"/>
        <v>-607380.92568557232</v>
      </c>
      <c r="AV153">
        <f t="shared" si="145"/>
        <v>-1.9901433574195435</v>
      </c>
      <c r="AW153">
        <f t="shared" si="146"/>
        <v>-128711.17296553249</v>
      </c>
      <c r="AX153">
        <f t="shared" si="147"/>
        <v>-90458.407325014734</v>
      </c>
      <c r="AY153">
        <f t="shared" si="155"/>
        <v>-2.5289889515513306</v>
      </c>
      <c r="BA153">
        <f t="shared" si="132"/>
        <v>4.2270771102612432</v>
      </c>
      <c r="BB153">
        <f t="shared" si="148"/>
        <v>12.520803405861216</v>
      </c>
      <c r="BC153">
        <f t="shared" si="149"/>
        <v>0.53884559413178712</v>
      </c>
      <c r="BD153">
        <f t="shared" si="133"/>
        <v>-149.12642161175108</v>
      </c>
      <c r="BF153">
        <f t="shared" si="134"/>
        <v>-5.7566159384361448</v>
      </c>
      <c r="BG153">
        <f t="shared" si="135"/>
        <v>-121.19089245981291</v>
      </c>
      <c r="BH153">
        <f t="shared" si="150"/>
        <v>58.809107540187085</v>
      </c>
      <c r="BI153">
        <f t="shared" si="151"/>
        <v>58.809107540187085</v>
      </c>
      <c r="BJ153">
        <f t="shared" si="136"/>
        <v>0</v>
      </c>
      <c r="BK153">
        <f t="shared" si="152"/>
        <v>0</v>
      </c>
      <c r="BM153">
        <f t="shared" si="153"/>
        <v>-18.27741934429736</v>
      </c>
      <c r="BN153">
        <f t="shared" si="137"/>
        <v>-152.06447084806186</v>
      </c>
      <c r="BQ153" s="56">
        <f t="shared" si="154"/>
        <v>29.422764206146354</v>
      </c>
      <c r="BR153" s="59"/>
      <c r="BS153" s="59"/>
      <c r="BT153" s="59">
        <v>2691.5349999999999</v>
      </c>
      <c r="BU153" s="59">
        <v>6.8809300000000002</v>
      </c>
      <c r="BV153" s="59">
        <v>-251.244</v>
      </c>
      <c r="BW153" s="61"/>
      <c r="BY153" s="59"/>
      <c r="BZ153" s="59"/>
      <c r="CA153" s="59"/>
      <c r="CC153" s="59"/>
    </row>
    <row r="154" spans="1:81" x14ac:dyDescent="0.25">
      <c r="A154">
        <f t="shared" si="106"/>
        <v>60000</v>
      </c>
      <c r="B154">
        <f t="shared" si="138"/>
        <v>60</v>
      </c>
      <c r="C154">
        <f t="shared" si="107"/>
        <v>1.1169753358225376</v>
      </c>
      <c r="D154">
        <f t="shared" si="108"/>
        <v>0.46174843015861505</v>
      </c>
      <c r="F154">
        <f t="shared" si="109"/>
        <v>7.1679072009837733E-3</v>
      </c>
      <c r="G154">
        <f t="shared" si="110"/>
        <v>2.8901559464436507E-2</v>
      </c>
      <c r="H154">
        <f t="shared" si="111"/>
        <v>-3.1126910905355638</v>
      </c>
      <c r="J154">
        <f t="shared" si="112"/>
        <v>15</v>
      </c>
      <c r="M154">
        <f t="shared" si="113"/>
        <v>2.4901732861718137E-2</v>
      </c>
      <c r="N154">
        <f t="shared" si="114"/>
        <v>-1.5707963250000001</v>
      </c>
      <c r="O154">
        <f t="shared" si="115"/>
        <v>15.376843364624435</v>
      </c>
      <c r="P154">
        <f t="shared" si="116"/>
        <v>1.5057175456801364</v>
      </c>
      <c r="Q154">
        <f t="shared" si="117"/>
        <v>13.025410261561666</v>
      </c>
      <c r="R154">
        <f t="shared" si="118"/>
        <v>1.4939476944773098</v>
      </c>
      <c r="S154">
        <f t="shared" si="119"/>
        <v>0.89809266857885062</v>
      </c>
      <c r="T154">
        <f t="shared" si="120"/>
        <v>-0.45538295374130011</v>
      </c>
      <c r="U154">
        <f t="shared" si="121"/>
        <v>0.93415692292505215</v>
      </c>
      <c r="V154">
        <f t="shared" si="122"/>
        <v>-0.36490708542322242</v>
      </c>
      <c r="X154">
        <f t="shared" si="139"/>
        <v>-5.9768724824091652</v>
      </c>
      <c r="Y154">
        <f t="shared" si="123"/>
        <v>-117.01882520928504</v>
      </c>
      <c r="Z154">
        <f t="shared" si="140"/>
        <v>62.981174790714959</v>
      </c>
      <c r="AC154">
        <v>1</v>
      </c>
      <c r="AD154">
        <f t="shared" si="124"/>
        <v>15.344292484836002</v>
      </c>
      <c r="AE154">
        <f t="shared" si="125"/>
        <v>-6.9415943745327854E-4</v>
      </c>
      <c r="AF154">
        <f t="shared" si="126"/>
        <v>1.81709718876E-3</v>
      </c>
      <c r="AG154">
        <f t="shared" si="141"/>
        <v>7185.5365815594523</v>
      </c>
      <c r="AH154">
        <f t="shared" si="142"/>
        <v>-3295.3152249062991</v>
      </c>
      <c r="AJ154">
        <f t="shared" si="127"/>
        <v>22100</v>
      </c>
      <c r="AK154">
        <f t="shared" si="128"/>
        <v>10822.623316432202</v>
      </c>
      <c r="AL154">
        <v>1</v>
      </c>
      <c r="AM154">
        <f t="shared" si="129"/>
        <v>12.986967023982002</v>
      </c>
      <c r="AN154">
        <f t="shared" si="143"/>
        <v>958.69264326682662</v>
      </c>
      <c r="AO154">
        <f t="shared" si="144"/>
        <v>-1627.8864278082169</v>
      </c>
      <c r="AQ154">
        <f t="shared" si="130"/>
        <v>0.69439622248454969</v>
      </c>
      <c r="AR154">
        <f t="shared" si="131"/>
        <v>-83.327546698145966</v>
      </c>
      <c r="AT154">
        <f t="shared" si="156"/>
        <v>-269600.92382973159</v>
      </c>
      <c r="AU154">
        <f t="shared" si="157"/>
        <v>-601041.38949520211</v>
      </c>
      <c r="AV154">
        <f t="shared" si="145"/>
        <v>-1.9924490528927432</v>
      </c>
      <c r="AW154">
        <f t="shared" si="146"/>
        <v>-126467.10610325652</v>
      </c>
      <c r="AX154">
        <f t="shared" si="147"/>
        <v>-89552.378314142843</v>
      </c>
      <c r="AY154">
        <f t="shared" si="155"/>
        <v>-2.5254457346385419</v>
      </c>
      <c r="BA154">
        <f t="shared" si="132"/>
        <v>4.2509333393303086</v>
      </c>
      <c r="BB154">
        <f t="shared" si="148"/>
        <v>12.569685893329767</v>
      </c>
      <c r="BC154">
        <f t="shared" si="149"/>
        <v>0.53299668174579873</v>
      </c>
      <c r="BD154">
        <f t="shared" si="133"/>
        <v>-149.46153960659294</v>
      </c>
      <c r="BF154">
        <f t="shared" si="134"/>
        <v>-5.8397697738659833</v>
      </c>
      <c r="BG154">
        <f t="shared" si="135"/>
        <v>-121.3493659509316</v>
      </c>
      <c r="BH154">
        <f t="shared" si="150"/>
        <v>58.650634049068401</v>
      </c>
      <c r="BI154">
        <f t="shared" si="151"/>
        <v>58.650634049068401</v>
      </c>
      <c r="BJ154">
        <f t="shared" si="136"/>
        <v>0</v>
      </c>
      <c r="BK154">
        <f t="shared" si="152"/>
        <v>0</v>
      </c>
      <c r="BM154">
        <f t="shared" si="153"/>
        <v>-18.409455667195751</v>
      </c>
      <c r="BN154">
        <f t="shared" si="137"/>
        <v>-151.88782634433869</v>
      </c>
      <c r="BQ154" s="56">
        <f t="shared" si="154"/>
        <v>29.471646693614908</v>
      </c>
      <c r="BR154" s="59"/>
      <c r="BS154" s="59"/>
      <c r="BT154" s="59">
        <v>2754.2289999999998</v>
      </c>
      <c r="BU154" s="59">
        <v>6.7009400000000001</v>
      </c>
      <c r="BV154" s="59">
        <v>-251.05099999999999</v>
      </c>
      <c r="BW154" s="61"/>
      <c r="BY154" s="59"/>
      <c r="BZ154" s="59"/>
      <c r="CA154" s="59"/>
      <c r="CC154" s="59"/>
    </row>
    <row r="155" spans="1:81" x14ac:dyDescent="0.25">
      <c r="A155">
        <f t="shared" si="106"/>
        <v>60500</v>
      </c>
      <c r="B155">
        <f t="shared" si="138"/>
        <v>60.5</v>
      </c>
      <c r="C155">
        <f t="shared" si="107"/>
        <v>1.1188289991393401</v>
      </c>
      <c r="D155">
        <f t="shared" si="108"/>
        <v>0.46506674280776694</v>
      </c>
      <c r="F155">
        <f t="shared" si="109"/>
        <v>7.0491311581326018E-3</v>
      </c>
      <c r="G155">
        <f t="shared" si="110"/>
        <v>2.8659434021509798E-2</v>
      </c>
      <c r="H155">
        <f t="shared" si="111"/>
        <v>-3.1129332159784906</v>
      </c>
      <c r="J155">
        <f t="shared" si="112"/>
        <v>15</v>
      </c>
      <c r="M155">
        <f t="shared" si="113"/>
        <v>2.4695933416579972E-2</v>
      </c>
      <c r="N155">
        <f t="shared" si="114"/>
        <v>-1.5707963250000001</v>
      </c>
      <c r="O155">
        <f t="shared" si="115"/>
        <v>15.50444401558144</v>
      </c>
      <c r="P155">
        <f t="shared" si="116"/>
        <v>1.5062538882336256</v>
      </c>
      <c r="Q155">
        <f t="shared" si="117"/>
        <v>13.133318200205172</v>
      </c>
      <c r="R155">
        <f t="shared" si="118"/>
        <v>1.494580340297218</v>
      </c>
      <c r="S155">
        <f t="shared" si="119"/>
        <v>0.89664250943461499</v>
      </c>
      <c r="T155">
        <f t="shared" si="120"/>
        <v>-0.45866920133272254</v>
      </c>
      <c r="U155">
        <f t="shared" si="121"/>
        <v>0.93316300009495146</v>
      </c>
      <c r="V155">
        <f t="shared" si="122"/>
        <v>-0.36768217965508693</v>
      </c>
      <c r="X155">
        <f t="shared" si="139"/>
        <v>-6.0595298086485503</v>
      </c>
      <c r="Y155">
        <f t="shared" si="123"/>
        <v>-117.12288387006001</v>
      </c>
      <c r="Z155">
        <f t="shared" si="140"/>
        <v>62.877116129939992</v>
      </c>
      <c r="AC155">
        <v>1</v>
      </c>
      <c r="AD155">
        <f t="shared" si="124"/>
        <v>15.4721615888763</v>
      </c>
      <c r="AE155">
        <f t="shared" si="125"/>
        <v>-7.0577696692732312E-4</v>
      </c>
      <c r="AF155">
        <f t="shared" si="126"/>
        <v>1.8322396653330001E-3</v>
      </c>
      <c r="AG155">
        <f t="shared" si="141"/>
        <v>7170.2542038721413</v>
      </c>
      <c r="AH155">
        <f t="shared" si="142"/>
        <v>-3307.7551909702183</v>
      </c>
      <c r="AJ155">
        <f t="shared" si="127"/>
        <v>22100</v>
      </c>
      <c r="AK155">
        <f t="shared" si="128"/>
        <v>10912.811844069136</v>
      </c>
      <c r="AL155">
        <v>1</v>
      </c>
      <c r="AM155">
        <f t="shared" si="129"/>
        <v>13.095191749181851</v>
      </c>
      <c r="AN155">
        <f t="shared" si="143"/>
        <v>956.64130417073375</v>
      </c>
      <c r="AO155">
        <f t="shared" si="144"/>
        <v>-1614.5894692340216</v>
      </c>
      <c r="AQ155">
        <f t="shared" si="130"/>
        <v>0.68296680781314023</v>
      </c>
      <c r="AR155">
        <f t="shared" si="131"/>
        <v>-82.638983745389979</v>
      </c>
      <c r="AT155">
        <f t="shared" si="156"/>
        <v>-268452.48183548986</v>
      </c>
      <c r="AU155">
        <f t="shared" si="157"/>
        <v>-594801.60760790831</v>
      </c>
      <c r="AV155">
        <f t="shared" si="145"/>
        <v>-1.9947566703516031</v>
      </c>
      <c r="AW155">
        <f t="shared" si="146"/>
        <v>-124278.41736119862</v>
      </c>
      <c r="AX155">
        <f t="shared" si="147"/>
        <v>-88666.2044772503</v>
      </c>
      <c r="AY155">
        <f t="shared" si="155"/>
        <v>-2.5218980039111782</v>
      </c>
      <c r="BA155">
        <f t="shared" si="132"/>
        <v>4.2745431649877714</v>
      </c>
      <c r="BB155">
        <f t="shared" si="148"/>
        <v>12.617794140224344</v>
      </c>
      <c r="BC155">
        <f t="shared" si="149"/>
        <v>0.52714133355957515</v>
      </c>
      <c r="BD155">
        <f t="shared" si="133"/>
        <v>-149.79702634562648</v>
      </c>
      <c r="BF155">
        <f t="shared" si="134"/>
        <v>-5.9223945655608921</v>
      </c>
      <c r="BG155">
        <f t="shared" si="135"/>
        <v>-121.50860014585491</v>
      </c>
      <c r="BH155">
        <f t="shared" si="150"/>
        <v>58.491399854145087</v>
      </c>
      <c r="BI155">
        <f t="shared" si="151"/>
        <v>58.491399854145087</v>
      </c>
      <c r="BJ155">
        <f t="shared" si="136"/>
        <v>0</v>
      </c>
      <c r="BK155">
        <f t="shared" si="152"/>
        <v>0</v>
      </c>
      <c r="BM155">
        <f t="shared" si="153"/>
        <v>-18.540188705785233</v>
      </c>
      <c r="BN155">
        <f t="shared" si="137"/>
        <v>-151.71157380022842</v>
      </c>
      <c r="BQ155" s="56">
        <f t="shared" si="154"/>
        <v>29.519754940509479</v>
      </c>
      <c r="BR155" s="59"/>
      <c r="BS155" s="59"/>
      <c r="BT155" s="59">
        <v>2818.3829999999998</v>
      </c>
      <c r="BU155" s="59">
        <v>6.5356199999999998</v>
      </c>
      <c r="BV155" s="59">
        <v>-250.48</v>
      </c>
      <c r="BW155" s="61"/>
      <c r="BY155" s="59"/>
      <c r="BZ155" s="59"/>
      <c r="CA155" s="59"/>
      <c r="CC155" s="59"/>
    </row>
    <row r="156" spans="1:81" x14ac:dyDescent="0.25">
      <c r="A156">
        <f t="shared" si="106"/>
        <v>61000</v>
      </c>
      <c r="B156">
        <f t="shared" si="138"/>
        <v>61</v>
      </c>
      <c r="C156">
        <f t="shared" si="107"/>
        <v>1.1206949412715945</v>
      </c>
      <c r="D156">
        <f t="shared" si="108"/>
        <v>0.46837404188093584</v>
      </c>
      <c r="F156">
        <f t="shared" si="109"/>
        <v>6.9332894163119819E-3</v>
      </c>
      <c r="G156">
        <f t="shared" si="110"/>
        <v>2.8421357945095174E-2</v>
      </c>
      <c r="H156">
        <f t="shared" si="111"/>
        <v>-3.1131712920549051</v>
      </c>
      <c r="J156">
        <f t="shared" si="112"/>
        <v>15</v>
      </c>
      <c r="M156">
        <f t="shared" si="113"/>
        <v>2.4493507732837511E-2</v>
      </c>
      <c r="N156">
        <f t="shared" si="114"/>
        <v>-1.5707963250000001</v>
      </c>
      <c r="O156">
        <f t="shared" si="115"/>
        <v>15.632049053784982</v>
      </c>
      <c r="P156">
        <f t="shared" si="116"/>
        <v>1.5067814745656289</v>
      </c>
      <c r="Q156">
        <f t="shared" si="117"/>
        <v>13.241231309662034</v>
      </c>
      <c r="R156">
        <f t="shared" si="118"/>
        <v>1.4952026745155453</v>
      </c>
      <c r="S156">
        <f t="shared" si="119"/>
        <v>0.8951874051709382</v>
      </c>
      <c r="T156">
        <f t="shared" si="120"/>
        <v>-0.46194481811797866</v>
      </c>
      <c r="U156">
        <f t="shared" si="121"/>
        <v>0.93216403421418925</v>
      </c>
      <c r="V156">
        <f t="shared" si="122"/>
        <v>-0.37045135360955256</v>
      </c>
      <c r="X156">
        <f t="shared" si="139"/>
        <v>-6.1416085522549775</v>
      </c>
      <c r="Y156">
        <f t="shared" si="123"/>
        <v>-117.22748574919753</v>
      </c>
      <c r="Z156">
        <f t="shared" si="140"/>
        <v>62.772514250802473</v>
      </c>
      <c r="AC156">
        <v>1</v>
      </c>
      <c r="AD156">
        <f t="shared" si="124"/>
        <v>15.600030692916599</v>
      </c>
      <c r="AE156">
        <f t="shared" si="125"/>
        <v>-7.1749090743434716E-4</v>
      </c>
      <c r="AF156">
        <f t="shared" si="126"/>
        <v>1.847382141906E-3</v>
      </c>
      <c r="AG156">
        <f t="shared" si="141"/>
        <v>7154.9106779534177</v>
      </c>
      <c r="AH156">
        <f t="shared" si="142"/>
        <v>-3320.1486664845065</v>
      </c>
      <c r="AJ156">
        <f t="shared" si="127"/>
        <v>22100</v>
      </c>
      <c r="AK156">
        <f t="shared" si="128"/>
        <v>11003.000371706072</v>
      </c>
      <c r="AL156">
        <v>1</v>
      </c>
      <c r="AM156">
        <f t="shared" si="129"/>
        <v>13.203416474381703</v>
      </c>
      <c r="AN156">
        <f t="shared" si="143"/>
        <v>954.63981720566323</v>
      </c>
      <c r="AO156">
        <f t="shared" si="144"/>
        <v>-1601.5067178879203</v>
      </c>
      <c r="AQ156">
        <f t="shared" si="130"/>
        <v>0.67181726570372857</v>
      </c>
      <c r="AR156">
        <f t="shared" si="131"/>
        <v>-81.961706415854891</v>
      </c>
      <c r="AT156">
        <f t="shared" si="156"/>
        <v>-267318.25773137814</v>
      </c>
      <c r="AU156">
        <f t="shared" si="157"/>
        <v>-588659.22161693091</v>
      </c>
      <c r="AV156">
        <f t="shared" si="145"/>
        <v>-1.9970659948838041</v>
      </c>
      <c r="AW156">
        <f t="shared" si="146"/>
        <v>-122143.31893104308</v>
      </c>
      <c r="AX156">
        <f t="shared" si="147"/>
        <v>-87799.243273211614</v>
      </c>
      <c r="AY156">
        <f t="shared" si="155"/>
        <v>-2.5183461828326306</v>
      </c>
      <c r="BA156">
        <f t="shared" si="132"/>
        <v>4.2979059647100879</v>
      </c>
      <c r="BB156">
        <f t="shared" si="148"/>
        <v>12.665138183767983</v>
      </c>
      <c r="BC156">
        <f t="shared" si="149"/>
        <v>0.52128018794882647</v>
      </c>
      <c r="BD156">
        <f t="shared" si="133"/>
        <v>-150.13284525261773</v>
      </c>
      <c r="BF156">
        <f t="shared" si="134"/>
        <v>-6.0045018171290474</v>
      </c>
      <c r="BG156">
        <f t="shared" si="135"/>
        <v>-121.66856552854669</v>
      </c>
      <c r="BH156">
        <f t="shared" si="150"/>
        <v>58.331434471453306</v>
      </c>
      <c r="BI156">
        <f t="shared" si="151"/>
        <v>58.331434471453306</v>
      </c>
      <c r="BJ156">
        <f t="shared" si="136"/>
        <v>0</v>
      </c>
      <c r="BK156">
        <f t="shared" si="152"/>
        <v>0</v>
      </c>
      <c r="BM156">
        <f t="shared" si="153"/>
        <v>-18.669640000897033</v>
      </c>
      <c r="BN156">
        <f t="shared" si="137"/>
        <v>-151.53572027592895</v>
      </c>
      <c r="BQ156" s="56">
        <f t="shared" si="154"/>
        <v>29.567098984053118</v>
      </c>
      <c r="BR156" s="59"/>
      <c r="BS156" s="59"/>
      <c r="BT156" s="59">
        <v>2884.0320000000002</v>
      </c>
      <c r="BU156" s="59">
        <v>6.3265200000000004</v>
      </c>
      <c r="BV156" s="59">
        <v>-250.202</v>
      </c>
      <c r="BW156" s="61"/>
      <c r="BY156" s="59"/>
      <c r="BZ156" s="59"/>
      <c r="CA156" s="59"/>
      <c r="CC156" s="59"/>
    </row>
    <row r="157" spans="1:81" x14ac:dyDescent="0.25">
      <c r="A157">
        <f t="shared" si="106"/>
        <v>61500</v>
      </c>
      <c r="B157">
        <f t="shared" si="138"/>
        <v>61.5</v>
      </c>
      <c r="C157">
        <f t="shared" si="107"/>
        <v>1.1225731009897246</v>
      </c>
      <c r="D157">
        <f t="shared" si="108"/>
        <v>0.47167031012725513</v>
      </c>
      <c r="F157">
        <f t="shared" si="109"/>
        <v>6.8202859101864112E-3</v>
      </c>
      <c r="G157">
        <f t="shared" si="110"/>
        <v>2.8187229869765726E-2</v>
      </c>
      <c r="H157">
        <f t="shared" si="111"/>
        <v>-3.1134054201302344</v>
      </c>
      <c r="J157">
        <f t="shared" si="112"/>
        <v>15</v>
      </c>
      <c r="M157">
        <f t="shared" si="113"/>
        <v>2.4294373523627451E-2</v>
      </c>
      <c r="N157">
        <f t="shared" si="114"/>
        <v>-1.5707963250000001</v>
      </c>
      <c r="O157">
        <f t="shared" si="115"/>
        <v>15.759658372665214</v>
      </c>
      <c r="P157">
        <f t="shared" si="116"/>
        <v>1.5073005170817997</v>
      </c>
      <c r="Q157">
        <f t="shared" si="117"/>
        <v>13.349149464531328</v>
      </c>
      <c r="R157">
        <f t="shared" si="118"/>
        <v>1.495814946729664</v>
      </c>
      <c r="S157">
        <f t="shared" si="119"/>
        <v>0.89372747327109703</v>
      </c>
      <c r="T157">
        <f t="shared" si="120"/>
        <v>-0.46520978564751575</v>
      </c>
      <c r="U157">
        <f t="shared" si="121"/>
        <v>0.93116008734921107</v>
      </c>
      <c r="V157">
        <f t="shared" si="122"/>
        <v>-0.37321458387793144</v>
      </c>
      <c r="X157">
        <f t="shared" si="139"/>
        <v>-6.2231193748626348</v>
      </c>
      <c r="Y157">
        <f t="shared" si="123"/>
        <v>-117.33260877378656</v>
      </c>
      <c r="Z157">
        <f t="shared" si="140"/>
        <v>62.667391226213439</v>
      </c>
      <c r="AC157">
        <v>1</v>
      </c>
      <c r="AD157">
        <f t="shared" si="124"/>
        <v>15.727899796956899</v>
      </c>
      <c r="AE157">
        <f t="shared" si="125"/>
        <v>-7.2930125897435088E-4</v>
      </c>
      <c r="AF157">
        <f t="shared" si="126"/>
        <v>1.862524618479E-3</v>
      </c>
      <c r="AG157">
        <f t="shared" si="141"/>
        <v>7139.5072044646749</v>
      </c>
      <c r="AH157">
        <f t="shared" si="142"/>
        <v>-3332.4937190581986</v>
      </c>
      <c r="AJ157">
        <f t="shared" si="127"/>
        <v>22100</v>
      </c>
      <c r="AK157">
        <f t="shared" si="128"/>
        <v>11093.188899343006</v>
      </c>
      <c r="AL157">
        <v>1</v>
      </c>
      <c r="AM157">
        <f t="shared" si="129"/>
        <v>13.311641199581551</v>
      </c>
      <c r="AN157">
        <f t="shared" si="143"/>
        <v>952.68658301070855</v>
      </c>
      <c r="AO157">
        <f t="shared" si="144"/>
        <v>-1588.6330693509117</v>
      </c>
      <c r="AQ157">
        <f t="shared" si="130"/>
        <v>0.66093853271645742</v>
      </c>
      <c r="AR157">
        <f t="shared" si="131"/>
        <v>-81.295439524124262</v>
      </c>
      <c r="AT157">
        <f t="shared" si="156"/>
        <v>-266197.76618618227</v>
      </c>
      <c r="AU157">
        <f t="shared" si="157"/>
        <v>-582611.94968156854</v>
      </c>
      <c r="AV157">
        <f t="shared" si="145"/>
        <v>-1.999376818205981</v>
      </c>
      <c r="AW157">
        <f t="shared" si="146"/>
        <v>-120060.09440580691</v>
      </c>
      <c r="AX157">
        <f t="shared" si="147"/>
        <v>-86950.879062417589</v>
      </c>
      <c r="AY157">
        <f t="shared" si="155"/>
        <v>-2.5147906854332964</v>
      </c>
      <c r="BA157">
        <f t="shared" si="132"/>
        <v>4.3210211608006528</v>
      </c>
      <c r="BB157">
        <f t="shared" si="148"/>
        <v>12.711727862658083</v>
      </c>
      <c r="BC157">
        <f t="shared" si="149"/>
        <v>0.51541386722731541</v>
      </c>
      <c r="BD157">
        <f t="shared" si="133"/>
        <v>-150.46896067161452</v>
      </c>
      <c r="BF157">
        <f t="shared" si="134"/>
        <v>-6.0861027085846668</v>
      </c>
      <c r="BG157">
        <f t="shared" si="135"/>
        <v>-121.82923323926782</v>
      </c>
      <c r="BH157">
        <f t="shared" si="150"/>
        <v>58.170766760732178</v>
      </c>
      <c r="BI157">
        <f t="shared" si="151"/>
        <v>58.170766760732178</v>
      </c>
      <c r="BJ157">
        <f t="shared" si="136"/>
        <v>0</v>
      </c>
      <c r="BK157">
        <f t="shared" si="152"/>
        <v>0</v>
      </c>
      <c r="BM157">
        <f t="shared" si="153"/>
        <v>-18.797830571242748</v>
      </c>
      <c r="BN157">
        <f t="shared" si="137"/>
        <v>-151.36027256765331</v>
      </c>
      <c r="BQ157" s="56">
        <f t="shared" si="154"/>
        <v>29.613688662943218</v>
      </c>
      <c r="BR157" s="59"/>
      <c r="BS157" s="59"/>
      <c r="BT157" s="59">
        <v>2951.2089999999998</v>
      </c>
      <c r="BU157" s="59">
        <v>6.1830800000000004</v>
      </c>
      <c r="BV157" s="59">
        <v>-249.92599999999999</v>
      </c>
      <c r="BW157" s="61"/>
      <c r="BY157" s="59"/>
      <c r="BZ157" s="59"/>
      <c r="CA157" s="59"/>
      <c r="CC157" s="59"/>
    </row>
    <row r="158" spans="1:81" x14ac:dyDescent="0.25">
      <c r="A158">
        <f t="shared" si="106"/>
        <v>62000</v>
      </c>
      <c r="B158">
        <f t="shared" si="138"/>
        <v>62</v>
      </c>
      <c r="C158">
        <f t="shared" si="107"/>
        <v>1.1244634170736585</v>
      </c>
      <c r="D158">
        <f t="shared" si="108"/>
        <v>0.47495553136955582</v>
      </c>
      <c r="F158">
        <f t="shared" si="109"/>
        <v>6.7100284817833899E-3</v>
      </c>
      <c r="G158">
        <f t="shared" si="110"/>
        <v>2.7956951804835744E-2</v>
      </c>
      <c r="H158">
        <f t="shared" si="111"/>
        <v>-3.1136356981951643</v>
      </c>
      <c r="J158">
        <f t="shared" si="112"/>
        <v>15</v>
      </c>
      <c r="M158">
        <f t="shared" si="113"/>
        <v>2.4098451156501426E-2</v>
      </c>
      <c r="N158">
        <f t="shared" si="114"/>
        <v>-1.5707963250000001</v>
      </c>
      <c r="O158">
        <f t="shared" si="115"/>
        <v>15.887271869072736</v>
      </c>
      <c r="P158">
        <f t="shared" si="116"/>
        <v>1.5078112213820114</v>
      </c>
      <c r="Q158">
        <f t="shared" si="117"/>
        <v>13.457072543428939</v>
      </c>
      <c r="R158">
        <f t="shared" si="118"/>
        <v>1.4964173985607989</v>
      </c>
      <c r="S158">
        <f t="shared" si="119"/>
        <v>0.89226283046356747</v>
      </c>
      <c r="T158">
        <f t="shared" si="120"/>
        <v>-0.46846408649970039</v>
      </c>
      <c r="U158">
        <f t="shared" si="121"/>
        <v>0.9301512214947365</v>
      </c>
      <c r="V158">
        <f t="shared" si="122"/>
        <v>-0.37597184751496998</v>
      </c>
      <c r="X158">
        <f t="shared" si="139"/>
        <v>-6.3040726479454605</v>
      </c>
      <c r="Y158">
        <f t="shared" si="123"/>
        <v>-117.4382315484295</v>
      </c>
      <c r="Z158">
        <f t="shared" si="140"/>
        <v>62.561768451570501</v>
      </c>
      <c r="AC158">
        <v>1</v>
      </c>
      <c r="AD158">
        <f t="shared" si="124"/>
        <v>15.855768900997198</v>
      </c>
      <c r="AE158">
        <f t="shared" si="125"/>
        <v>-7.4120802154733437E-4</v>
      </c>
      <c r="AF158">
        <f t="shared" si="126"/>
        <v>1.8776670950520001E-3</v>
      </c>
      <c r="AG158">
        <f t="shared" si="141"/>
        <v>7124.0449800999568</v>
      </c>
      <c r="AH158">
        <f t="shared" si="142"/>
        <v>-3344.7884886858383</v>
      </c>
      <c r="AJ158">
        <f t="shared" si="127"/>
        <v>22100</v>
      </c>
      <c r="AK158">
        <f t="shared" si="128"/>
        <v>11183.377426979941</v>
      </c>
      <c r="AL158">
        <v>1</v>
      </c>
      <c r="AM158">
        <f t="shared" si="129"/>
        <v>13.419865924781401</v>
      </c>
      <c r="AN158">
        <f t="shared" si="143"/>
        <v>950.78006573437222</v>
      </c>
      <c r="AO158">
        <f t="shared" si="144"/>
        <v>-1575.9635791301791</v>
      </c>
      <c r="AQ158">
        <f t="shared" si="130"/>
        <v>0.65032190934512579</v>
      </c>
      <c r="AR158">
        <f t="shared" si="131"/>
        <v>-80.639916758795607</v>
      </c>
      <c r="AT158">
        <f t="shared" si="156"/>
        <v>-265090.54276968457</v>
      </c>
      <c r="AU158">
        <f t="shared" si="157"/>
        <v>-576657.58341749397</v>
      </c>
      <c r="AV158">
        <f t="shared" si="145"/>
        <v>-2.0016889384159846</v>
      </c>
      <c r="AW158">
        <f t="shared" si="146"/>
        <v>-118027.09539051389</v>
      </c>
      <c r="AX158">
        <f t="shared" si="147"/>
        <v>-86120.521739697841</v>
      </c>
      <c r="AY158">
        <f t="shared" si="155"/>
        <v>-2.5112319166253401</v>
      </c>
      <c r="BA158">
        <f t="shared" si="132"/>
        <v>4.3438882203236933</v>
      </c>
      <c r="BB158">
        <f t="shared" si="148"/>
        <v>12.757572823691305</v>
      </c>
      <c r="BC158">
        <f t="shared" si="149"/>
        <v>0.50954297820935546</v>
      </c>
      <c r="BD158">
        <f t="shared" si="133"/>
        <v>-150.8053378347177</v>
      </c>
      <c r="BF158">
        <f t="shared" si="134"/>
        <v>-6.167208106969607</v>
      </c>
      <c r="BG158">
        <f t="shared" si="135"/>
        <v>-121.99057505145534</v>
      </c>
      <c r="BH158">
        <f t="shared" si="150"/>
        <v>58.009424948544662</v>
      </c>
      <c r="BI158">
        <f t="shared" si="151"/>
        <v>58.009424948544662</v>
      </c>
      <c r="BJ158">
        <f t="shared" si="136"/>
        <v>0</v>
      </c>
      <c r="BK158">
        <f t="shared" si="152"/>
        <v>0</v>
      </c>
      <c r="BM158">
        <f t="shared" si="153"/>
        <v>-18.924780930660912</v>
      </c>
      <c r="BN158">
        <f t="shared" si="137"/>
        <v>-151.18523721673765</v>
      </c>
      <c r="BQ158" s="56">
        <f t="shared" si="154"/>
        <v>29.659533623976444</v>
      </c>
      <c r="BR158" s="59"/>
      <c r="BS158" s="59"/>
      <c r="BT158" s="59">
        <v>3019.9520000000002</v>
      </c>
      <c r="BU158" s="59">
        <v>6.0130600000000003</v>
      </c>
      <c r="BV158" s="59">
        <v>-249.65100000000001</v>
      </c>
      <c r="BW158" s="61"/>
      <c r="BY158" s="59"/>
      <c r="BZ158" s="59"/>
      <c r="CA158" s="59"/>
      <c r="CC158" s="59"/>
    </row>
    <row r="159" spans="1:81" x14ac:dyDescent="0.25">
      <c r="A159">
        <f t="shared" si="106"/>
        <v>62500</v>
      </c>
      <c r="B159">
        <f t="shared" si="138"/>
        <v>62.5</v>
      </c>
      <c r="C159">
        <f t="shared" si="107"/>
        <v>1.1263658283193738</v>
      </c>
      <c r="D159">
        <f t="shared" si="108"/>
        <v>0.47822969049271558</v>
      </c>
      <c r="F159">
        <f t="shared" si="109"/>
        <v>6.6024286909437836E-3</v>
      </c>
      <c r="G159">
        <f t="shared" si="110"/>
        <v>2.7730428994324999E-2</v>
      </c>
      <c r="H159">
        <f t="shared" si="111"/>
        <v>-3.1138622210056752</v>
      </c>
      <c r="J159">
        <f t="shared" si="112"/>
        <v>15</v>
      </c>
      <c r="M159">
        <f t="shared" si="113"/>
        <v>2.3905663547249413E-2</v>
      </c>
      <c r="N159">
        <f t="shared" si="114"/>
        <v>-1.5707963250000001</v>
      </c>
      <c r="O159">
        <f t="shared" si="115"/>
        <v>16.014889443142565</v>
      </c>
      <c r="P159">
        <f t="shared" si="116"/>
        <v>1.5083137865304193</v>
      </c>
      <c r="Q159">
        <f t="shared" si="117"/>
        <v>13.565000428828233</v>
      </c>
      <c r="R159">
        <f t="shared" si="118"/>
        <v>1.4970102639695275</v>
      </c>
      <c r="S159">
        <f t="shared" si="119"/>
        <v>0.89079359270833014</v>
      </c>
      <c r="T159">
        <f t="shared" si="120"/>
        <v>-0.47170770427025166</v>
      </c>
      <c r="U159">
        <f t="shared" si="121"/>
        <v>0.92913749856576922</v>
      </c>
      <c r="V159">
        <f t="shared" si="122"/>
        <v>-0.37872312203728198</v>
      </c>
      <c r="X159">
        <f t="shared" si="139"/>
        <v>-6.3844784630108435</v>
      </c>
      <c r="Y159">
        <f t="shared" si="123"/>
        <v>-117.54433332968817</v>
      </c>
      <c r="Z159">
        <f t="shared" si="140"/>
        <v>62.455666670311828</v>
      </c>
      <c r="AC159">
        <v>1</v>
      </c>
      <c r="AD159">
        <f t="shared" si="124"/>
        <v>15.9836380050375</v>
      </c>
      <c r="AE159">
        <f t="shared" si="125"/>
        <v>-7.5321119515329733E-4</v>
      </c>
      <c r="AF159">
        <f t="shared" si="126"/>
        <v>1.892809571625E-3</v>
      </c>
      <c r="AG159">
        <f t="shared" si="141"/>
        <v>7108.5251974190787</v>
      </c>
      <c r="AH159">
        <f t="shared" si="142"/>
        <v>-3357.0311852714149</v>
      </c>
      <c r="AJ159">
        <f t="shared" si="127"/>
        <v>22100</v>
      </c>
      <c r="AK159">
        <f t="shared" si="128"/>
        <v>11273.565954616877</v>
      </c>
      <c r="AL159">
        <v>1</v>
      </c>
      <c r="AM159">
        <f t="shared" si="129"/>
        <v>13.528090649981253</v>
      </c>
      <c r="AN159">
        <f t="shared" si="143"/>
        <v>948.91879003769395</v>
      </c>
      <c r="AO159">
        <f t="shared" si="144"/>
        <v>-1563.4934564835737</v>
      </c>
      <c r="AQ159">
        <f t="shared" si="130"/>
        <v>0.63995904262127223</v>
      </c>
      <c r="AR159">
        <f t="shared" si="131"/>
        <v>-79.994880327659033</v>
      </c>
      <c r="AT159">
        <f t="shared" si="156"/>
        <v>-263996.14294221665</v>
      </c>
      <c r="AU159">
        <f t="shared" si="157"/>
        <v>-570793.984937064</v>
      </c>
      <c r="AV159">
        <f t="shared" si="145"/>
        <v>-2.0040021597567694</v>
      </c>
      <c r="AW159">
        <f t="shared" si="146"/>
        <v>-116042.73829872026</v>
      </c>
      <c r="AX159">
        <f t="shared" si="147"/>
        <v>-85307.60544826476</v>
      </c>
      <c r="AY159">
        <f t="shared" si="155"/>
        <v>-2.5076702725003468</v>
      </c>
      <c r="BA159">
        <f t="shared" si="132"/>
        <v>4.3665066550227651</v>
      </c>
      <c r="BB159">
        <f t="shared" si="148"/>
        <v>12.802682528123947</v>
      </c>
      <c r="BC159">
        <f t="shared" si="149"/>
        <v>0.50366811274357737</v>
      </c>
      <c r="BD159">
        <f t="shared" si="133"/>
        <v>-151.14194283149857</v>
      </c>
      <c r="BF159">
        <f t="shared" si="134"/>
        <v>-6.247828576519594</v>
      </c>
      <c r="BG159">
        <f t="shared" si="135"/>
        <v>-122.1525633498311</v>
      </c>
      <c r="BH159">
        <f t="shared" si="150"/>
        <v>57.847436650168902</v>
      </c>
      <c r="BI159">
        <f t="shared" si="151"/>
        <v>57.847436650168902</v>
      </c>
      <c r="BJ159">
        <f t="shared" si="136"/>
        <v>0</v>
      </c>
      <c r="BK159">
        <f t="shared" si="152"/>
        <v>0</v>
      </c>
      <c r="BM159">
        <f t="shared" si="153"/>
        <v>-19.05051110464354</v>
      </c>
      <c r="BN159">
        <f t="shared" si="137"/>
        <v>-151.01062051833256</v>
      </c>
      <c r="BQ159" s="56">
        <f t="shared" si="154"/>
        <v>29.704643328409084</v>
      </c>
      <c r="BR159" s="59"/>
      <c r="BS159" s="59"/>
      <c r="BT159" s="59">
        <v>3090.2950000000001</v>
      </c>
      <c r="BU159" s="59">
        <v>5.8544900000000002</v>
      </c>
      <c r="BV159" s="59">
        <v>-248.41800000000001</v>
      </c>
      <c r="BW159" s="61"/>
      <c r="BY159" s="59"/>
      <c r="BZ159" s="59"/>
      <c r="CA159" s="59"/>
      <c r="CC159" s="59"/>
    </row>
    <row r="160" spans="1:81" x14ac:dyDescent="0.25">
      <c r="A160">
        <f t="shared" si="106"/>
        <v>63000</v>
      </c>
      <c r="B160">
        <f t="shared" si="138"/>
        <v>63</v>
      </c>
      <c r="C160">
        <f t="shared" si="107"/>
        <v>1.1282802735453401</v>
      </c>
      <c r="D160">
        <f t="shared" si="108"/>
        <v>0.48149277343191482</v>
      </c>
      <c r="F160">
        <f t="shared" si="109"/>
        <v>6.4974016364343096E-3</v>
      </c>
      <c r="G160">
        <f t="shared" si="110"/>
        <v>2.7507569783872865E-2</v>
      </c>
      <c r="H160">
        <f t="shared" si="111"/>
        <v>-3.1140850802161273</v>
      </c>
      <c r="J160">
        <f t="shared" si="112"/>
        <v>15</v>
      </c>
      <c r="M160">
        <f t="shared" si="113"/>
        <v>2.3715936058779183E-2</v>
      </c>
      <c r="N160">
        <f t="shared" si="114"/>
        <v>-1.5707963250000001</v>
      </c>
      <c r="O160">
        <f t="shared" si="115"/>
        <v>16.142510998164582</v>
      </c>
      <c r="P160">
        <f t="shared" si="116"/>
        <v>1.5088084053127782</v>
      </c>
      <c r="Q160">
        <f t="shared" si="117"/>
        <v>13.672933006908229</v>
      </c>
      <c r="R160">
        <f t="shared" si="118"/>
        <v>1.4975937695564472</v>
      </c>
      <c r="S160">
        <f t="shared" si="119"/>
        <v>0.88931987518367162</v>
      </c>
      <c r="T160">
        <f t="shared" si="120"/>
        <v>-0.47494062356157696</v>
      </c>
      <c r="U160">
        <f t="shared" si="121"/>
        <v>0.92811898038971818</v>
      </c>
      <c r="V160">
        <f t="shared" si="122"/>
        <v>-0.38146838542171901</v>
      </c>
      <c r="X160">
        <f t="shared" si="139"/>
        <v>-6.4643466413483157</v>
      </c>
      <c r="Y160">
        <f t="shared" si="123"/>
        <v>-117.65089400170675</v>
      </c>
      <c r="Z160">
        <f t="shared" si="140"/>
        <v>62.349105998293254</v>
      </c>
      <c r="AC160">
        <v>1</v>
      </c>
      <c r="AD160">
        <f t="shared" si="124"/>
        <v>16.111507109077799</v>
      </c>
      <c r="AE160">
        <f t="shared" si="125"/>
        <v>-7.6531077979223973E-4</v>
      </c>
      <c r="AF160">
        <f t="shared" si="126"/>
        <v>1.9079520481979999E-3</v>
      </c>
      <c r="AG160">
        <f t="shared" si="141"/>
        <v>7092.9490446839736</v>
      </c>
      <c r="AH160">
        <f t="shared" si="142"/>
        <v>-3369.2200862621521</v>
      </c>
      <c r="AJ160">
        <f t="shared" si="127"/>
        <v>22100</v>
      </c>
      <c r="AK160">
        <f t="shared" si="128"/>
        <v>11363.754482253811</v>
      </c>
      <c r="AL160">
        <v>1</v>
      </c>
      <c r="AM160">
        <f t="shared" si="129"/>
        <v>13.636315375181102</v>
      </c>
      <c r="AN160">
        <f t="shared" si="143"/>
        <v>947.10133826077458</v>
      </c>
      <c r="AO160">
        <f t="shared" si="144"/>
        <v>-1551.2180585261874</v>
      </c>
      <c r="AQ160">
        <f t="shared" si="130"/>
        <v>0.62984190968067011</v>
      </c>
      <c r="AR160">
        <f t="shared" si="131"/>
        <v>-79.360080619764446</v>
      </c>
      <c r="AT160">
        <f t="shared" si="156"/>
        <v>-262914.14109992265</v>
      </c>
      <c r="AU160">
        <f t="shared" si="157"/>
        <v>-565019.08403126721</v>
      </c>
      <c r="AV160">
        <f t="shared" si="145"/>
        <v>-2.0063162923912681</v>
      </c>
      <c r="AW160">
        <f t="shared" si="146"/>
        <v>-114105.50132336188</v>
      </c>
      <c r="AX160">
        <f t="shared" si="147"/>
        <v>-84511.587369226909</v>
      </c>
      <c r="AY160">
        <f t="shared" si="155"/>
        <v>-2.5041061406108742</v>
      </c>
      <c r="BA160">
        <f t="shared" si="132"/>
        <v>4.3888760212235489</v>
      </c>
      <c r="BB160">
        <f t="shared" si="148"/>
        <v>12.847066257779062</v>
      </c>
      <c r="BC160">
        <f t="shared" si="149"/>
        <v>0.49778984821960615</v>
      </c>
      <c r="BD160">
        <f t="shared" si="133"/>
        <v>-151.47874257996844</v>
      </c>
      <c r="BF160">
        <f t="shared" si="134"/>
        <v>-6.3279743883996895</v>
      </c>
      <c r="BG160">
        <f t="shared" si="135"/>
        <v>-122.31517110966919</v>
      </c>
      <c r="BH160">
        <f t="shared" si="150"/>
        <v>57.684828890330806</v>
      </c>
      <c r="BI160">
        <f t="shared" si="151"/>
        <v>57.684828890330806</v>
      </c>
      <c r="BJ160">
        <f t="shared" si="136"/>
        <v>0</v>
      </c>
      <c r="BK160">
        <f t="shared" si="152"/>
        <v>0</v>
      </c>
      <c r="BM160">
        <f t="shared" si="153"/>
        <v>-19.175040646178751</v>
      </c>
      <c r="BN160">
        <f t="shared" si="137"/>
        <v>-150.83642852970075</v>
      </c>
      <c r="BQ160" s="56">
        <f t="shared" si="154"/>
        <v>29.749027058064197</v>
      </c>
      <c r="BR160" s="59"/>
      <c r="BS160" s="59"/>
      <c r="BT160" s="59">
        <v>3162.2779999999998</v>
      </c>
      <c r="BU160" s="59">
        <v>5.6099300000000003</v>
      </c>
      <c r="BV160" s="59">
        <v>-248.626</v>
      </c>
      <c r="BW160" s="61"/>
      <c r="BY160" s="59"/>
      <c r="BZ160" s="59"/>
      <c r="CA160" s="59"/>
      <c r="CC160" s="59"/>
    </row>
    <row r="161" spans="1:81" x14ac:dyDescent="0.25">
      <c r="A161">
        <f t="shared" si="106"/>
        <v>63500</v>
      </c>
      <c r="B161">
        <f t="shared" si="138"/>
        <v>63.5</v>
      </c>
      <c r="C161">
        <f t="shared" si="107"/>
        <v>1.1302066915988618</v>
      </c>
      <c r="D161">
        <f t="shared" si="108"/>
        <v>0.48474476716080533</v>
      </c>
      <c r="F161">
        <f t="shared" si="109"/>
        <v>6.3948657870409745E-3</v>
      </c>
      <c r="G161">
        <f t="shared" si="110"/>
        <v>2.7288285494201429E-2</v>
      </c>
      <c r="H161">
        <f t="shared" si="111"/>
        <v>-3.1143043645057986</v>
      </c>
      <c r="J161">
        <f t="shared" si="112"/>
        <v>15</v>
      </c>
      <c r="M161">
        <f t="shared" si="113"/>
        <v>2.3529196404773044E-2</v>
      </c>
      <c r="N161">
        <f t="shared" si="114"/>
        <v>-1.5707963250000001</v>
      </c>
      <c r="O161">
        <f t="shared" si="115"/>
        <v>16.27013644046005</v>
      </c>
      <c r="P161">
        <f t="shared" si="116"/>
        <v>1.5092952644817172</v>
      </c>
      <c r="Q161">
        <f t="shared" si="117"/>
        <v>13.78087016740888</v>
      </c>
      <c r="R161">
        <f t="shared" si="118"/>
        <v>1.4981681348488181</v>
      </c>
      <c r="S161">
        <f t="shared" si="119"/>
        <v>0.88784179227348003</v>
      </c>
      <c r="T161">
        <f t="shared" si="120"/>
        <v>-0.47816282997201714</v>
      </c>
      <c r="U161">
        <f t="shared" si="121"/>
        <v>0.92709572869863077</v>
      </c>
      <c r="V161">
        <f t="shared" si="122"/>
        <v>-0.3842076161036776</v>
      </c>
      <c r="X161">
        <f t="shared" si="139"/>
        <v>-6.5436867433564885</v>
      </c>
      <c r="Y161">
        <f t="shared" si="123"/>
        <v>-117.75789405295033</v>
      </c>
      <c r="Z161">
        <f t="shared" si="140"/>
        <v>62.242105947049666</v>
      </c>
      <c r="AC161">
        <v>1</v>
      </c>
      <c r="AD161">
        <f t="shared" si="124"/>
        <v>16.239376213118099</v>
      </c>
      <c r="AE161">
        <f t="shared" si="125"/>
        <v>-7.7750677546416182E-4</v>
      </c>
      <c r="AF161">
        <f t="shared" si="126"/>
        <v>1.9230945247710001E-3</v>
      </c>
      <c r="AG161">
        <f t="shared" si="141"/>
        <v>7077.317705698295</v>
      </c>
      <c r="AH161">
        <f t="shared" si="142"/>
        <v>-3381.3535343860599</v>
      </c>
      <c r="AJ161">
        <f t="shared" si="127"/>
        <v>22100</v>
      </c>
      <c r="AK161">
        <f t="shared" si="128"/>
        <v>11453.943009890747</v>
      </c>
      <c r="AL161">
        <v>1</v>
      </c>
      <c r="AM161">
        <f t="shared" si="129"/>
        <v>13.744540100380952</v>
      </c>
      <c r="AN161">
        <f t="shared" si="143"/>
        <v>945.32634774260794</v>
      </c>
      <c r="AO161">
        <f t="shared" si="144"/>
        <v>-1539.1328846041965</v>
      </c>
      <c r="AQ161">
        <f t="shared" si="130"/>
        <v>0.61996280223186606</v>
      </c>
      <c r="AR161">
        <f t="shared" si="131"/>
        <v>-78.735275883446988</v>
      </c>
      <c r="AT161">
        <f t="shared" si="156"/>
        <v>-261844.12967224504</v>
      </c>
      <c r="AU161">
        <f t="shared" si="157"/>
        <v>-559330.87548547401</v>
      </c>
      <c r="AV161">
        <f t="shared" si="145"/>
        <v>-2.008631152187653</v>
      </c>
      <c r="AW161">
        <f t="shared" si="146"/>
        <v>-112213.92157118714</v>
      </c>
      <c r="AX161">
        <f t="shared" si="147"/>
        <v>-83731.946581629018</v>
      </c>
      <c r="AY161">
        <f t="shared" si="155"/>
        <v>-2.500539900236832</v>
      </c>
      <c r="BA161">
        <f t="shared" si="132"/>
        <v>4.4109959197206772</v>
      </c>
      <c r="BB161">
        <f t="shared" si="148"/>
        <v>12.890733120911088</v>
      </c>
      <c r="BC161">
        <f t="shared" si="149"/>
        <v>0.49190874804917906</v>
      </c>
      <c r="BD161">
        <f t="shared" si="133"/>
        <v>-151.81570479901262</v>
      </c>
      <c r="BF161">
        <f t="shared" si="134"/>
        <v>-6.4076555300320948</v>
      </c>
      <c r="BG161">
        <f t="shared" si="135"/>
        <v>-122.47837187715808</v>
      </c>
      <c r="BH161">
        <f t="shared" si="150"/>
        <v>57.521628122841918</v>
      </c>
      <c r="BI161">
        <f t="shared" si="151"/>
        <v>57.521628122841918</v>
      </c>
      <c r="BJ161">
        <f t="shared" si="136"/>
        <v>0</v>
      </c>
      <c r="BK161">
        <f t="shared" si="152"/>
        <v>0</v>
      </c>
      <c r="BM161">
        <f t="shared" si="153"/>
        <v>-19.298388650943185</v>
      </c>
      <c r="BN161">
        <f t="shared" si="137"/>
        <v>-150.66266707814546</v>
      </c>
      <c r="BQ161" s="56">
        <f t="shared" si="154"/>
        <v>29.792693921196225</v>
      </c>
      <c r="BR161" s="59"/>
      <c r="BS161" s="59"/>
      <c r="BT161" s="59">
        <v>3235.9369999999999</v>
      </c>
      <c r="BU161" s="59">
        <v>5.4320899999999996</v>
      </c>
      <c r="BV161" s="59">
        <v>-248.57499999999999</v>
      </c>
      <c r="BW161" s="61"/>
      <c r="BY161" s="59"/>
      <c r="BZ161" s="59"/>
      <c r="CA161" s="59"/>
      <c r="CC161" s="59"/>
    </row>
    <row r="162" spans="1:81" x14ac:dyDescent="0.25">
      <c r="A162">
        <f t="shared" si="106"/>
        <v>64000</v>
      </c>
      <c r="B162">
        <f t="shared" si="138"/>
        <v>64</v>
      </c>
      <c r="C162">
        <f t="shared" si="107"/>
        <v>1.1321450213623163</v>
      </c>
      <c r="D162">
        <f t="shared" si="108"/>
        <v>0.48798565967959845</v>
      </c>
      <c r="F162">
        <f t="shared" si="109"/>
        <v>6.2947428220108482E-3</v>
      </c>
      <c r="G162">
        <f t="shared" si="110"/>
        <v>2.7072490300752958E-2</v>
      </c>
      <c r="H162">
        <f t="shared" si="111"/>
        <v>-3.1145201596992473</v>
      </c>
      <c r="J162">
        <f t="shared" si="112"/>
        <v>15</v>
      </c>
      <c r="M162">
        <f t="shared" si="113"/>
        <v>2.3345374557860756E-2</v>
      </c>
      <c r="N162">
        <f t="shared" si="114"/>
        <v>-1.5707963250000001</v>
      </c>
      <c r="O162">
        <f t="shared" si="115"/>
        <v>16.397765679263852</v>
      </c>
      <c r="P162">
        <f t="shared" si="116"/>
        <v>1.5097745449906164</v>
      </c>
      <c r="Q162">
        <f t="shared" si="117"/>
        <v>13.888811803493081</v>
      </c>
      <c r="R162">
        <f t="shared" si="118"/>
        <v>1.4987335725739361</v>
      </c>
      <c r="S162">
        <f t="shared" si="119"/>
        <v>0.88635945755502998</v>
      </c>
      <c r="T162">
        <f t="shared" si="120"/>
        <v>-0.48137431008500714</v>
      </c>
      <c r="U162">
        <f t="shared" si="121"/>
        <v>0.92606780512154097</v>
      </c>
      <c r="V162">
        <f t="shared" si="122"/>
        <v>-0.38694079297534473</v>
      </c>
      <c r="X162">
        <f t="shared" si="139"/>
        <v>-6.6225080774701865</v>
      </c>
      <c r="Y162">
        <f t="shared" si="123"/>
        <v>-117.86531455399881</v>
      </c>
      <c r="Z162">
        <f t="shared" si="140"/>
        <v>62.134685446001185</v>
      </c>
      <c r="AC162">
        <v>1</v>
      </c>
      <c r="AD162">
        <f t="shared" si="124"/>
        <v>16.3672453171584</v>
      </c>
      <c r="AE162">
        <f t="shared" si="125"/>
        <v>-7.8979918216906368E-4</v>
      </c>
      <c r="AF162">
        <f t="shared" si="126"/>
        <v>1.938237001344E-3</v>
      </c>
      <c r="AG162">
        <f t="shared" si="141"/>
        <v>7061.6323596502734</v>
      </c>
      <c r="AH162">
        <f t="shared" si="142"/>
        <v>-3393.4299354875657</v>
      </c>
      <c r="AJ162">
        <f t="shared" si="127"/>
        <v>22100</v>
      </c>
      <c r="AK162">
        <f t="shared" si="128"/>
        <v>11544.131537527681</v>
      </c>
      <c r="AL162">
        <v>1</v>
      </c>
      <c r="AM162">
        <f t="shared" si="129"/>
        <v>13.852764825580801</v>
      </c>
      <c r="AN162">
        <f t="shared" si="143"/>
        <v>943.59250828483573</v>
      </c>
      <c r="AO162">
        <f t="shared" si="144"/>
        <v>-1527.2335709220522</v>
      </c>
      <c r="AQ162">
        <f t="shared" si="130"/>
        <v>0.61031431187061336</v>
      </c>
      <c r="AR162">
        <f t="shared" si="131"/>
        <v>-78.12023191943851</v>
      </c>
      <c r="AT162">
        <f t="shared" si="156"/>
        <v>-260785.71826839066</v>
      </c>
      <c r="AU162">
        <f t="shared" si="157"/>
        <v>-553727.41652164946</v>
      </c>
      <c r="AV162">
        <f t="shared" si="145"/>
        <v>-2.0109465605144203</v>
      </c>
      <c r="AW162">
        <f t="shared" si="146"/>
        <v>-110366.59235077955</v>
      </c>
      <c r="AX162">
        <f t="shared" si="147"/>
        <v>-82968.182988350847</v>
      </c>
      <c r="AY162">
        <f t="shared" si="155"/>
        <v>-2.4969719226375808</v>
      </c>
      <c r="BA162">
        <f t="shared" si="132"/>
        <v>4.4328659956483492</v>
      </c>
      <c r="BB162">
        <f t="shared" si="148"/>
        <v>12.933692057838215</v>
      </c>
      <c r="BC162">
        <f t="shared" si="149"/>
        <v>0.4860253621231605</v>
      </c>
      <c r="BD162">
        <f t="shared" si="133"/>
        <v>-152.15279798220533</v>
      </c>
      <c r="BF162">
        <f t="shared" si="134"/>
        <v>-6.4868817140381205</v>
      </c>
      <c r="BG162">
        <f t="shared" si="135"/>
        <v>-122.64213975079419</v>
      </c>
      <c r="BH162">
        <f t="shared" si="150"/>
        <v>57.357860249205814</v>
      </c>
      <c r="BI162">
        <f t="shared" si="151"/>
        <v>57.357860249205814</v>
      </c>
      <c r="BJ162">
        <f t="shared" si="136"/>
        <v>0</v>
      </c>
      <c r="BK162">
        <f t="shared" si="152"/>
        <v>0</v>
      </c>
      <c r="BM162">
        <f t="shared" si="153"/>
        <v>-19.420573771876338</v>
      </c>
      <c r="BN162">
        <f t="shared" si="137"/>
        <v>-150.48934176858887</v>
      </c>
      <c r="BQ162" s="56">
        <f t="shared" si="154"/>
        <v>29.835652858123353</v>
      </c>
      <c r="BR162" s="59"/>
      <c r="BS162" s="59"/>
      <c r="BT162" s="59">
        <v>3311.3110000000001</v>
      </c>
      <c r="BU162" s="59">
        <v>5.2356100000000003</v>
      </c>
      <c r="BV162" s="59">
        <v>-247.75799999999998</v>
      </c>
      <c r="BW162" s="61"/>
      <c r="BY162" s="59"/>
      <c r="BZ162" s="59"/>
      <c r="CA162" s="59"/>
      <c r="CC162" s="59"/>
    </row>
    <row r="163" spans="1:81" x14ac:dyDescent="0.25">
      <c r="A163">
        <f t="shared" si="106"/>
        <v>64500</v>
      </c>
      <c r="B163">
        <f t="shared" si="138"/>
        <v>64.5</v>
      </c>
      <c r="C163">
        <f t="shared" si="107"/>
        <v>1.1340952017592936</v>
      </c>
      <c r="D163">
        <f t="shared" si="108"/>
        <v>0.49121544000308009</v>
      </c>
      <c r="F163">
        <f t="shared" si="109"/>
        <v>6.1969574802544893E-3</v>
      </c>
      <c r="G163">
        <f t="shared" si="110"/>
        <v>2.6860101119151571E-2</v>
      </c>
      <c r="H163">
        <f t="shared" si="111"/>
        <v>-3.1147325488808488</v>
      </c>
      <c r="J163">
        <f t="shared" si="112"/>
        <v>15</v>
      </c>
      <c r="M163">
        <f t="shared" si="113"/>
        <v>2.3164402662063384E-2</v>
      </c>
      <c r="N163">
        <f t="shared" si="114"/>
        <v>-1.5707963250000001</v>
      </c>
      <c r="O163">
        <f t="shared" si="115"/>
        <v>16.525398626612226</v>
      </c>
      <c r="P163">
        <f t="shared" si="116"/>
        <v>1.5102464222167022</v>
      </c>
      <c r="Q163">
        <f t="shared" si="117"/>
        <v>13.996757811615037</v>
      </c>
      <c r="R163">
        <f t="shared" si="118"/>
        <v>1.4992902889199482</v>
      </c>
      <c r="S163">
        <f t="shared" si="119"/>
        <v>0.88487298378724966</v>
      </c>
      <c r="T163">
        <f t="shared" si="120"/>
        <v>-0.48457505145815716</v>
      </c>
      <c r="U163">
        <f t="shared" si="121"/>
        <v>0.92503527117693096</v>
      </c>
      <c r="V163">
        <f t="shared" si="122"/>
        <v>-0.38966789538388419</v>
      </c>
      <c r="X163">
        <f t="shared" si="139"/>
        <v>-6.7008197087082708</v>
      </c>
      <c r="Y163">
        <f t="shared" si="123"/>
        <v>-117.97313713634028</v>
      </c>
      <c r="Z163">
        <f t="shared" si="140"/>
        <v>62.026862863659716</v>
      </c>
      <c r="AC163">
        <v>1</v>
      </c>
      <c r="AD163">
        <f t="shared" si="124"/>
        <v>16.4951144211987</v>
      </c>
      <c r="AE163">
        <f t="shared" si="125"/>
        <v>-8.0218799990694522E-4</v>
      </c>
      <c r="AF163">
        <f t="shared" si="126"/>
        <v>1.9533794779170001E-3</v>
      </c>
      <c r="AG163">
        <f t="shared" si="141"/>
        <v>7045.8941809588305</v>
      </c>
      <c r="AH163">
        <f t="shared" si="142"/>
        <v>-3405.4477564558501</v>
      </c>
      <c r="AJ163">
        <f t="shared" si="127"/>
        <v>22100</v>
      </c>
      <c r="AK163">
        <f t="shared" si="128"/>
        <v>11634.320065164617</v>
      </c>
      <c r="AL163">
        <v>1</v>
      </c>
      <c r="AM163">
        <f t="shared" si="129"/>
        <v>13.960989550780653</v>
      </c>
      <c r="AN163">
        <f t="shared" si="143"/>
        <v>941.8985597506728</v>
      </c>
      <c r="AO163">
        <f t="shared" si="144"/>
        <v>-1515.5158854098731</v>
      </c>
      <c r="AQ163">
        <f t="shared" si="130"/>
        <v>0.60088931618795816</v>
      </c>
      <c r="AR163">
        <f t="shared" si="131"/>
        <v>-77.514721788246604</v>
      </c>
      <c r="AT163">
        <f t="shared" si="156"/>
        <v>-259738.53286975471</v>
      </c>
      <c r="AU163">
        <f t="shared" si="157"/>
        <v>-548206.8243601399</v>
      </c>
      <c r="AV163">
        <f t="shared" si="145"/>
        <v>-2.0132623440447683</v>
      </c>
      <c r="AW163">
        <f t="shared" si="146"/>
        <v>-108562.16060485052</v>
      </c>
      <c r="AX163">
        <f t="shared" si="147"/>
        <v>-82219.816303541011</v>
      </c>
      <c r="AY163">
        <f t="shared" si="155"/>
        <v>-2.4934025712905639</v>
      </c>
      <c r="BA163">
        <f t="shared" si="132"/>
        <v>4.4544859383345665</v>
      </c>
      <c r="BB163">
        <f t="shared" si="148"/>
        <v>12.97595184635226</v>
      </c>
      <c r="BC163">
        <f t="shared" si="149"/>
        <v>0.48014022724579553</v>
      </c>
      <c r="BD163">
        <f t="shared" si="133"/>
        <v>-152.4899913729289</v>
      </c>
      <c r="BF163">
        <f t="shared" si="134"/>
        <v>-6.5656623868145347</v>
      </c>
      <c r="BG163">
        <f t="shared" si="135"/>
        <v>-122.8064493637503</v>
      </c>
      <c r="BH163">
        <f t="shared" si="150"/>
        <v>57.193550636249697</v>
      </c>
      <c r="BI163">
        <f t="shared" si="151"/>
        <v>57.193550636249697</v>
      </c>
      <c r="BJ163">
        <f t="shared" si="136"/>
        <v>0</v>
      </c>
      <c r="BK163">
        <f t="shared" si="152"/>
        <v>0</v>
      </c>
      <c r="BM163">
        <f t="shared" si="153"/>
        <v>-19.541614233166797</v>
      </c>
      <c r="BN163">
        <f t="shared" si="137"/>
        <v>-150.31645799082142</v>
      </c>
      <c r="BQ163" s="56">
        <f t="shared" si="154"/>
        <v>29.877912646637398</v>
      </c>
      <c r="BR163" s="59"/>
      <c r="BS163" s="59"/>
      <c r="BT163" s="59">
        <v>3388.442</v>
      </c>
      <c r="BU163" s="59">
        <v>5.0528199999999996</v>
      </c>
      <c r="BV163" s="59">
        <v>-247.756</v>
      </c>
      <c r="BW163" s="61"/>
      <c r="BY163" s="59"/>
      <c r="BZ163" s="59"/>
      <c r="CA163" s="59"/>
      <c r="CC163" s="59"/>
    </row>
    <row r="164" spans="1:81" x14ac:dyDescent="0.25">
      <c r="A164">
        <f t="shared" si="106"/>
        <v>65000</v>
      </c>
      <c r="B164">
        <f t="shared" si="138"/>
        <v>65</v>
      </c>
      <c r="C164">
        <f t="shared" si="107"/>
        <v>1.1360571717606314</v>
      </c>
      <c r="D164">
        <f t="shared" si="108"/>
        <v>0.4944340981485571</v>
      </c>
      <c r="F164">
        <f t="shared" si="109"/>
        <v>6.1014374177625983E-3</v>
      </c>
      <c r="G164">
        <f t="shared" si="110"/>
        <v>2.6651037496161538E-2</v>
      </c>
      <c r="H164">
        <f t="shared" si="111"/>
        <v>-3.1149416125038387</v>
      </c>
      <c r="J164">
        <f t="shared" si="112"/>
        <v>15</v>
      </c>
      <c r="M164">
        <f t="shared" si="113"/>
        <v>2.2986214949278282E-2</v>
      </c>
      <c r="N164">
        <f t="shared" si="114"/>
        <v>-1.5707963250000001</v>
      </c>
      <c r="O164">
        <f t="shared" si="115"/>
        <v>16.653035197235582</v>
      </c>
      <c r="P164">
        <f t="shared" si="116"/>
        <v>1.5107110661739362</v>
      </c>
      <c r="Q164">
        <f t="shared" si="117"/>
        <v>14.104708091394645</v>
      </c>
      <c r="R164">
        <f t="shared" si="118"/>
        <v>1.4998384837847731</v>
      </c>
      <c r="S164">
        <f t="shared" si="119"/>
        <v>0.88338248289946908</v>
      </c>
      <c r="T164">
        <f t="shared" si="120"/>
        <v>-0.48776504261226106</v>
      </c>
      <c r="U164">
        <f t="shared" si="121"/>
        <v>0.92399818826530755</v>
      </c>
      <c r="V164">
        <f t="shared" si="122"/>
        <v>-0.39238890312956293</v>
      </c>
      <c r="X164">
        <f t="shared" si="139"/>
        <v>-6.778630466861566</v>
      </c>
      <c r="Y164">
        <f t="shared" si="123"/>
        <v>-118.08134397211278</v>
      </c>
      <c r="Z164">
        <f t="shared" si="140"/>
        <v>61.918656027887224</v>
      </c>
      <c r="AC164">
        <v>1</v>
      </c>
      <c r="AD164">
        <f t="shared" si="124"/>
        <v>16.622983525239</v>
      </c>
      <c r="AE164">
        <f t="shared" si="125"/>
        <v>-8.1467322867780621E-4</v>
      </c>
      <c r="AF164">
        <f t="shared" si="126"/>
        <v>1.96852195449E-3</v>
      </c>
      <c r="AG164">
        <f t="shared" si="141"/>
        <v>7030.1043391229541</v>
      </c>
      <c r="AH164">
        <f t="shared" si="142"/>
        <v>-3417.4055232409273</v>
      </c>
      <c r="AJ164">
        <f t="shared" si="127"/>
        <v>22100</v>
      </c>
      <c r="AK164">
        <f t="shared" si="128"/>
        <v>11724.508592801551</v>
      </c>
      <c r="AL164">
        <v>1</v>
      </c>
      <c r="AM164">
        <f t="shared" si="129"/>
        <v>14.069214275980501</v>
      </c>
      <c r="AN164">
        <f t="shared" si="143"/>
        <v>940.24328979084771</v>
      </c>
      <c r="AO164">
        <f t="shared" si="144"/>
        <v>-1503.9757228187145</v>
      </c>
      <c r="AQ164">
        <f t="shared" si="130"/>
        <v>0.59168096562333594</v>
      </c>
      <c r="AR164">
        <f t="shared" si="131"/>
        <v>-76.918525531033666</v>
      </c>
      <c r="AT164">
        <f t="shared" si="156"/>
        <v>-258702.21506549764</v>
      </c>
      <c r="AU164">
        <f t="shared" si="157"/>
        <v>-542767.27389457729</v>
      </c>
      <c r="AV164">
        <f t="shared" si="145"/>
        <v>-2.0155783345697706</v>
      </c>
      <c r="AW164">
        <f t="shared" si="146"/>
        <v>-106799.32447811753</v>
      </c>
      <c r="AX164">
        <f t="shared" si="147"/>
        <v>-81486.385097579463</v>
      </c>
      <c r="AY164">
        <f t="shared" si="155"/>
        <v>-2.489832202117269</v>
      </c>
      <c r="BA164">
        <f t="shared" si="132"/>
        <v>4.4758554811387841</v>
      </c>
      <c r="BB164">
        <f t="shared" si="148"/>
        <v>13.01752110691525</v>
      </c>
      <c r="BC164">
        <f t="shared" si="149"/>
        <v>0.47425386754749832</v>
      </c>
      <c r="BD164">
        <f t="shared" si="133"/>
        <v>-152.82725494072261</v>
      </c>
      <c r="BF164">
        <f t="shared" si="134"/>
        <v>-6.6440067367635685</v>
      </c>
      <c r="BG164">
        <f t="shared" si="135"/>
        <v>-122.97127586716279</v>
      </c>
      <c r="BH164">
        <f t="shared" si="150"/>
        <v>57.028724132837212</v>
      </c>
      <c r="BI164">
        <f t="shared" si="151"/>
        <v>57.028724132837212</v>
      </c>
      <c r="BJ164">
        <f t="shared" si="136"/>
        <v>0</v>
      </c>
      <c r="BK164">
        <f t="shared" si="152"/>
        <v>0</v>
      </c>
      <c r="BM164">
        <f t="shared" si="153"/>
        <v>-19.661527843678822</v>
      </c>
      <c r="BN164">
        <f t="shared" si="137"/>
        <v>-150.14402092644019</v>
      </c>
      <c r="BQ164" s="56">
        <f t="shared" si="154"/>
        <v>29.919481907200385</v>
      </c>
      <c r="BR164" s="59"/>
      <c r="BS164" s="59"/>
      <c r="BT164" s="59">
        <v>3467.3690000000001</v>
      </c>
      <c r="BU164" s="59">
        <v>4.9028999999999998</v>
      </c>
      <c r="BV164" s="59">
        <v>-247.51300000000001</v>
      </c>
      <c r="BW164" s="61"/>
      <c r="BY164" s="59"/>
      <c r="BZ164" s="59"/>
      <c r="CA164" s="59"/>
      <c r="CC164" s="59"/>
    </row>
    <row r="165" spans="1:81" x14ac:dyDescent="0.25">
      <c r="A165">
        <f t="shared" si="106"/>
        <v>65500</v>
      </c>
      <c r="B165">
        <f t="shared" si="138"/>
        <v>65.5</v>
      </c>
      <c r="C165">
        <f t="shared" si="107"/>
        <v>1.138030870390349</v>
      </c>
      <c r="D165">
        <f t="shared" si="108"/>
        <v>0.49764162512374288</v>
      </c>
      <c r="F165">
        <f t="shared" si="109"/>
        <v>6.0081130727285678E-3</v>
      </c>
      <c r="G165">
        <f t="shared" si="110"/>
        <v>2.6445221505835496E-2</v>
      </c>
      <c r="H165">
        <f t="shared" si="111"/>
        <v>-3.1151474284941649</v>
      </c>
      <c r="J165">
        <f t="shared" si="112"/>
        <v>15</v>
      </c>
      <c r="M165">
        <f t="shared" si="113"/>
        <v>2.2810747659589133E-2</v>
      </c>
      <c r="N165">
        <f t="shared" si="114"/>
        <v>-1.5707963250000001</v>
      </c>
      <c r="O165">
        <f t="shared" si="115"/>
        <v>16.780675308456246</v>
      </c>
      <c r="P165">
        <f t="shared" si="116"/>
        <v>1.5111686417162344</v>
      </c>
      <c r="Q165">
        <f t="shared" si="117"/>
        <v>14.212662545497581</v>
      </c>
      <c r="R165">
        <f t="shared" si="118"/>
        <v>1.500378351013758</v>
      </c>
      <c r="S165">
        <f t="shared" si="119"/>
        <v>0.88188806598064251</v>
      </c>
      <c r="T165">
        <f t="shared" si="120"/>
        <v>-0.49094427302023697</v>
      </c>
      <c r="U165">
        <f t="shared" si="121"/>
        <v>0.92295661766189463</v>
      </c>
      <c r="V165">
        <f t="shared" si="122"/>
        <v>-0.39510379646382077</v>
      </c>
      <c r="X165">
        <f t="shared" si="139"/>
        <v>-6.855948954339012</v>
      </c>
      <c r="Y165">
        <f t="shared" si="123"/>
        <v>-118.18991775474382</v>
      </c>
      <c r="Z165">
        <f t="shared" si="140"/>
        <v>61.810082245256183</v>
      </c>
      <c r="AC165">
        <v>1</v>
      </c>
      <c r="AD165">
        <f t="shared" si="124"/>
        <v>16.750852629279301</v>
      </c>
      <c r="AE165">
        <f t="shared" si="125"/>
        <v>-8.2725486848164687E-4</v>
      </c>
      <c r="AF165">
        <f t="shared" si="126"/>
        <v>1.983664431063E-3</v>
      </c>
      <c r="AG165">
        <f t="shared" si="141"/>
        <v>7014.2639985743572</v>
      </c>
      <c r="AH165">
        <f t="shared" si="142"/>
        <v>-3429.3018189527315</v>
      </c>
      <c r="AJ165">
        <f t="shared" si="127"/>
        <v>22100</v>
      </c>
      <c r="AK165">
        <f t="shared" si="128"/>
        <v>11814.697120438486</v>
      </c>
      <c r="AL165">
        <v>1</v>
      </c>
      <c r="AM165">
        <f t="shared" si="129"/>
        <v>14.177439001180351</v>
      </c>
      <c r="AN165">
        <f t="shared" si="143"/>
        <v>938.62553168894783</v>
      </c>
      <c r="AO165">
        <f t="shared" si="144"/>
        <v>-1492.6091000320473</v>
      </c>
      <c r="AQ165">
        <f t="shared" si="130"/>
        <v>0.58268267101736393</v>
      </c>
      <c r="AR165">
        <f t="shared" si="131"/>
        <v>-76.331429903274682</v>
      </c>
      <c r="AT165">
        <f t="shared" si="156"/>
        <v>-257676.42132865253</v>
      </c>
      <c r="AU165">
        <f t="shared" si="157"/>
        <v>-537406.99547383375</v>
      </c>
      <c r="AV165">
        <f t="shared" si="145"/>
        <v>-2.0178943688198867</v>
      </c>
      <c r="AW165">
        <f t="shared" si="146"/>
        <v>-105076.83101266083</v>
      </c>
      <c r="AX165">
        <f t="shared" si="147"/>
        <v>-80767.445895851619</v>
      </c>
      <c r="AY165">
        <f t="shared" si="155"/>
        <v>-2.4862611636972409</v>
      </c>
      <c r="BA165">
        <f t="shared" si="132"/>
        <v>4.4969744012729276</v>
      </c>
      <c r="BB165">
        <f t="shared" si="148"/>
        <v>13.058408307651684</v>
      </c>
      <c r="BC165">
        <f t="shared" si="149"/>
        <v>0.46836679487735422</v>
      </c>
      <c r="BD165">
        <f t="shared" si="133"/>
        <v>-153.16455935879409</v>
      </c>
      <c r="BF165">
        <f t="shared" si="134"/>
        <v>-6.7219237021944807</v>
      </c>
      <c r="BG165">
        <f t="shared" si="135"/>
        <v>-123.13659491428724</v>
      </c>
      <c r="BH165">
        <f t="shared" si="150"/>
        <v>56.863405085712756</v>
      </c>
      <c r="BI165">
        <f t="shared" si="151"/>
        <v>56.863405085712756</v>
      </c>
      <c r="BJ165">
        <f t="shared" si="136"/>
        <v>0</v>
      </c>
      <c r="BK165">
        <f t="shared" si="152"/>
        <v>0</v>
      </c>
      <c r="BM165">
        <f t="shared" si="153"/>
        <v>-19.780332009846166</v>
      </c>
      <c r="BN165">
        <f t="shared" si="137"/>
        <v>-149.97203555549316</v>
      </c>
      <c r="BQ165" s="56">
        <f t="shared" si="154"/>
        <v>29.96036910793682</v>
      </c>
      <c r="BR165" s="59"/>
      <c r="BS165" s="59"/>
      <c r="BT165" s="59">
        <v>3548.134</v>
      </c>
      <c r="BU165" s="59">
        <v>4.6522600000000001</v>
      </c>
      <c r="BV165" s="59">
        <v>-246.726</v>
      </c>
      <c r="BW165" s="61"/>
      <c r="BY165" s="59"/>
      <c r="BZ165" s="59"/>
      <c r="CA165" s="59"/>
      <c r="CC165" s="59"/>
    </row>
    <row r="166" spans="1:81" x14ac:dyDescent="0.25">
      <c r="A166">
        <f t="shared" ref="A166:A200" si="158">A165+500</f>
        <v>66000</v>
      </c>
      <c r="B166">
        <f t="shared" si="138"/>
        <v>66</v>
      </c>
      <c r="C166">
        <f t="shared" si="107"/>
        <v>1.140016236731479</v>
      </c>
      <c r="D166">
        <f t="shared" si="108"/>
        <v>0.50083801291458685</v>
      </c>
      <c r="F166">
        <f t="shared" si="109"/>
        <v>5.9169175379038463E-3</v>
      </c>
      <c r="G166">
        <f t="shared" si="110"/>
        <v>2.6242577650565559E-2</v>
      </c>
      <c r="H166">
        <f t="shared" si="111"/>
        <v>-3.1153500723494347</v>
      </c>
      <c r="J166">
        <f t="shared" si="112"/>
        <v>15</v>
      </c>
      <c r="M166">
        <f t="shared" si="113"/>
        <v>2.263793896519831E-2</v>
      </c>
      <c r="N166">
        <f t="shared" si="114"/>
        <v>-1.5707963250000001</v>
      </c>
      <c r="O166">
        <f t="shared" si="115"/>
        <v>16.90831888009081</v>
      </c>
      <c r="P166">
        <f t="shared" si="116"/>
        <v>1.5116193087315277</v>
      </c>
      <c r="Q166">
        <f t="shared" si="117"/>
        <v>14.320621079520786</v>
      </c>
      <c r="R166">
        <f t="shared" si="118"/>
        <v>1.5009100786266591</v>
      </c>
      <c r="S166">
        <f t="shared" si="119"/>
        <v>0.88038984326903824</v>
      </c>
      <c r="T166">
        <f t="shared" si="120"/>
        <v>-0.49411273309600684</v>
      </c>
      <c r="U166">
        <f t="shared" si="121"/>
        <v>0.92191062050944328</v>
      </c>
      <c r="V166">
        <f t="shared" si="122"/>
        <v>-0.39781255608728289</v>
      </c>
      <c r="X166">
        <f t="shared" si="139"/>
        <v>-6.9327835536891724</v>
      </c>
      <c r="Y166">
        <f t="shared" si="123"/>
        <v>-118.29884168044225</v>
      </c>
      <c r="Z166">
        <f t="shared" si="140"/>
        <v>61.701158319557749</v>
      </c>
      <c r="AC166">
        <v>1</v>
      </c>
      <c r="AD166">
        <f t="shared" si="124"/>
        <v>16.878721733319601</v>
      </c>
      <c r="AE166">
        <f t="shared" si="125"/>
        <v>-8.3993291931846721E-4</v>
      </c>
      <c r="AF166">
        <f t="shared" si="126"/>
        <v>1.9988069076359999E-3</v>
      </c>
      <c r="AG166">
        <f t="shared" si="141"/>
        <v>6998.3743185334069</v>
      </c>
      <c r="AH166">
        <f t="shared" si="142"/>
        <v>-3441.1352820388224</v>
      </c>
      <c r="AJ166">
        <f t="shared" si="127"/>
        <v>22100</v>
      </c>
      <c r="AK166">
        <f t="shared" si="128"/>
        <v>11904.885648075422</v>
      </c>
      <c r="AL166">
        <v>1</v>
      </c>
      <c r="AM166">
        <f t="shared" si="129"/>
        <v>14.2856637263802</v>
      </c>
      <c r="AN166">
        <f t="shared" si="143"/>
        <v>937.04416231907419</v>
      </c>
      <c r="AO166">
        <f t="shared" si="144"/>
        <v>-1481.412151582497</v>
      </c>
      <c r="AQ166">
        <f t="shared" si="130"/>
        <v>0.57388809182209466</v>
      </c>
      <c r="AR166">
        <f t="shared" si="131"/>
        <v>-75.753228120516496</v>
      </c>
      <c r="AT166">
        <f t="shared" si="156"/>
        <v>-256660.82233032488</v>
      </c>
      <c r="AU166">
        <f t="shared" si="157"/>
        <v>-532124.27278533624</v>
      </c>
      <c r="AV166">
        <f t="shared" si="145"/>
        <v>-2.0202102882943533</v>
      </c>
      <c r="AW166">
        <f t="shared" si="146"/>
        <v>-103393.47396319537</v>
      </c>
      <c r="AX166">
        <f t="shared" si="147"/>
        <v>-80062.572327886985</v>
      </c>
      <c r="AY166">
        <f t="shared" si="155"/>
        <v>-2.4826897974708411</v>
      </c>
      <c r="BA166">
        <f t="shared" si="132"/>
        <v>4.517842519605658</v>
      </c>
      <c r="BB166">
        <f t="shared" si="148"/>
        <v>13.098621769144801</v>
      </c>
      <c r="BC166">
        <f t="shared" si="149"/>
        <v>0.46247950917648772</v>
      </c>
      <c r="BD166">
        <f t="shared" si="133"/>
        <v>-153.5018759826269</v>
      </c>
      <c r="BF166">
        <f t="shared" si="134"/>
        <v>-6.7994219789135801</v>
      </c>
      <c r="BG166">
        <f t="shared" si="135"/>
        <v>-123.30238264547275</v>
      </c>
      <c r="BH166">
        <f t="shared" si="150"/>
        <v>56.697617354527253</v>
      </c>
      <c r="BI166">
        <f t="shared" si="151"/>
        <v>56.697617354527253</v>
      </c>
      <c r="BJ166">
        <f t="shared" si="136"/>
        <v>0</v>
      </c>
      <c r="BK166">
        <f t="shared" si="152"/>
        <v>0</v>
      </c>
      <c r="BM166">
        <f t="shared" si="153"/>
        <v>-19.898043748058377</v>
      </c>
      <c r="BN166">
        <f t="shared" si="137"/>
        <v>-149.80050666284583</v>
      </c>
      <c r="BQ166" s="56">
        <f t="shared" si="154"/>
        <v>30.000582569429938</v>
      </c>
      <c r="BR166" s="59"/>
      <c r="BS166" s="59"/>
      <c r="BT166" s="59">
        <v>3630.7809999999999</v>
      </c>
      <c r="BU166" s="59">
        <v>4.4950999999999999</v>
      </c>
      <c r="BV166" s="59">
        <v>-246.21199999999999</v>
      </c>
      <c r="BW166" s="61"/>
      <c r="BY166" s="59"/>
      <c r="BZ166" s="59"/>
      <c r="CA166" s="59"/>
      <c r="CC166" s="59"/>
    </row>
    <row r="167" spans="1:81" x14ac:dyDescent="0.25">
      <c r="A167">
        <f t="shared" si="158"/>
        <v>66500</v>
      </c>
      <c r="B167">
        <f t="shared" si="138"/>
        <v>66.5</v>
      </c>
      <c r="C167">
        <f t="shared" si="107"/>
        <v>1.1420132099317986</v>
      </c>
      <c r="D167">
        <f t="shared" si="108"/>
        <v>0.50402325447305552</v>
      </c>
      <c r="F167">
        <f t="shared" si="109"/>
        <v>5.827786439745423E-3</v>
      </c>
      <c r="G167">
        <f t="shared" si="110"/>
        <v>2.6043032766768229E-2</v>
      </c>
      <c r="H167">
        <f t="shared" si="111"/>
        <v>-3.1155496172332318</v>
      </c>
      <c r="J167">
        <f t="shared" si="112"/>
        <v>15</v>
      </c>
      <c r="M167">
        <f t="shared" si="113"/>
        <v>2.2467728897790803E-2</v>
      </c>
      <c r="N167">
        <f t="shared" si="114"/>
        <v>-1.5707963250000001</v>
      </c>
      <c r="O167">
        <f t="shared" si="115"/>
        <v>17.035965834356844</v>
      </c>
      <c r="P167">
        <f t="shared" si="116"/>
        <v>1.5120632223271395</v>
      </c>
      <c r="Q167">
        <f t="shared" si="117"/>
        <v>14.428583601883089</v>
      </c>
      <c r="R167">
        <f t="shared" si="118"/>
        <v>1.5014338490344989</v>
      </c>
      <c r="S167">
        <f t="shared" si="119"/>
        <v>0.87888792414239392</v>
      </c>
      <c r="T167">
        <f t="shared" si="120"/>
        <v>-0.49727041418331897</v>
      </c>
      <c r="U167">
        <f t="shared" si="121"/>
        <v>0.92086025781115666</v>
      </c>
      <c r="V167">
        <f t="shared" si="122"/>
        <v>-0.40051516314771818</v>
      </c>
      <c r="X167">
        <f t="shared" si="139"/>
        <v>-7.0091424348132945</v>
      </c>
      <c r="Y167">
        <f t="shared" si="123"/>
        <v>-118.40809943049854</v>
      </c>
      <c r="Z167">
        <f t="shared" si="140"/>
        <v>61.591900569501462</v>
      </c>
      <c r="AC167">
        <v>1</v>
      </c>
      <c r="AD167">
        <f t="shared" si="124"/>
        <v>17.006590837359902</v>
      </c>
      <c r="AE167">
        <f t="shared" si="125"/>
        <v>-8.5270738118826722E-4</v>
      </c>
      <c r="AF167">
        <f t="shared" si="126"/>
        <v>2.0139493842089998E-3</v>
      </c>
      <c r="AG167">
        <f t="shared" si="141"/>
        <v>6982.4364528683154</v>
      </c>
      <c r="AH167">
        <f t="shared" si="142"/>
        <v>-3452.9046045365649</v>
      </c>
      <c r="AJ167">
        <f t="shared" si="127"/>
        <v>22100</v>
      </c>
      <c r="AK167">
        <f t="shared" si="128"/>
        <v>11995.074175712356</v>
      </c>
      <c r="AL167">
        <v>1</v>
      </c>
      <c r="AM167">
        <f t="shared" si="129"/>
        <v>14.393888451580052</v>
      </c>
      <c r="AN167">
        <f t="shared" si="143"/>
        <v>935.49810020916971</v>
      </c>
      <c r="AO167">
        <f t="shared" si="144"/>
        <v>-1470.3811253634908</v>
      </c>
      <c r="AQ167">
        <f t="shared" si="130"/>
        <v>0.56529112492933864</v>
      </c>
      <c r="AR167">
        <f t="shared" si="131"/>
        <v>-75.18371961560203</v>
      </c>
      <c r="AT167">
        <f t="shared" si="156"/>
        <v>-255655.10228970874</v>
      </c>
      <c r="AU167">
        <f t="shared" si="157"/>
        <v>-526917.44083438243</v>
      </c>
      <c r="AV167">
        <f t="shared" si="145"/>
        <v>-2.0225259390980677</v>
      </c>
      <c r="AW167">
        <f t="shared" si="146"/>
        <v>-101748.09172519336</v>
      </c>
      <c r="AX167">
        <f t="shared" si="147"/>
        <v>-79371.354323659354</v>
      </c>
      <c r="AY167">
        <f t="shared" si="155"/>
        <v>-2.4791184379314082</v>
      </c>
      <c r="BA167">
        <f t="shared" si="132"/>
        <v>4.538459700449847</v>
      </c>
      <c r="BB167">
        <f t="shared" si="148"/>
        <v>13.138169669044977</v>
      </c>
      <c r="BC167">
        <f t="shared" si="149"/>
        <v>0.45659249883334052</v>
      </c>
      <c r="BD167">
        <f t="shared" si="133"/>
        <v>-153.83917682962453</v>
      </c>
      <c r="BF167">
        <f t="shared" si="134"/>
        <v>-6.8765100275185969</v>
      </c>
      <c r="BG167">
        <f t="shared" si="135"/>
        <v>-123.46861567390997</v>
      </c>
      <c r="BH167">
        <f t="shared" si="150"/>
        <v>56.531384326090034</v>
      </c>
      <c r="BI167">
        <f t="shared" si="151"/>
        <v>56.531384326090034</v>
      </c>
      <c r="BJ167">
        <f t="shared" si="136"/>
        <v>0</v>
      </c>
      <c r="BK167">
        <f t="shared" si="152"/>
        <v>0</v>
      </c>
      <c r="BM167">
        <f t="shared" si="153"/>
        <v>-20.014679696563572</v>
      </c>
      <c r="BN167">
        <f t="shared" si="137"/>
        <v>-149.62943884428543</v>
      </c>
      <c r="BQ167" s="56">
        <f t="shared" si="154"/>
        <v>30.040130469330112</v>
      </c>
      <c r="BR167" s="59"/>
      <c r="BS167" s="59"/>
      <c r="BT167" s="59">
        <v>3715.3519999999999</v>
      </c>
      <c r="BU167" s="59">
        <v>4.3437000000000001</v>
      </c>
      <c r="BV167" s="59">
        <v>-245.97</v>
      </c>
      <c r="BW167" s="61"/>
      <c r="BY167" s="59"/>
      <c r="BZ167" s="59"/>
      <c r="CA167" s="59"/>
      <c r="CC167" s="59"/>
    </row>
    <row r="168" spans="1:81" x14ac:dyDescent="0.25">
      <c r="A168">
        <f t="shared" si="158"/>
        <v>67000</v>
      </c>
      <c r="B168">
        <f t="shared" si="138"/>
        <v>67</v>
      </c>
      <c r="C168">
        <f t="shared" si="107"/>
        <v>1.1440217292094568</v>
      </c>
      <c r="D168">
        <f t="shared" si="108"/>
        <v>0.50719734370486891</v>
      </c>
      <c r="F168">
        <f t="shared" si="109"/>
        <v>5.7406578239448426E-3</v>
      </c>
      <c r="G168">
        <f t="shared" si="110"/>
        <v>2.5846515934950701E-2</v>
      </c>
      <c r="H168">
        <f t="shared" si="111"/>
        <v>-3.1157461340650494</v>
      </c>
      <c r="J168">
        <f t="shared" si="112"/>
        <v>15</v>
      </c>
      <c r="M168">
        <f t="shared" si="113"/>
        <v>2.2300059279150571E-2</v>
      </c>
      <c r="N168">
        <f t="shared" si="114"/>
        <v>-1.5707963250000001</v>
      </c>
      <c r="O168">
        <f t="shared" si="115"/>
        <v>17.16361609578378</v>
      </c>
      <c r="P168">
        <f t="shared" si="116"/>
        <v>1.5125005330069317</v>
      </c>
      <c r="Q168">
        <f t="shared" si="117"/>
        <v>14.536550023720665</v>
      </c>
      <c r="R168">
        <f t="shared" si="118"/>
        <v>1.5019498392468247</v>
      </c>
      <c r="S168">
        <f t="shared" si="119"/>
        <v>0.87738241710852871</v>
      </c>
      <c r="T168">
        <f t="shared" si="120"/>
        <v>-0.50041730854452027</v>
      </c>
      <c r="U168">
        <f t="shared" si="121"/>
        <v>0.91980559042373333</v>
      </c>
      <c r="V168">
        <f t="shared" si="122"/>
        <v>-0.40321159923794303</v>
      </c>
      <c r="X168">
        <f t="shared" si="139"/>
        <v>-7.085033561885016</v>
      </c>
      <c r="Y168">
        <f t="shared" si="123"/>
        <v>-118.51767515435195</v>
      </c>
      <c r="Z168">
        <f t="shared" si="140"/>
        <v>61.482324845648051</v>
      </c>
      <c r="AC168">
        <v>1</v>
      </c>
      <c r="AD168">
        <f t="shared" si="124"/>
        <v>17.134459941400198</v>
      </c>
      <c r="AE168">
        <f t="shared" si="125"/>
        <v>-8.6557825409104669E-4</v>
      </c>
      <c r="AF168">
        <f t="shared" si="126"/>
        <v>2.0290918607819997E-3</v>
      </c>
      <c r="AG168">
        <f t="shared" si="141"/>
        <v>6966.451549957631</v>
      </c>
      <c r="AH168">
        <f t="shared" si="142"/>
        <v>-3464.608530395893</v>
      </c>
      <c r="AJ168">
        <f t="shared" si="127"/>
        <v>22100</v>
      </c>
      <c r="AK168">
        <f t="shared" si="128"/>
        <v>12085.262703349292</v>
      </c>
      <c r="AL168">
        <v>1</v>
      </c>
      <c r="AM168">
        <f t="shared" si="129"/>
        <v>14.502113176779902</v>
      </c>
      <c r="AN168">
        <f t="shared" si="143"/>
        <v>933.98630370383592</v>
      </c>
      <c r="AO168">
        <f t="shared" si="144"/>
        <v>-1459.5123785260612</v>
      </c>
      <c r="AQ168">
        <f t="shared" si="130"/>
        <v>0.55688589408030298</v>
      </c>
      <c r="AR168">
        <f t="shared" si="131"/>
        <v>-74.622709806760597</v>
      </c>
      <c r="AT168">
        <f t="shared" si="156"/>
        <v>-254658.95835779476</v>
      </c>
      <c r="AU168">
        <f t="shared" si="157"/>
        <v>-521784.88401443366</v>
      </c>
      <c r="AV168">
        <f t="shared" si="145"/>
        <v>-2.0248411717855559</v>
      </c>
      <c r="AW168">
        <f t="shared" si="146"/>
        <v>-100139.5653692566</v>
      </c>
      <c r="AX168">
        <f t="shared" si="147"/>
        <v>-78693.397354075059</v>
      </c>
      <c r="AY168">
        <f t="shared" si="155"/>
        <v>-2.4755474128074288</v>
      </c>
      <c r="BA168">
        <f t="shared" si="132"/>
        <v>4.5588258513332569</v>
      </c>
      <c r="BB168">
        <f t="shared" si="148"/>
        <v>13.177060046497859</v>
      </c>
      <c r="BC168">
        <f t="shared" si="149"/>
        <v>0.45070624102187296</v>
      </c>
      <c r="BD168">
        <f t="shared" si="133"/>
        <v>-154.17643455973291</v>
      </c>
      <c r="BF168">
        <f t="shared" si="134"/>
        <v>-6.9531960804124395</v>
      </c>
      <c r="BG168">
        <f t="shared" si="135"/>
        <v>-123.63527107210903</v>
      </c>
      <c r="BH168">
        <f t="shared" si="150"/>
        <v>56.364728927890965</v>
      </c>
      <c r="BI168">
        <f t="shared" si="151"/>
        <v>56.364728927890965</v>
      </c>
      <c r="BJ168">
        <f t="shared" si="136"/>
        <v>0</v>
      </c>
      <c r="BK168">
        <f t="shared" si="152"/>
        <v>0</v>
      </c>
      <c r="BM168">
        <f t="shared" si="153"/>
        <v>-20.130256126910297</v>
      </c>
      <c r="BN168">
        <f t="shared" si="137"/>
        <v>-149.45883651237614</v>
      </c>
      <c r="BQ168" s="56">
        <f t="shared" si="154"/>
        <v>30.079020846782996</v>
      </c>
      <c r="BR168" s="59"/>
      <c r="BS168" s="59"/>
      <c r="BT168" s="59">
        <v>3801.8939999999998</v>
      </c>
      <c r="BU168" s="59">
        <v>4.1437400000000002</v>
      </c>
      <c r="BV168" s="59">
        <v>-245.16899999999998</v>
      </c>
      <c r="BW168" s="61"/>
      <c r="BY168" s="59"/>
      <c r="BZ168" s="59"/>
      <c r="CA168" s="59"/>
      <c r="CC168" s="59"/>
    </row>
    <row r="169" spans="1:81" x14ac:dyDescent="0.25">
      <c r="A169">
        <f t="shared" si="158"/>
        <v>67500</v>
      </c>
      <c r="B169">
        <f t="shared" si="138"/>
        <v>67.5</v>
      </c>
      <c r="C169">
        <f t="shared" si="107"/>
        <v>1.1460417338585007</v>
      </c>
      <c r="D169">
        <f t="shared" si="108"/>
        <v>0.51036027545719953</v>
      </c>
      <c r="F169">
        <f t="shared" si="109"/>
        <v>5.6554720469558801E-3</v>
      </c>
      <c r="G169">
        <f t="shared" si="110"/>
        <v>2.5652958393922204E-2</v>
      </c>
      <c r="H169">
        <f t="shared" si="111"/>
        <v>-3.1159396916060782</v>
      </c>
      <c r="J169">
        <f t="shared" si="112"/>
        <v>15</v>
      </c>
      <c r="M169">
        <f t="shared" si="113"/>
        <v>2.2134873654860568E-2</v>
      </c>
      <c r="N169">
        <f t="shared" si="114"/>
        <v>-1.5707963250000001</v>
      </c>
      <c r="O169">
        <f t="shared" si="115"/>
        <v>17.291269591127733</v>
      </c>
      <c r="P169">
        <f t="shared" si="116"/>
        <v>1.5129313868406373</v>
      </c>
      <c r="Q169">
        <f t="shared" si="117"/>
        <v>14.644520258787111</v>
      </c>
      <c r="R169">
        <f t="shared" si="118"/>
        <v>1.5024582210698592</v>
      </c>
      <c r="S169">
        <f t="shared" si="119"/>
        <v>0.87587342979640836</v>
      </c>
      <c r="T169">
        <f t="shared" si="120"/>
        <v>-0.50355340934928283</v>
      </c>
      <c r="U169">
        <f t="shared" si="121"/>
        <v>0.91874667905052876</v>
      </c>
      <c r="V169">
        <f t="shared" si="122"/>
        <v>-0.40590184639367294</v>
      </c>
      <c r="X169">
        <f t="shared" si="139"/>
        <v>-7.1604646999910981</v>
      </c>
      <c r="Y169">
        <f t="shared" si="123"/>
        <v>-118.62755345338637</v>
      </c>
      <c r="Z169">
        <f t="shared" si="140"/>
        <v>61.372446546613631</v>
      </c>
      <c r="AC169">
        <v>1</v>
      </c>
      <c r="AD169">
        <f t="shared" si="124"/>
        <v>17.262329045440502</v>
      </c>
      <c r="AE169">
        <f t="shared" si="125"/>
        <v>-8.7854553802680583E-4</v>
      </c>
      <c r="AF169">
        <f t="shared" si="126"/>
        <v>2.0442343373550001E-3</v>
      </c>
      <c r="AG169">
        <f t="shared" si="141"/>
        <v>6950.4207525559759</v>
      </c>
      <c r="AH169">
        <f t="shared" si="142"/>
        <v>-3476.2458538690025</v>
      </c>
      <c r="AJ169">
        <f t="shared" si="127"/>
        <v>22100</v>
      </c>
      <c r="AK169">
        <f t="shared" si="128"/>
        <v>12175.451230986228</v>
      </c>
      <c r="AL169">
        <v>1</v>
      </c>
      <c r="AM169">
        <f t="shared" si="129"/>
        <v>14.610337901979751</v>
      </c>
      <c r="AN169">
        <f t="shared" si="143"/>
        <v>932.50776922084015</v>
      </c>
      <c r="AO169">
        <f t="shared" si="144"/>
        <v>-1448.8023735515994</v>
      </c>
      <c r="AQ169">
        <f t="shared" si="130"/>
        <v>0.54866673982223202</v>
      </c>
      <c r="AR169">
        <f t="shared" si="131"/>
        <v>-74.070009876001322</v>
      </c>
      <c r="AT169">
        <f t="shared" si="156"/>
        <v>-253672.100032788</v>
      </c>
      <c r="AU169">
        <f t="shared" si="157"/>
        <v>-516725.0342636485</v>
      </c>
      <c r="AV169">
        <f t="shared" si="145"/>
        <v>-2.0271558412116639</v>
      </c>
      <c r="AW169">
        <f t="shared" si="146"/>
        <v>-98566.816775568543</v>
      </c>
      <c r="AX169">
        <f t="shared" si="147"/>
        <v>-78028.321712883058</v>
      </c>
      <c r="AY169">
        <f t="shared" si="155"/>
        <v>-2.4719770432353032</v>
      </c>
      <c r="BA169">
        <f t="shared" si="132"/>
        <v>4.5789409227524605</v>
      </c>
      <c r="BB169">
        <f t="shared" si="148"/>
        <v>13.215300806399661</v>
      </c>
      <c r="BC169">
        <f t="shared" si="149"/>
        <v>0.44482120202363928</v>
      </c>
      <c r="BD169">
        <f t="shared" si="133"/>
        <v>-154.51362245698689</v>
      </c>
      <c r="BF169">
        <f t="shared" si="134"/>
        <v>-7.0294881485502669</v>
      </c>
      <c r="BG169">
        <f t="shared" si="135"/>
        <v>-123.802326359066</v>
      </c>
      <c r="BH169">
        <f t="shared" si="150"/>
        <v>56.197673640933999</v>
      </c>
      <c r="BI169">
        <f t="shared" si="151"/>
        <v>56.197673640933999</v>
      </c>
      <c r="BJ169">
        <f t="shared" si="136"/>
        <v>0</v>
      </c>
      <c r="BK169">
        <f t="shared" si="152"/>
        <v>0</v>
      </c>
      <c r="BM169">
        <f t="shared" si="153"/>
        <v>-20.244788954949925</v>
      </c>
      <c r="BN169">
        <f t="shared" si="137"/>
        <v>-149.28870390207913</v>
      </c>
      <c r="BQ169" s="56">
        <f t="shared" si="154"/>
        <v>30.117261606684799</v>
      </c>
      <c r="BR169" s="59"/>
      <c r="BS169" s="59"/>
      <c r="BT169" s="59">
        <v>3890.451</v>
      </c>
      <c r="BU169" s="59">
        <v>3.9573</v>
      </c>
      <c r="BV169" s="59">
        <v>-244.768</v>
      </c>
      <c r="BW169" s="61"/>
      <c r="BY169" s="59"/>
      <c r="BZ169" s="59"/>
      <c r="CA169" s="59"/>
      <c r="CC169" s="59"/>
    </row>
    <row r="170" spans="1:81" x14ac:dyDescent="0.25">
      <c r="A170">
        <f t="shared" si="158"/>
        <v>68000</v>
      </c>
      <c r="B170">
        <f t="shared" si="138"/>
        <v>68</v>
      </c>
      <c r="C170">
        <f t="shared" si="107"/>
        <v>1.1480731632543026</v>
      </c>
      <c r="D170">
        <f t="shared" si="108"/>
        <v>0.51351204550633944</v>
      </c>
      <c r="F170">
        <f t="shared" si="109"/>
        <v>5.5721716731637061E-3</v>
      </c>
      <c r="G170">
        <f t="shared" si="110"/>
        <v>2.5462293458928094E-2</v>
      </c>
      <c r="H170">
        <f t="shared" si="111"/>
        <v>-3.1161303565410723</v>
      </c>
      <c r="J170">
        <f t="shared" si="112"/>
        <v>15</v>
      </c>
      <c r="M170">
        <f t="shared" si="113"/>
        <v>2.1972117230927769E-2</v>
      </c>
      <c r="N170">
        <f t="shared" si="114"/>
        <v>-1.5707963250000001</v>
      </c>
      <c r="O170">
        <f t="shared" si="115"/>
        <v>17.418926249290035</v>
      </c>
      <c r="P170">
        <f t="shared" si="116"/>
        <v>1.5133559256257856</v>
      </c>
      <c r="Q170">
        <f t="shared" si="117"/>
        <v>14.752494223357898</v>
      </c>
      <c r="R170">
        <f t="shared" si="118"/>
        <v>1.5029591612960032</v>
      </c>
      <c r="S170">
        <f t="shared" si="119"/>
        <v>0.87436106894765675</v>
      </c>
      <c r="T170">
        <f t="shared" si="120"/>
        <v>-0.5066787106632904</v>
      </c>
      <c r="U170">
        <f t="shared" si="121"/>
        <v>0.91768358423483443</v>
      </c>
      <c r="V170">
        <f t="shared" si="122"/>
        <v>-0.40858588709132293</v>
      </c>
      <c r="X170">
        <f t="shared" si="139"/>
        <v>-7.2354434215066785</v>
      </c>
      <c r="Y170">
        <f t="shared" si="123"/>
        <v>-118.73771936541812</v>
      </c>
      <c r="Z170">
        <f t="shared" si="140"/>
        <v>61.262280634581884</v>
      </c>
      <c r="AC170">
        <v>1</v>
      </c>
      <c r="AD170">
        <f t="shared" si="124"/>
        <v>17.390198149480799</v>
      </c>
      <c r="AE170">
        <f t="shared" si="125"/>
        <v>-8.9160923299554475E-4</v>
      </c>
      <c r="AF170">
        <f t="shared" si="126"/>
        <v>2.059376813928E-3</v>
      </c>
      <c r="AG170">
        <f t="shared" si="141"/>
        <v>6934.3451976630668</v>
      </c>
      <c r="AH170">
        <f t="shared" si="142"/>
        <v>-3487.8154179635376</v>
      </c>
      <c r="AJ170">
        <f t="shared" si="127"/>
        <v>22100</v>
      </c>
      <c r="AK170">
        <f t="shared" si="128"/>
        <v>12265.639758623161</v>
      </c>
      <c r="AL170">
        <v>1</v>
      </c>
      <c r="AM170">
        <f t="shared" si="129"/>
        <v>14.718562627179603</v>
      </c>
      <c r="AN170">
        <f t="shared" si="143"/>
        <v>931.06152959591009</v>
      </c>
      <c r="AO170">
        <f t="shared" si="144"/>
        <v>-1438.2476744918752</v>
      </c>
      <c r="AQ170">
        <f t="shared" si="130"/>
        <v>0.54062820997999672</v>
      </c>
      <c r="AR170">
        <f t="shared" si="131"/>
        <v>-73.525436557279562</v>
      </c>
      <c r="AT170">
        <f t="shared" si="156"/>
        <v>-252694.24860538362</v>
      </c>
      <c r="AU170">
        <f t="shared" si="157"/>
        <v>-511736.36930320633</v>
      </c>
      <c r="AV170">
        <f t="shared" si="145"/>
        <v>-2.0294698063886396</v>
      </c>
      <c r="AW170">
        <f t="shared" si="146"/>
        <v>-97028.806862655576</v>
      </c>
      <c r="AX170">
        <f t="shared" si="147"/>
        <v>-77375.761837435683</v>
      </c>
      <c r="AY170">
        <f t="shared" si="155"/>
        <v>-2.4684076439232405</v>
      </c>
      <c r="BA170">
        <f t="shared" si="132"/>
        <v>4.5988049079100435</v>
      </c>
      <c r="BB170">
        <f t="shared" si="148"/>
        <v>13.25289972348652</v>
      </c>
      <c r="BC170">
        <f t="shared" si="149"/>
        <v>0.43893783753460092</v>
      </c>
      <c r="BD170">
        <f t="shared" si="133"/>
        <v>-154.85071441193111</v>
      </c>
      <c r="BF170">
        <f t="shared" si="134"/>
        <v>-7.105394027933194</v>
      </c>
      <c r="BG170">
        <f t="shared" si="135"/>
        <v>-123.96975948808121</v>
      </c>
      <c r="BH170">
        <f t="shared" si="150"/>
        <v>56.030240511918791</v>
      </c>
      <c r="BI170">
        <f t="shared" si="151"/>
        <v>56.030240511918791</v>
      </c>
      <c r="BJ170">
        <f t="shared" si="136"/>
        <v>0</v>
      </c>
      <c r="BK170">
        <f t="shared" si="152"/>
        <v>0</v>
      </c>
      <c r="BM170">
        <f t="shared" si="153"/>
        <v>-20.358293751419716</v>
      </c>
      <c r="BN170">
        <f t="shared" si="137"/>
        <v>-149.11904507615012</v>
      </c>
      <c r="BQ170" s="56">
        <f t="shared" si="154"/>
        <v>30.15486052377166</v>
      </c>
      <c r="BR170" s="59"/>
      <c r="BS170" s="59"/>
      <c r="BT170" s="59">
        <v>3981.0720000000001</v>
      </c>
      <c r="BU170" s="59">
        <v>3.8980899999999998</v>
      </c>
      <c r="BV170" s="59">
        <v>-244.315</v>
      </c>
      <c r="BW170" s="61"/>
      <c r="BY170" s="59"/>
      <c r="BZ170" s="59"/>
      <c r="CA170" s="59"/>
      <c r="CC170" s="59"/>
    </row>
    <row r="171" spans="1:81" x14ac:dyDescent="0.25">
      <c r="A171">
        <f t="shared" si="158"/>
        <v>68500</v>
      </c>
      <c r="B171">
        <f t="shared" si="138"/>
        <v>68.5</v>
      </c>
      <c r="C171">
        <f t="shared" si="107"/>
        <v>1.1501159568588815</v>
      </c>
      <c r="D171">
        <f t="shared" si="108"/>
        <v>0.51665265054533982</v>
      </c>
      <c r="F171">
        <f t="shared" si="109"/>
        <v>5.49070137736215E-3</v>
      </c>
      <c r="G171">
        <f t="shared" si="110"/>
        <v>2.5274456443498215E-2</v>
      </c>
      <c r="H171">
        <f t="shared" si="111"/>
        <v>-3.1163181935565021</v>
      </c>
      <c r="J171">
        <f t="shared" si="112"/>
        <v>15</v>
      </c>
      <c r="M171">
        <f t="shared" si="113"/>
        <v>2.1811736813183769E-2</v>
      </c>
      <c r="N171">
        <f t="shared" si="114"/>
        <v>-1.5707963250000001</v>
      </c>
      <c r="O171">
        <f t="shared" si="115"/>
        <v>17.546586001239337</v>
      </c>
      <c r="P171">
        <f t="shared" si="116"/>
        <v>1.5137742870425879</v>
      </c>
      <c r="Q171">
        <f t="shared" si="117"/>
        <v>14.860471836138963</v>
      </c>
      <c r="R171">
        <f t="shared" si="118"/>
        <v>1.5034528218851317</v>
      </c>
      <c r="S171">
        <f t="shared" si="119"/>
        <v>0.87284544040850831</v>
      </c>
      <c r="T171">
        <f t="shared" si="120"/>
        <v>-0.50979320743689005</v>
      </c>
      <c r="U171">
        <f t="shared" si="121"/>
        <v>0.91661636635327559</v>
      </c>
      <c r="V171">
        <f t="shared" si="122"/>
        <v>-0.41126370424575748</v>
      </c>
      <c r="X171">
        <f t="shared" si="139"/>
        <v>-7.3099771122178208</v>
      </c>
      <c r="Y171">
        <f t="shared" si="123"/>
        <v>-118.84815834984087</v>
      </c>
      <c r="Z171">
        <f t="shared" si="140"/>
        <v>61.151841650159128</v>
      </c>
      <c r="AC171">
        <v>1</v>
      </c>
      <c r="AD171">
        <f t="shared" si="124"/>
        <v>17.5180672535211</v>
      </c>
      <c r="AE171">
        <f t="shared" si="125"/>
        <v>-9.0476933899726292E-4</v>
      </c>
      <c r="AF171">
        <f t="shared" si="126"/>
        <v>2.0745192905009999E-3</v>
      </c>
      <c r="AG171">
        <f t="shared" si="141"/>
        <v>6918.2260163960018</v>
      </c>
      <c r="AH171">
        <f t="shared" si="142"/>
        <v>-3499.316112956039</v>
      </c>
      <c r="AJ171">
        <f t="shared" si="127"/>
        <v>22100</v>
      </c>
      <c r="AK171">
        <f t="shared" si="128"/>
        <v>12355.828286260095</v>
      </c>
      <c r="AL171">
        <v>1</v>
      </c>
      <c r="AM171">
        <f t="shared" si="129"/>
        <v>14.826787352379451</v>
      </c>
      <c r="AN171">
        <f t="shared" si="143"/>
        <v>929.64665251074484</v>
      </c>
      <c r="AO171">
        <f t="shared" si="144"/>
        <v>-1427.8449433681105</v>
      </c>
      <c r="AQ171">
        <f t="shared" si="130"/>
        <v>0.53276505061267976</v>
      </c>
      <c r="AR171">
        <f t="shared" si="131"/>
        <v>-72.988811933937129</v>
      </c>
      <c r="AT171">
        <f t="shared" si="156"/>
        <v>-251725.13663216907</v>
      </c>
      <c r="AU171">
        <f t="shared" si="157"/>
        <v>-506817.41095322761</v>
      </c>
      <c r="AV171">
        <f t="shared" si="145"/>
        <v>-2.0317829303492658</v>
      </c>
      <c r="AW171">
        <f t="shared" si="146"/>
        <v>-95524.533905057484</v>
      </c>
      <c r="AX171">
        <f t="shared" si="147"/>
        <v>-76735.365665905905</v>
      </c>
      <c r="AY171">
        <f t="shared" si="155"/>
        <v>-2.464839523306817</v>
      </c>
      <c r="BA171">
        <f t="shared" si="132"/>
        <v>4.618417842435159</v>
      </c>
      <c r="BB171">
        <f t="shared" si="148"/>
        <v>13.289864446264659</v>
      </c>
      <c r="BC171">
        <f t="shared" si="149"/>
        <v>0.43305659295755117</v>
      </c>
      <c r="BD171">
        <f t="shared" si="133"/>
        <v>-155.18768490486531</v>
      </c>
      <c r="BF171">
        <f t="shared" si="134"/>
        <v>-7.1809213058612142</v>
      </c>
      <c r="BG171">
        <f t="shared" si="135"/>
        <v>-124.1375488351903</v>
      </c>
      <c r="BH171">
        <f t="shared" si="150"/>
        <v>55.862451164809698</v>
      </c>
      <c r="BI171">
        <f t="shared" si="151"/>
        <v>55.862451164809698</v>
      </c>
      <c r="BJ171">
        <f t="shared" si="136"/>
        <v>0</v>
      </c>
      <c r="BK171">
        <f t="shared" si="152"/>
        <v>0</v>
      </c>
      <c r="BM171">
        <f t="shared" si="153"/>
        <v>-20.470785752125874</v>
      </c>
      <c r="BN171">
        <f t="shared" si="137"/>
        <v>-148.94986393032502</v>
      </c>
      <c r="BQ171" s="56">
        <f t="shared" si="154"/>
        <v>30.191825246549797</v>
      </c>
      <c r="BR171" s="59"/>
      <c r="BS171" s="59"/>
      <c r="BT171" s="59">
        <v>4073.8029999999999</v>
      </c>
      <c r="BU171" s="59">
        <v>3.5600999999999998</v>
      </c>
      <c r="BV171" s="59">
        <v>-244.142</v>
      </c>
      <c r="BW171" s="61"/>
      <c r="BY171" s="59"/>
      <c r="BZ171" s="59"/>
      <c r="CA171" s="59"/>
      <c r="CC171" s="59"/>
    </row>
    <row r="172" spans="1:81" x14ac:dyDescent="0.25">
      <c r="A172">
        <f t="shared" si="158"/>
        <v>69000</v>
      </c>
      <c r="B172">
        <f t="shared" si="138"/>
        <v>69</v>
      </c>
      <c r="C172">
        <f t="shared" si="107"/>
        <v>1.1521700542261282</v>
      </c>
      <c r="D172">
        <f t="shared" si="108"/>
        <v>0.51978208817162952</v>
      </c>
      <c r="F172">
        <f t="shared" si="109"/>
        <v>5.4110078522277456E-3</v>
      </c>
      <c r="G172">
        <f t="shared" si="110"/>
        <v>2.5089384584813686E-2</v>
      </c>
      <c r="H172">
        <f t="shared" si="111"/>
        <v>-3.1165032654151865</v>
      </c>
      <c r="J172">
        <f t="shared" si="112"/>
        <v>15</v>
      </c>
      <c r="M172">
        <f t="shared" si="113"/>
        <v>2.1653680749320121E-2</v>
      </c>
      <c r="N172">
        <f t="shared" si="114"/>
        <v>-1.5707963250000001</v>
      </c>
      <c r="O172">
        <f t="shared" si="115"/>
        <v>17.674248779937077</v>
      </c>
      <c r="P172">
        <f t="shared" si="116"/>
        <v>1.5141866048021411</v>
      </c>
      <c r="Q172">
        <f t="shared" si="117"/>
        <v>14.968453018179256</v>
      </c>
      <c r="R172">
        <f t="shared" si="118"/>
        <v>1.5039393601380895</v>
      </c>
      <c r="S172">
        <f t="shared" si="119"/>
        <v>0.87132664912219415</v>
      </c>
      <c r="T172">
        <f t="shared" si="120"/>
        <v>-0.51289689549371298</v>
      </c>
      <c r="U172">
        <f t="shared" si="121"/>
        <v>0.91554508560932713</v>
      </c>
      <c r="V172">
        <f t="shared" si="122"/>
        <v>-0.41393528120799244</v>
      </c>
      <c r="X172">
        <f t="shared" si="139"/>
        <v>-7.384072977203294</v>
      </c>
      <c r="Y172">
        <f t="shared" si="123"/>
        <v>-118.95885627339548</v>
      </c>
      <c r="Z172">
        <f t="shared" si="140"/>
        <v>61.041143726604517</v>
      </c>
      <c r="AC172">
        <v>1</v>
      </c>
      <c r="AD172">
        <f t="shared" si="124"/>
        <v>17.6459363575614</v>
      </c>
      <c r="AE172">
        <f t="shared" si="125"/>
        <v>-9.1802585603196097E-4</v>
      </c>
      <c r="AF172">
        <f t="shared" si="126"/>
        <v>2.0896617670739998E-3</v>
      </c>
      <c r="AG172">
        <f t="shared" si="141"/>
        <v>6902.0643338647869</v>
      </c>
      <c r="AH172">
        <f t="shared" si="142"/>
        <v>-3510.7468749626087</v>
      </c>
      <c r="AJ172">
        <f t="shared" si="127"/>
        <v>22100</v>
      </c>
      <c r="AK172">
        <f t="shared" si="128"/>
        <v>12446.016813897031</v>
      </c>
      <c r="AL172">
        <v>1</v>
      </c>
      <c r="AM172">
        <f t="shared" si="129"/>
        <v>14.935012077579302</v>
      </c>
      <c r="AN172">
        <f t="shared" si="143"/>
        <v>928.26223899950378</v>
      </c>
      <c r="AO172">
        <f t="shared" si="144"/>
        <v>-1417.5909367213619</v>
      </c>
      <c r="AQ172">
        <f t="shared" si="130"/>
        <v>0.52507219742714628</v>
      </c>
      <c r="AR172">
        <f t="shared" si="131"/>
        <v>-72.459963244946181</v>
      </c>
      <c r="AT172">
        <f t="shared" si="156"/>
        <v>-250764.50743553438</v>
      </c>
      <c r="AU172">
        <f t="shared" si="157"/>
        <v>-501966.72352234356</v>
      </c>
      <c r="AV172">
        <f t="shared" si="145"/>
        <v>-2.0340950800157476</v>
      </c>
      <c r="AW172">
        <f t="shared" si="146"/>
        <v>-94053.031934851795</v>
      </c>
      <c r="AX172">
        <f t="shared" si="147"/>
        <v>-76106.794028732096</v>
      </c>
      <c r="AY172">
        <f t="shared" si="155"/>
        <v>-2.4612729836966647</v>
      </c>
      <c r="BA172">
        <f t="shared" si="132"/>
        <v>4.6377798040875993</v>
      </c>
      <c r="BB172">
        <f t="shared" si="148"/>
        <v>13.326202500787755</v>
      </c>
      <c r="BC172">
        <f t="shared" si="149"/>
        <v>0.42717790368091713</v>
      </c>
      <c r="BD172">
        <f t="shared" si="133"/>
        <v>-155.52450898987013</v>
      </c>
      <c r="BF172">
        <f t="shared" si="134"/>
        <v>-7.2560773669568537</v>
      </c>
      <c r="BG172">
        <f t="shared" si="135"/>
        <v>-124.3056731881758</v>
      </c>
      <c r="BH172">
        <f t="shared" si="150"/>
        <v>55.694326811824197</v>
      </c>
      <c r="BI172">
        <f t="shared" si="151"/>
        <v>55.694326811824197</v>
      </c>
      <c r="BJ172">
        <f t="shared" si="136"/>
        <v>0</v>
      </c>
      <c r="BK172">
        <f t="shared" si="152"/>
        <v>0</v>
      </c>
      <c r="BM172">
        <f t="shared" si="153"/>
        <v>-20.58227986774461</v>
      </c>
      <c r="BN172">
        <f t="shared" si="137"/>
        <v>-148.78116419830567</v>
      </c>
      <c r="BQ172" s="56">
        <f t="shared" si="154"/>
        <v>30.228163301072893</v>
      </c>
      <c r="BR172" s="59"/>
      <c r="BS172" s="59"/>
      <c r="BT172" s="59">
        <v>4168.6940000000004</v>
      </c>
      <c r="BU172" s="59">
        <v>3.4098799999999998</v>
      </c>
      <c r="BV172" s="59">
        <v>-243.709</v>
      </c>
      <c r="BW172" s="61"/>
      <c r="BY172" s="59"/>
      <c r="BZ172" s="59"/>
      <c r="CA172" s="59"/>
      <c r="CC172" s="59"/>
    </row>
    <row r="173" spans="1:81" x14ac:dyDescent="0.25">
      <c r="A173">
        <f t="shared" si="158"/>
        <v>69500</v>
      </c>
      <c r="B173">
        <f t="shared" si="138"/>
        <v>69.5</v>
      </c>
      <c r="C173">
        <f t="shared" si="107"/>
        <v>1.1542353950069264</v>
      </c>
      <c r="D173">
        <f t="shared" si="108"/>
        <v>0.52290035687461767</v>
      </c>
      <c r="F173">
        <f t="shared" si="109"/>
        <v>5.3330397204995814E-3</v>
      </c>
      <c r="G173">
        <f t="shared" si="110"/>
        <v>2.4907016972407901E-2</v>
      </c>
      <c r="H173">
        <f t="shared" si="111"/>
        <v>-3.1166856330275925</v>
      </c>
      <c r="J173">
        <f t="shared" si="112"/>
        <v>15</v>
      </c>
      <c r="M173">
        <f t="shared" si="113"/>
        <v>2.1497898873425732E-2</v>
      </c>
      <c r="N173">
        <f t="shared" si="114"/>
        <v>-1.5707963250000001</v>
      </c>
      <c r="O173">
        <f t="shared" si="115"/>
        <v>17.801914520266138</v>
      </c>
      <c r="P173">
        <f t="shared" si="116"/>
        <v>1.5145930087882833</v>
      </c>
      <c r="Q173">
        <f t="shared" si="117"/>
        <v>15.076437692787017</v>
      </c>
      <c r="R173">
        <f t="shared" si="118"/>
        <v>1.5044189288627774</v>
      </c>
      <c r="S173">
        <f t="shared" si="119"/>
        <v>0.86980479912175734</v>
      </c>
      <c r="T173">
        <f t="shared" si="120"/>
        <v>-0.51598977151927072</v>
      </c>
      <c r="U173">
        <f t="shared" si="121"/>
        <v>0.91446980202695016</v>
      </c>
      <c r="V173">
        <f t="shared" si="122"/>
        <v>-0.4166006017628488</v>
      </c>
      <c r="X173">
        <f t="shared" si="139"/>
        <v>-7.4577380464871181</v>
      </c>
      <c r="Y173">
        <f t="shared" si="123"/>
        <v>-119.06979939653408</v>
      </c>
      <c r="Z173">
        <f t="shared" si="140"/>
        <v>60.93020060346592</v>
      </c>
      <c r="AC173">
        <v>1</v>
      </c>
      <c r="AD173">
        <f t="shared" si="124"/>
        <v>17.7738054616017</v>
      </c>
      <c r="AE173">
        <f t="shared" si="125"/>
        <v>-9.3137878409963858E-4</v>
      </c>
      <c r="AF173">
        <f t="shared" si="126"/>
        <v>2.1048042436469998E-3</v>
      </c>
      <c r="AG173">
        <f t="shared" si="141"/>
        <v>6885.8612690511291</v>
      </c>
      <c r="AH173">
        <f t="shared" si="142"/>
        <v>-3522.1066845639352</v>
      </c>
      <c r="AJ173">
        <f t="shared" si="127"/>
        <v>22100</v>
      </c>
      <c r="AK173">
        <f t="shared" si="128"/>
        <v>12536.205341533967</v>
      </c>
      <c r="AL173">
        <v>1</v>
      </c>
      <c r="AM173">
        <f t="shared" si="129"/>
        <v>15.04323680277915</v>
      </c>
      <c r="AN173">
        <f t="shared" si="143"/>
        <v>926.90742202933609</v>
      </c>
      <c r="AO173">
        <f t="shared" si="144"/>
        <v>-1407.4825023068879</v>
      </c>
      <c r="AQ173">
        <f t="shared" si="130"/>
        <v>0.51754476762239932</v>
      </c>
      <c r="AR173">
        <f t="shared" si="131"/>
        <v>-71.938722699513505</v>
      </c>
      <c r="AT173">
        <f t="shared" si="156"/>
        <v>-249812.11462857667</v>
      </c>
      <c r="AU173">
        <f t="shared" si="157"/>
        <v>-497182.91226719331</v>
      </c>
      <c r="AV173">
        <f t="shared" si="145"/>
        <v>-2.0364061260740667</v>
      </c>
      <c r="AW173">
        <f t="shared" si="146"/>
        <v>-92613.369222298119</v>
      </c>
      <c r="AX173">
        <f t="shared" si="147"/>
        <v>-75489.720072213619</v>
      </c>
      <c r="AY173">
        <f t="shared" si="155"/>
        <v>-2.4577083214187616</v>
      </c>
      <c r="BA173">
        <f t="shared" si="132"/>
        <v>4.6568909124454727</v>
      </c>
      <c r="BB173">
        <f t="shared" si="148"/>
        <v>13.361921294287594</v>
      </c>
      <c r="BC173">
        <f t="shared" si="149"/>
        <v>0.42130219534469493</v>
      </c>
      <c r="BD173">
        <f t="shared" si="133"/>
        <v>-155.86116227957018</v>
      </c>
      <c r="BF173">
        <f t="shared" si="134"/>
        <v>-7.3308693989709086</v>
      </c>
      <c r="BG173">
        <f t="shared" si="135"/>
        <v>-124.47411173612541</v>
      </c>
      <c r="BH173">
        <f t="shared" si="150"/>
        <v>55.525888263874592</v>
      </c>
      <c r="BI173">
        <f t="shared" si="151"/>
        <v>55.525888263874592</v>
      </c>
      <c r="BJ173">
        <f t="shared" si="136"/>
        <v>0</v>
      </c>
      <c r="BK173">
        <f t="shared" si="152"/>
        <v>0</v>
      </c>
      <c r="BM173">
        <f t="shared" si="153"/>
        <v>-20.692790693258502</v>
      </c>
      <c r="BN173">
        <f t="shared" si="137"/>
        <v>-148.61294945655524</v>
      </c>
      <c r="BQ173" s="56">
        <f t="shared" si="154"/>
        <v>30.263882094572732</v>
      </c>
      <c r="BR173" s="59"/>
      <c r="BS173" s="59"/>
      <c r="BT173" s="59">
        <v>4265.7950000000001</v>
      </c>
      <c r="BU173" s="59">
        <v>3.2244999999999999</v>
      </c>
      <c r="BV173" s="59">
        <v>-243.32400000000001</v>
      </c>
      <c r="BW173" s="61"/>
      <c r="BY173" s="59"/>
      <c r="BZ173" s="59"/>
      <c r="CA173" s="59"/>
      <c r="CC173" s="59"/>
    </row>
    <row r="174" spans="1:81" x14ac:dyDescent="0.25">
      <c r="A174">
        <f t="shared" si="158"/>
        <v>70000</v>
      </c>
      <c r="B174">
        <f t="shared" si="138"/>
        <v>70</v>
      </c>
      <c r="C174">
        <f t="shared" si="107"/>
        <v>1.1563119189541766</v>
      </c>
      <c r="D174">
        <f t="shared" si="108"/>
        <v>0.52600745602328525</v>
      </c>
      <c r="F174">
        <f t="shared" si="109"/>
        <v>5.2567474515930373E-3</v>
      </c>
      <c r="G174">
        <f t="shared" si="110"/>
        <v>2.472729448002859E-2</v>
      </c>
      <c r="H174">
        <f t="shared" si="111"/>
        <v>-3.1168653555199715</v>
      </c>
      <c r="J174">
        <f t="shared" si="112"/>
        <v>15</v>
      </c>
      <c r="M174">
        <f t="shared" si="113"/>
        <v>2.134434245290126E-2</v>
      </c>
      <c r="N174">
        <f t="shared" si="114"/>
        <v>-1.5707963250000001</v>
      </c>
      <c r="O174">
        <f t="shared" si="115"/>
        <v>17.929583158962554</v>
      </c>
      <c r="P174">
        <f t="shared" si="116"/>
        <v>1.5149936251934144</v>
      </c>
      <c r="Q174">
        <f t="shared" si="117"/>
        <v>15.184425785449635</v>
      </c>
      <c r="R174">
        <f t="shared" si="118"/>
        <v>1.5048916765331957</v>
      </c>
      <c r="S174">
        <f t="shared" si="119"/>
        <v>0.86827999352328944</v>
      </c>
      <c r="T174">
        <f t="shared" si="120"/>
        <v>-0.51907183304953175</v>
      </c>
      <c r="U174">
        <f t="shared" si="121"/>
        <v>0.91339057544434565</v>
      </c>
      <c r="V174">
        <f t="shared" si="122"/>
        <v>-0.41925965012656052</v>
      </c>
      <c r="X174">
        <f t="shared" si="139"/>
        <v>-7.530979180472448</v>
      </c>
      <c r="Y174">
        <f t="shared" si="123"/>
        <v>-119.18097436034881</v>
      </c>
      <c r="Z174">
        <f t="shared" si="140"/>
        <v>60.819025639651187</v>
      </c>
      <c r="AC174">
        <v>1</v>
      </c>
      <c r="AD174">
        <f t="shared" si="124"/>
        <v>17.901674565642001</v>
      </c>
      <c r="AE174">
        <f t="shared" si="125"/>
        <v>-9.4482812320029587E-4</v>
      </c>
      <c r="AF174">
        <f t="shared" si="126"/>
        <v>2.1199467202199997E-3</v>
      </c>
      <c r="AG174">
        <f t="shared" si="141"/>
        <v>6869.6179346904655</v>
      </c>
      <c r="AH174">
        <f t="shared" si="142"/>
        <v>-3533.3945654819759</v>
      </c>
      <c r="AJ174">
        <f t="shared" si="127"/>
        <v>22100</v>
      </c>
      <c r="AK174">
        <f t="shared" si="128"/>
        <v>12626.393869170901</v>
      </c>
      <c r="AL174">
        <v>1</v>
      </c>
      <c r="AM174">
        <f t="shared" si="129"/>
        <v>15.151461527979002</v>
      </c>
      <c r="AN174">
        <f t="shared" si="143"/>
        <v>925.58136515078945</v>
      </c>
      <c r="AO174">
        <f t="shared" si="144"/>
        <v>-1397.5165759255694</v>
      </c>
      <c r="AQ174">
        <f t="shared" si="130"/>
        <v>0.51017805214019696</v>
      </c>
      <c r="AR174">
        <f t="shared" si="131"/>
        <v>-71.424927299627569</v>
      </c>
      <c r="AT174">
        <f t="shared" si="156"/>
        <v>-248867.72166358153</v>
      </c>
      <c r="AU174">
        <f t="shared" si="157"/>
        <v>-492464.62191834458</v>
      </c>
      <c r="AV174">
        <f t="shared" si="145"/>
        <v>-2.0387159428535258</v>
      </c>
      <c r="AW174">
        <f t="shared" si="146"/>
        <v>-91204.646831164995</v>
      </c>
      <c r="AX174">
        <f t="shared" si="147"/>
        <v>-74883.828712321701</v>
      </c>
      <c r="AY174">
        <f t="shared" si="155"/>
        <v>-2.4541458269477534</v>
      </c>
      <c r="BA174">
        <f t="shared" si="132"/>
        <v>4.6757513285766912</v>
      </c>
      <c r="BB174">
        <f t="shared" si="148"/>
        <v>13.397028118663876</v>
      </c>
      <c r="BC174">
        <f t="shared" si="149"/>
        <v>0.41542988409422765</v>
      </c>
      <c r="BD174">
        <f t="shared" si="133"/>
        <v>-156.19762093059362</v>
      </c>
      <c r="BF174">
        <f t="shared" si="134"/>
        <v>-7.4053043983805233</v>
      </c>
      <c r="BG174">
        <f t="shared" si="135"/>
        <v>-124.64284405950673</v>
      </c>
      <c r="BH174">
        <f t="shared" si="150"/>
        <v>55.357155940493271</v>
      </c>
      <c r="BI174">
        <f t="shared" si="151"/>
        <v>55.357155940493271</v>
      </c>
      <c r="BJ174">
        <f t="shared" si="136"/>
        <v>0</v>
      </c>
      <c r="BK174">
        <f t="shared" si="152"/>
        <v>0</v>
      </c>
      <c r="BM174">
        <f t="shared" si="153"/>
        <v>-20.802332517044398</v>
      </c>
      <c r="BN174">
        <f t="shared" si="137"/>
        <v>-148.44522312891314</v>
      </c>
      <c r="BQ174" s="56">
        <f t="shared" si="154"/>
        <v>30.298988918949014</v>
      </c>
      <c r="BR174" s="59"/>
      <c r="BS174" s="59"/>
      <c r="BT174" s="59">
        <v>4365.1580000000004</v>
      </c>
      <c r="BU174" s="59">
        <v>3.07782</v>
      </c>
      <c r="BV174" s="59">
        <v>-242.172</v>
      </c>
      <c r="BW174" s="61"/>
      <c r="BY174" s="59"/>
      <c r="BZ174" s="59"/>
      <c r="CA174" s="59"/>
      <c r="CC174" s="59"/>
    </row>
    <row r="175" spans="1:81" x14ac:dyDescent="0.25">
      <c r="A175">
        <f t="shared" si="158"/>
        <v>70500</v>
      </c>
      <c r="B175">
        <f t="shared" si="138"/>
        <v>70.5</v>
      </c>
      <c r="C175">
        <f t="shared" si="107"/>
        <v>1.1583995659277173</v>
      </c>
      <c r="D175">
        <f t="shared" si="108"/>
        <v>0.52910338585376948</v>
      </c>
      <c r="F175">
        <f t="shared" si="109"/>
        <v>5.1820832823929793E-3</v>
      </c>
      <c r="G175">
        <f t="shared" si="110"/>
        <v>2.4550159700497981E-2</v>
      </c>
      <c r="H175">
        <f t="shared" si="111"/>
        <v>-3.1170424902995024</v>
      </c>
      <c r="J175">
        <f t="shared" si="112"/>
        <v>15</v>
      </c>
      <c r="M175">
        <f t="shared" si="113"/>
        <v>2.1192964137632459E-2</v>
      </c>
      <c r="N175">
        <f t="shared" si="114"/>
        <v>-1.5707963250000001</v>
      </c>
      <c r="O175">
        <f t="shared" si="115"/>
        <v>18.057254634550098</v>
      </c>
      <c r="P175">
        <f t="shared" si="116"/>
        <v>1.5153885766485797</v>
      </c>
      <c r="Q175">
        <f t="shared" si="117"/>
        <v>15.292417223756866</v>
      </c>
      <c r="R175">
        <f t="shared" si="118"/>
        <v>1.5053577474417863</v>
      </c>
      <c r="S175">
        <f t="shared" si="119"/>
        <v>0.86675233451958411</v>
      </c>
      <c r="T175">
        <f t="shared" si="120"/>
        <v>-0.52214307845948094</v>
      </c>
      <c r="U175">
        <f t="shared" si="121"/>
        <v>0.9123074655078286</v>
      </c>
      <c r="V175">
        <f t="shared" si="122"/>
        <v>-0.4219124109443374</v>
      </c>
      <c r="X175">
        <f t="shared" si="139"/>
        <v>-7.6038030751670327</v>
      </c>
      <c r="Y175">
        <f t="shared" si="123"/>
        <v>-119.29236817403853</v>
      </c>
      <c r="Z175">
        <f t="shared" si="140"/>
        <v>60.707631825961471</v>
      </c>
      <c r="AC175">
        <v>1</v>
      </c>
      <c r="AD175">
        <f t="shared" si="124"/>
        <v>18.029543669682301</v>
      </c>
      <c r="AE175">
        <f t="shared" si="125"/>
        <v>-9.5837387333393283E-4</v>
      </c>
      <c r="AF175">
        <f t="shared" si="126"/>
        <v>2.135089196793E-3</v>
      </c>
      <c r="AG175">
        <f t="shared" si="141"/>
        <v>6853.3354371572068</v>
      </c>
      <c r="AH175">
        <f t="shared" si="142"/>
        <v>-3544.6095833057548</v>
      </c>
      <c r="AJ175">
        <f t="shared" si="127"/>
        <v>22100</v>
      </c>
      <c r="AK175">
        <f t="shared" si="128"/>
        <v>12716.582396807837</v>
      </c>
      <c r="AL175">
        <v>1</v>
      </c>
      <c r="AM175">
        <f t="shared" si="129"/>
        <v>15.259686253178851</v>
      </c>
      <c r="AN175">
        <f t="shared" si="143"/>
        <v>924.28326121420264</v>
      </c>
      <c r="AO175">
        <f t="shared" si="144"/>
        <v>-1387.6901783858457</v>
      </c>
      <c r="AQ175">
        <f t="shared" si="130"/>
        <v>0.50296750829896386</v>
      </c>
      <c r="AR175">
        <f t="shared" si="131"/>
        <v>-70.918418670153912</v>
      </c>
      <c r="AT175">
        <f t="shared" si="156"/>
        <v>-247931.10140275335</v>
      </c>
      <c r="AU175">
        <f t="shared" si="157"/>
        <v>-487810.53526932502</v>
      </c>
      <c r="AV175">
        <f t="shared" si="145"/>
        <v>-2.0410244082112312</v>
      </c>
      <c r="AW175">
        <f t="shared" si="146"/>
        <v>-89825.997244581275</v>
      </c>
      <c r="AX175">
        <f t="shared" si="147"/>
        <v>-74288.81611691913</v>
      </c>
      <c r="AY175">
        <f t="shared" si="155"/>
        <v>-2.4505857850337134</v>
      </c>
      <c r="BA175">
        <f t="shared" si="132"/>
        <v>4.6943612546944395</v>
      </c>
      <c r="BB175">
        <f t="shared" si="148"/>
        <v>13.431530153838732</v>
      </c>
      <c r="BC175">
        <f t="shared" si="149"/>
        <v>0.40956137682248217</v>
      </c>
      <c r="BD175">
        <f t="shared" si="133"/>
        <v>-156.53386162969068</v>
      </c>
      <c r="BF175">
        <f t="shared" si="134"/>
        <v>-7.479389175789624</v>
      </c>
      <c r="BG175">
        <f t="shared" si="135"/>
        <v>-124.8118501207294</v>
      </c>
      <c r="BH175">
        <f t="shared" si="150"/>
        <v>55.188149879270597</v>
      </c>
      <c r="BI175">
        <f t="shared" si="151"/>
        <v>55.188149879270597</v>
      </c>
      <c r="BJ175">
        <f t="shared" si="136"/>
        <v>0</v>
      </c>
      <c r="BK175">
        <f t="shared" si="152"/>
        <v>0</v>
      </c>
      <c r="BM175">
        <f t="shared" si="153"/>
        <v>-20.910919329628356</v>
      </c>
      <c r="BN175">
        <f t="shared" si="137"/>
        <v>-148.27798849103874</v>
      </c>
      <c r="BQ175" s="56">
        <f t="shared" si="154"/>
        <v>30.333490954123867</v>
      </c>
      <c r="BR175" s="59"/>
      <c r="BS175" s="59"/>
      <c r="BT175" s="59">
        <v>4466.8360000000002</v>
      </c>
      <c r="BU175" s="59">
        <v>2.9233199999999999</v>
      </c>
      <c r="BV175" s="59">
        <v>-240.90300000000002</v>
      </c>
      <c r="BW175" s="61"/>
      <c r="BY175" s="59"/>
      <c r="BZ175" s="59"/>
      <c r="CA175" s="59"/>
      <c r="CC175" s="59"/>
    </row>
    <row r="176" spans="1:81" x14ac:dyDescent="0.25">
      <c r="A176">
        <f t="shared" si="158"/>
        <v>71000</v>
      </c>
      <c r="B176">
        <f t="shared" si="138"/>
        <v>71</v>
      </c>
      <c r="C176">
        <f t="shared" si="107"/>
        <v>1.1604982758991482</v>
      </c>
      <c r="D176">
        <f t="shared" si="108"/>
        <v>0.53218814745694909</v>
      </c>
      <c r="F176">
        <f t="shared" si="109"/>
        <v>5.1090011419883622E-3</v>
      </c>
      <c r="G176">
        <f t="shared" si="110"/>
        <v>2.4375556883417745E-2</v>
      </c>
      <c r="H176">
        <f t="shared" si="111"/>
        <v>-3.1172170931165826</v>
      </c>
      <c r="J176">
        <f t="shared" si="112"/>
        <v>15</v>
      </c>
      <c r="M176">
        <f t="shared" si="113"/>
        <v>2.1043717911311103E-2</v>
      </c>
      <c r="N176">
        <f t="shared" si="114"/>
        <v>-1.5707963250000001</v>
      </c>
      <c r="O176">
        <f t="shared" si="115"/>
        <v>18.184928887277636</v>
      </c>
      <c r="P176">
        <f t="shared" si="116"/>
        <v>1.5157779823480959</v>
      </c>
      <c r="Q176">
        <f t="shared" si="117"/>
        <v>15.400411937327283</v>
      </c>
      <c r="R176">
        <f t="shared" si="118"/>
        <v>1.5058172818454059</v>
      </c>
      <c r="S176">
        <f t="shared" si="119"/>
        <v>0.86522192337419734</v>
      </c>
      <c r="T176">
        <f t="shared" si="120"/>
        <v>-0.52520350695166917</v>
      </c>
      <c r="U176">
        <f t="shared" si="121"/>
        <v>0.91122053166582095</v>
      </c>
      <c r="V176">
        <f t="shared" si="122"/>
        <v>-0.42455886928788406</v>
      </c>
      <c r="X176">
        <f t="shared" si="139"/>
        <v>-7.6762162672099201</v>
      </c>
      <c r="Y176">
        <f t="shared" si="123"/>
        <v>-119.4039682028869</v>
      </c>
      <c r="Z176">
        <f t="shared" si="140"/>
        <v>60.596031797113099</v>
      </c>
      <c r="AC176">
        <v>1</v>
      </c>
      <c r="AD176">
        <f t="shared" si="124"/>
        <v>18.157412773722601</v>
      </c>
      <c r="AE176">
        <f t="shared" si="125"/>
        <v>-9.7201603450054947E-4</v>
      </c>
      <c r="AF176">
        <f t="shared" si="126"/>
        <v>2.150231673366E-3</v>
      </c>
      <c r="AG176">
        <f t="shared" si="141"/>
        <v>6837.0148763532243</v>
      </c>
      <c r="AH176">
        <f t="shared" si="142"/>
        <v>-3555.7508442638964</v>
      </c>
      <c r="AJ176">
        <f t="shared" si="127"/>
        <v>22100</v>
      </c>
      <c r="AK176">
        <f t="shared" si="128"/>
        <v>12806.770924444771</v>
      </c>
      <c r="AL176">
        <v>1</v>
      </c>
      <c r="AM176">
        <f t="shared" si="129"/>
        <v>15.367910978378703</v>
      </c>
      <c r="AN176">
        <f t="shared" si="143"/>
        <v>923.01233114842034</v>
      </c>
      <c r="AO176">
        <f t="shared" si="144"/>
        <v>-1378.000412589957</v>
      </c>
      <c r="AQ176">
        <f t="shared" si="130"/>
        <v>0.49590875278948676</v>
      </c>
      <c r="AR176">
        <f t="shared" si="131"/>
        <v>-70.419042896107115</v>
      </c>
      <c r="AT176">
        <f t="shared" si="156"/>
        <v>-247002.03570995294</v>
      </c>
      <c r="AU176">
        <f t="shared" si="157"/>
        <v>-483219.37182564929</v>
      </c>
      <c r="AV176">
        <f t="shared" si="145"/>
        <v>-2.0433314034212691</v>
      </c>
      <c r="AW176">
        <f t="shared" si="146"/>
        <v>-88476.58305751007</v>
      </c>
      <c r="AX176">
        <f t="shared" si="147"/>
        <v>-73704.389214704206</v>
      </c>
      <c r="AY176">
        <f t="shared" si="155"/>
        <v>-2.4470284748227344</v>
      </c>
      <c r="BA176">
        <f t="shared" si="132"/>
        <v>4.7127209337968887</v>
      </c>
      <c r="BB176">
        <f t="shared" si="148"/>
        <v>13.465434470981405</v>
      </c>
      <c r="BC176">
        <f t="shared" si="149"/>
        <v>0.40369707140146538</v>
      </c>
      <c r="BD176">
        <f t="shared" si="133"/>
        <v>-156.86986158047455</v>
      </c>
      <c r="BF176">
        <f t="shared" si="134"/>
        <v>-7.5531303611408358</v>
      </c>
      <c r="BG176">
        <f t="shared" si="135"/>
        <v>-124.98111025516636</v>
      </c>
      <c r="BH176">
        <f t="shared" si="150"/>
        <v>55.018889744833643</v>
      </c>
      <c r="BI176">
        <f t="shared" si="151"/>
        <v>55.018889744833643</v>
      </c>
      <c r="BJ176">
        <f t="shared" si="136"/>
        <v>0</v>
      </c>
      <c r="BK176">
        <f t="shared" si="152"/>
        <v>0</v>
      </c>
      <c r="BM176">
        <f t="shared" si="153"/>
        <v>-21.018564832122241</v>
      </c>
      <c r="BN176">
        <f t="shared" si="137"/>
        <v>-148.11124867469181</v>
      </c>
      <c r="BQ176" s="56">
        <f t="shared" si="154"/>
        <v>30.367395271266542</v>
      </c>
      <c r="BR176" s="59"/>
      <c r="BS176" s="59"/>
      <c r="BT176" s="59">
        <v>4570.8819999999996</v>
      </c>
      <c r="BU176" s="59">
        <v>2.7266900000000001</v>
      </c>
      <c r="BV176" s="59">
        <v>-241.25200000000001</v>
      </c>
      <c r="BW176" s="61"/>
      <c r="BY176" s="59"/>
      <c r="BZ176" s="59"/>
      <c r="CA176" s="59"/>
      <c r="CC176" s="59"/>
    </row>
    <row r="177" spans="1:81" x14ac:dyDescent="0.25">
      <c r="A177">
        <f t="shared" si="158"/>
        <v>71500</v>
      </c>
      <c r="B177">
        <f t="shared" si="138"/>
        <v>71.5</v>
      </c>
      <c r="C177">
        <f t="shared" si="107"/>
        <v>1.162607988956555</v>
      </c>
      <c r="D177">
        <f t="shared" si="108"/>
        <v>0.53526174276603211</v>
      </c>
      <c r="F177">
        <f t="shared" si="109"/>
        <v>5.0374565801253419E-3</v>
      </c>
      <c r="G177">
        <f t="shared" si="110"/>
        <v>2.4203431875574243E-2</v>
      </c>
      <c r="H177">
        <f t="shared" si="111"/>
        <v>-3.1173892181244258</v>
      </c>
      <c r="J177">
        <f t="shared" si="112"/>
        <v>15</v>
      </c>
      <c r="M177">
        <f t="shared" si="113"/>
        <v>2.0896559044798438E-2</v>
      </c>
      <c r="N177">
        <f t="shared" si="114"/>
        <v>-1.5707963250000001</v>
      </c>
      <c r="O177">
        <f t="shared" si="115"/>
        <v>18.312605859059062</v>
      </c>
      <c r="P177">
        <f t="shared" si="116"/>
        <v>1.5161619581689871</v>
      </c>
      <c r="Q177">
        <f t="shared" si="117"/>
        <v>15.508409857737796</v>
      </c>
      <c r="R177">
        <f t="shared" si="118"/>
        <v>1.5062704161052329</v>
      </c>
      <c r="S177">
        <f t="shared" si="119"/>
        <v>0.86368886041591364</v>
      </c>
      <c r="T177">
        <f t="shared" si="120"/>
        <v>-0.52825311854475632</v>
      </c>
      <c r="U177">
        <f t="shared" si="121"/>
        <v>0.91012983316296425</v>
      </c>
      <c r="V177">
        <f t="shared" si="122"/>
        <v>-0.42719901065287669</v>
      </c>
      <c r="X177">
        <f t="shared" si="139"/>
        <v>-7.7482251387082979</v>
      </c>
      <c r="Y177">
        <f t="shared" si="123"/>
        <v>-119.51576215672813</v>
      </c>
      <c r="Z177">
        <f t="shared" si="140"/>
        <v>60.48423784327187</v>
      </c>
      <c r="AC177">
        <v>1</v>
      </c>
      <c r="AD177">
        <f t="shared" si="124"/>
        <v>18.285281877762902</v>
      </c>
      <c r="AE177">
        <f t="shared" si="125"/>
        <v>-9.8575460670014556E-4</v>
      </c>
      <c r="AF177">
        <f t="shared" si="126"/>
        <v>2.1653741499389999E-3</v>
      </c>
      <c r="AG177">
        <f t="shared" si="141"/>
        <v>6820.6573455995031</v>
      </c>
      <c r="AH177">
        <f t="shared" si="142"/>
        <v>-3566.8174940416061</v>
      </c>
      <c r="AJ177">
        <f t="shared" si="127"/>
        <v>22100</v>
      </c>
      <c r="AK177">
        <f t="shared" si="128"/>
        <v>12896.959452081706</v>
      </c>
      <c r="AL177">
        <v>1</v>
      </c>
      <c r="AM177">
        <f t="shared" si="129"/>
        <v>15.476135703578553</v>
      </c>
      <c r="AN177">
        <f t="shared" si="143"/>
        <v>921.76782279841041</v>
      </c>
      <c r="AO177">
        <f t="shared" si="144"/>
        <v>-1368.4444607386417</v>
      </c>
      <c r="AQ177">
        <f t="shared" si="130"/>
        <v>0.48899755501222492</v>
      </c>
      <c r="AR177">
        <f t="shared" si="131"/>
        <v>-69.926650366748163</v>
      </c>
      <c r="AT177">
        <f t="shared" si="156"/>
        <v>-246080.3150622739</v>
      </c>
      <c r="AU177">
        <f t="shared" si="157"/>
        <v>-478689.88651089021</v>
      </c>
      <c r="AV177">
        <f t="shared" si="145"/>
        <v>-2.0456368130683495</v>
      </c>
      <c r="AW177">
        <f t="shared" si="146"/>
        <v>-87155.595732186208</v>
      </c>
      <c r="AX177">
        <f t="shared" si="147"/>
        <v>-73130.265229305849</v>
      </c>
      <c r="AY177">
        <f t="shared" si="155"/>
        <v>-2.4434741699717062</v>
      </c>
      <c r="BA177">
        <f t="shared" si="132"/>
        <v>4.7308306492913239</v>
      </c>
      <c r="BB177">
        <f t="shared" si="148"/>
        <v>13.498748035608051</v>
      </c>
      <c r="BC177">
        <f t="shared" si="149"/>
        <v>0.39783735690335664</v>
      </c>
      <c r="BD177">
        <f t="shared" si="133"/>
        <v>-157.20559849075144</v>
      </c>
      <c r="BF177">
        <f t="shared" si="134"/>
        <v>-7.6265344087478972</v>
      </c>
      <c r="BG177">
        <f t="shared" si="135"/>
        <v>-125.15060516260968</v>
      </c>
      <c r="BH177">
        <f t="shared" si="150"/>
        <v>54.849394837390321</v>
      </c>
      <c r="BI177">
        <f t="shared" si="151"/>
        <v>54.849394837390321</v>
      </c>
      <c r="BJ177">
        <f t="shared" si="136"/>
        <v>0</v>
      </c>
      <c r="BK177">
        <f t="shared" si="152"/>
        <v>0</v>
      </c>
      <c r="BM177">
        <f t="shared" si="153"/>
        <v>-21.125282444355946</v>
      </c>
      <c r="BN177">
        <f t="shared" si="137"/>
        <v>-147.94500667185827</v>
      </c>
      <c r="BQ177" s="56">
        <f t="shared" si="154"/>
        <v>30.400708835893187</v>
      </c>
      <c r="BR177" s="59"/>
      <c r="BS177" s="59"/>
      <c r="BT177" s="59">
        <v>4677.3509999999997</v>
      </c>
      <c r="BU177" s="59">
        <v>2.54392</v>
      </c>
      <c r="BV177" s="59">
        <v>-240.63800000000001</v>
      </c>
      <c r="BW177" s="61"/>
      <c r="BY177" s="59"/>
      <c r="BZ177" s="59"/>
      <c r="CA177" s="59"/>
      <c r="CC177" s="59"/>
    </row>
    <row r="178" spans="1:81" x14ac:dyDescent="0.25">
      <c r="A178">
        <f t="shared" si="158"/>
        <v>72000</v>
      </c>
      <c r="B178">
        <f t="shared" si="138"/>
        <v>72</v>
      </c>
      <c r="C178">
        <f t="shared" si="107"/>
        <v>1.1647286453091354</v>
      </c>
      <c r="D178">
        <f t="shared" si="108"/>
        <v>0.53832417454415138</v>
      </c>
      <c r="F178">
        <f t="shared" si="109"/>
        <v>4.9674066991701087E-3</v>
      </c>
      <c r="G178">
        <f t="shared" si="110"/>
        <v>2.4033732063907968E-2</v>
      </c>
      <c r="H178">
        <f t="shared" si="111"/>
        <v>-3.1175589179360923</v>
      </c>
      <c r="J178">
        <f t="shared" si="112"/>
        <v>15</v>
      </c>
      <c r="M178">
        <f t="shared" si="113"/>
        <v>2.0751444051431783E-2</v>
      </c>
      <c r="N178">
        <f t="shared" si="114"/>
        <v>-1.5707963250000001</v>
      </c>
      <c r="O178">
        <f t="shared" si="115"/>
        <v>18.440285493415772</v>
      </c>
      <c r="P178">
        <f t="shared" si="116"/>
        <v>1.5165406167854776</v>
      </c>
      <c r="Q178">
        <f t="shared" si="117"/>
        <v>15.616410918456078</v>
      </c>
      <c r="R178">
        <f t="shared" si="118"/>
        <v>1.5067172828209034</v>
      </c>
      <c r="S178">
        <f t="shared" si="119"/>
        <v>0.86215324503360447</v>
      </c>
      <c r="T178">
        <f t="shared" si="120"/>
        <v>-0.53129191406205156</v>
      </c>
      <c r="U178">
        <f t="shared" si="121"/>
        <v>0.90903542903435042</v>
      </c>
      <c r="V178">
        <f t="shared" si="122"/>
        <v>-0.42983282095639791</v>
      </c>
      <c r="X178">
        <f t="shared" si="139"/>
        <v>-7.8198359218933264</v>
      </c>
      <c r="Y178">
        <f t="shared" si="123"/>
        <v>-119.62773807887589</v>
      </c>
      <c r="Z178">
        <f t="shared" si="140"/>
        <v>60.372261921124107</v>
      </c>
      <c r="AC178">
        <v>1</v>
      </c>
      <c r="AD178">
        <f t="shared" si="124"/>
        <v>18.413150981803199</v>
      </c>
      <c r="AE178">
        <f t="shared" si="125"/>
        <v>-9.9958958993272133E-4</v>
      </c>
      <c r="AF178">
        <f t="shared" si="126"/>
        <v>2.1805166265119998E-3</v>
      </c>
      <c r="AG178">
        <f t="shared" si="141"/>
        <v>6804.2639315310189</v>
      </c>
      <c r="AH178">
        <f t="shared" si="142"/>
        <v>-3577.8087166400082</v>
      </c>
      <c r="AJ178">
        <f t="shared" si="127"/>
        <v>22100</v>
      </c>
      <c r="AK178">
        <f t="shared" si="128"/>
        <v>12987.147979718642</v>
      </c>
      <c r="AL178">
        <v>1</v>
      </c>
      <c r="AM178">
        <f t="shared" si="129"/>
        <v>15.584360428778401</v>
      </c>
      <c r="AN178">
        <f t="shared" si="143"/>
        <v>920.54900981855144</v>
      </c>
      <c r="AO178">
        <f t="shared" si="144"/>
        <v>-1359.0195816487303</v>
      </c>
      <c r="AQ178">
        <f t="shared" si="130"/>
        <v>0.48222983073732939</v>
      </c>
      <c r="AR178">
        <f t="shared" si="131"/>
        <v>-69.441095626175439</v>
      </c>
      <c r="AT178">
        <f t="shared" si="156"/>
        <v>-245165.73818036853</v>
      </c>
      <c r="AU178">
        <f t="shared" si="157"/>
        <v>-474220.86842701782</v>
      </c>
      <c r="AV178">
        <f t="shared" si="145"/>
        <v>-2.0479405249456981</v>
      </c>
      <c r="AW178">
        <f t="shared" si="146"/>
        <v>-85862.254413080678</v>
      </c>
      <c r="AX178">
        <f t="shared" si="147"/>
        <v>-72566.171237059316</v>
      </c>
      <c r="AY178">
        <f t="shared" si="155"/>
        <v>-2.4399231387576394</v>
      </c>
      <c r="BA178">
        <f t="shared" si="132"/>
        <v>4.7486907246030476</v>
      </c>
      <c r="BB178">
        <f t="shared" si="148"/>
        <v>13.531477710561768</v>
      </c>
      <c r="BC178">
        <f t="shared" si="149"/>
        <v>0.39198261381194133</v>
      </c>
      <c r="BD178">
        <f t="shared" si="133"/>
        <v>-157.54105056040623</v>
      </c>
      <c r="BF178">
        <f t="shared" si="134"/>
        <v>-7.6996076021566004</v>
      </c>
      <c r="BG178">
        <f t="shared" si="135"/>
        <v>-125.32031589913475</v>
      </c>
      <c r="BH178">
        <f t="shared" si="150"/>
        <v>54.679684100865245</v>
      </c>
      <c r="BI178">
        <f t="shared" si="151"/>
        <v>54.679684100865245</v>
      </c>
      <c r="BJ178">
        <f t="shared" si="136"/>
        <v>0</v>
      </c>
      <c r="BK178">
        <f t="shared" si="152"/>
        <v>0</v>
      </c>
      <c r="BM178">
        <f t="shared" si="153"/>
        <v>-21.231085312718363</v>
      </c>
      <c r="BN178">
        <f t="shared" si="137"/>
        <v>-147.77926533872852</v>
      </c>
      <c r="BQ178" s="56">
        <f t="shared" si="154"/>
        <v>30.433438510846905</v>
      </c>
      <c r="BR178" s="59"/>
      <c r="BS178" s="59"/>
      <c r="BT178" s="59">
        <v>4786.3010000000004</v>
      </c>
      <c r="BU178" s="59">
        <v>2.5307499999999998</v>
      </c>
      <c r="BV178" s="59">
        <v>-240.03100000000001</v>
      </c>
      <c r="BW178" s="61"/>
      <c r="BY178" s="59"/>
      <c r="BZ178" s="59"/>
      <c r="CA178" s="59"/>
      <c r="CC178" s="59"/>
    </row>
    <row r="179" spans="1:81" x14ac:dyDescent="0.25">
      <c r="A179">
        <f t="shared" si="158"/>
        <v>72500</v>
      </c>
      <c r="B179">
        <f t="shared" si="138"/>
        <v>72.5</v>
      </c>
      <c r="C179">
        <f t="shared" si="107"/>
        <v>1.1668601852917255</v>
      </c>
      <c r="D179">
        <f t="shared" si="108"/>
        <v>0.54137544637197421</v>
      </c>
      <c r="F179">
        <f t="shared" si="109"/>
        <v>4.8988100893857444E-3</v>
      </c>
      <c r="G179">
        <f t="shared" si="110"/>
        <v>2.3866406320918982E-2</v>
      </c>
      <c r="H179">
        <f t="shared" si="111"/>
        <v>-3.1177262436790811</v>
      </c>
      <c r="J179">
        <f t="shared" si="112"/>
        <v>15</v>
      </c>
      <c r="M179">
        <f t="shared" si="113"/>
        <v>2.0608330644180529E-2</v>
      </c>
      <c r="N179">
        <f t="shared" si="114"/>
        <v>-1.5707963250000001</v>
      </c>
      <c r="O179">
        <f t="shared" si="115"/>
        <v>18.567967735421451</v>
      </c>
      <c r="P179">
        <f t="shared" si="116"/>
        <v>1.5169140677787796</v>
      </c>
      <c r="Q179">
        <f t="shared" si="117"/>
        <v>15.724415054775763</v>
      </c>
      <c r="R179">
        <f t="shared" si="118"/>
        <v>1.5071580109591498</v>
      </c>
      <c r="S179">
        <f t="shared" si="119"/>
        <v>0.8606151756714786</v>
      </c>
      <c r="T179">
        <f t="shared" si="120"/>
        <v>-0.53431989512005695</v>
      </c>
      <c r="U179">
        <f t="shared" si="121"/>
        <v>0.90793737809987296</v>
      </c>
      <c r="V179">
        <f t="shared" si="122"/>
        <v>-0.43246028653433272</v>
      </c>
      <c r="X179">
        <f t="shared" si="139"/>
        <v>-7.8910547036029408</v>
      </c>
      <c r="Y179">
        <f t="shared" si="123"/>
        <v>-119.73988433549525</v>
      </c>
      <c r="Z179">
        <f t="shared" si="140"/>
        <v>60.260115664504752</v>
      </c>
      <c r="AC179">
        <v>1</v>
      </c>
      <c r="AD179">
        <f t="shared" si="124"/>
        <v>18.541020085843503</v>
      </c>
      <c r="AE179">
        <f t="shared" si="125"/>
        <v>-1.0135209841982767E-3</v>
      </c>
      <c r="AF179">
        <f t="shared" si="126"/>
        <v>2.1956591030849997E-3</v>
      </c>
      <c r="AG179">
        <f t="shared" si="141"/>
        <v>6787.8357139947766</v>
      </c>
      <c r="AH179">
        <f t="shared" si="142"/>
        <v>-3588.7237332758014</v>
      </c>
      <c r="AJ179">
        <f t="shared" si="127"/>
        <v>22100</v>
      </c>
      <c r="AK179">
        <f t="shared" si="128"/>
        <v>13077.336507355578</v>
      </c>
      <c r="AL179">
        <v>1</v>
      </c>
      <c r="AM179">
        <f t="shared" si="129"/>
        <v>15.692585153978253</v>
      </c>
      <c r="AN179">
        <f t="shared" si="143"/>
        <v>919.35519061857883</v>
      </c>
      <c r="AO179">
        <f t="shared" si="144"/>
        <v>-1349.7231081783793</v>
      </c>
      <c r="AQ179">
        <f t="shared" si="130"/>
        <v>0.47560163606962808</v>
      </c>
      <c r="AR179">
        <f t="shared" si="131"/>
        <v>-68.962237230096065</v>
      </c>
      <c r="AT179">
        <f t="shared" si="156"/>
        <v>-244258.11167649404</v>
      </c>
      <c r="AU179">
        <f t="shared" si="157"/>
        <v>-469811.13966637413</v>
      </c>
      <c r="AV179">
        <f t="shared" si="145"/>
        <v>-2.0502424299569979</v>
      </c>
      <c r="AW179">
        <f t="shared" si="146"/>
        <v>-84595.804798165584</v>
      </c>
      <c r="AX179">
        <f t="shared" si="147"/>
        <v>-72011.843747089617</v>
      </c>
      <c r="AY179">
        <f t="shared" si="155"/>
        <v>-2.4363756441818492</v>
      </c>
      <c r="BA179">
        <f t="shared" si="132"/>
        <v>4.7663015227692647</v>
      </c>
      <c r="BB179">
        <f t="shared" si="148"/>
        <v>13.563630258877417</v>
      </c>
      <c r="BC179">
        <f t="shared" si="149"/>
        <v>0.38613321422485125</v>
      </c>
      <c r="BD179">
        <f t="shared" si="133"/>
        <v>-157.876196469815</v>
      </c>
      <c r="BF179">
        <f t="shared" si="134"/>
        <v>-7.7723560588423766</v>
      </c>
      <c r="BG179">
        <f t="shared" si="135"/>
        <v>-125.49022386935047</v>
      </c>
      <c r="BH179">
        <f t="shared" si="150"/>
        <v>54.509776130649527</v>
      </c>
      <c r="BI179">
        <f t="shared" si="151"/>
        <v>54.509776130649527</v>
      </c>
      <c r="BJ179">
        <f t="shared" si="136"/>
        <v>0</v>
      </c>
      <c r="BK179">
        <f t="shared" si="152"/>
        <v>0</v>
      </c>
      <c r="BM179">
        <f t="shared" si="153"/>
        <v>-21.335986317719794</v>
      </c>
      <c r="BN179">
        <f t="shared" si="137"/>
        <v>-147.61402739953547</v>
      </c>
      <c r="BQ179" s="56">
        <f t="shared" si="154"/>
        <v>30.465591059162556</v>
      </c>
      <c r="BR179" s="59"/>
      <c r="BS179" s="59"/>
      <c r="BT179" s="59">
        <v>4897.7879999999996</v>
      </c>
      <c r="BU179" s="59">
        <v>2.1795599999999999</v>
      </c>
      <c r="BV179" s="59">
        <v>-239.48099999999999</v>
      </c>
      <c r="BW179" s="61"/>
      <c r="BY179" s="59"/>
      <c r="BZ179" s="59"/>
      <c r="CA179" s="59"/>
      <c r="CC179" s="59"/>
    </row>
    <row r="180" spans="1:81" x14ac:dyDescent="0.25">
      <c r="A180">
        <f t="shared" si="158"/>
        <v>73000</v>
      </c>
      <c r="B180">
        <f t="shared" si="138"/>
        <v>73</v>
      </c>
      <c r="C180">
        <f t="shared" si="107"/>
        <v>1.1690025493692326</v>
      </c>
      <c r="D180">
        <f t="shared" si="108"/>
        <v>0.54441556263532886</v>
      </c>
      <c r="F180">
        <f t="shared" si="109"/>
        <v>4.8316267673396722E-3</v>
      </c>
      <c r="G180">
        <f t="shared" si="110"/>
        <v>2.3701404952387303E-2</v>
      </c>
      <c r="H180">
        <f t="shared" si="111"/>
        <v>-3.1178912450476131</v>
      </c>
      <c r="J180">
        <f t="shared" si="112"/>
        <v>15</v>
      </c>
      <c r="M180">
        <f t="shared" si="113"/>
        <v>2.0467177694562855E-2</v>
      </c>
      <c r="N180">
        <f t="shared" si="114"/>
        <v>-1.5707963250000001</v>
      </c>
      <c r="O180">
        <f t="shared" si="115"/>
        <v>18.695652531649174</v>
      </c>
      <c r="P180">
        <f t="shared" si="116"/>
        <v>1.5172824177424031</v>
      </c>
      <c r="Q180">
        <f t="shared" si="117"/>
        <v>15.832422203754305</v>
      </c>
      <c r="R180">
        <f t="shared" si="118"/>
        <v>1.5075927259772037</v>
      </c>
      <c r="S180">
        <f t="shared" si="119"/>
        <v>0.85907474982471366</v>
      </c>
      <c r="T180">
        <f t="shared" si="120"/>
        <v>-0.53733706411701632</v>
      </c>
      <c r="U180">
        <f t="shared" si="121"/>
        <v>0.90683573895869618</v>
      </c>
      <c r="V180">
        <f t="shared" si="122"/>
        <v>-0.43508139413872421</v>
      </c>
      <c r="X180">
        <f t="shared" si="139"/>
        <v>-7.9618874295993605</v>
      </c>
      <c r="Y180">
        <f t="shared" si="123"/>
        <v>-119.85218960539494</v>
      </c>
      <c r="Z180">
        <f t="shared" si="140"/>
        <v>60.14781039460506</v>
      </c>
      <c r="AC180">
        <v>1</v>
      </c>
      <c r="AD180">
        <f t="shared" si="124"/>
        <v>18.668889189883799</v>
      </c>
      <c r="AE180">
        <f t="shared" si="125"/>
        <v>-1.0275487894968118E-3</v>
      </c>
      <c r="AF180">
        <f t="shared" si="126"/>
        <v>2.2108015796580001E-3</v>
      </c>
      <c r="AG180">
        <f t="shared" si="141"/>
        <v>6771.3737659509734</v>
      </c>
      <c r="AH180">
        <f t="shared" si="142"/>
        <v>-3599.561801319338</v>
      </c>
      <c r="AJ180">
        <f t="shared" si="127"/>
        <v>22100</v>
      </c>
      <c r="AK180">
        <f t="shared" si="128"/>
        <v>13167.52503499251</v>
      </c>
      <c r="AL180">
        <v>1</v>
      </c>
      <c r="AM180">
        <f t="shared" si="129"/>
        <v>15.800809879178102</v>
      </c>
      <c r="AN180">
        <f t="shared" si="143"/>
        <v>918.18568735934525</v>
      </c>
      <c r="AO180">
        <f t="shared" si="144"/>
        <v>-1340.5524447549678</v>
      </c>
      <c r="AQ180">
        <f t="shared" si="130"/>
        <v>0.46910916170192801</v>
      </c>
      <c r="AR180">
        <f t="shared" si="131"/>
        <v>-68.489937608481497</v>
      </c>
      <c r="AT180">
        <f t="shared" si="156"/>
        <v>-243357.24971931902</v>
      </c>
      <c r="AU180">
        <f t="shared" si="157"/>
        <v>-465459.55417280179</v>
      </c>
      <c r="AV180">
        <f t="shared" si="145"/>
        <v>-2.0525424220221788</v>
      </c>
      <c r="AW180">
        <f t="shared" si="146"/>
        <v>-83355.518063448428</v>
      </c>
      <c r="AX180">
        <f t="shared" si="147"/>
        <v>-71467.028302417806</v>
      </c>
      <c r="AY180">
        <f t="shared" si="155"/>
        <v>-2.4328319440693131</v>
      </c>
      <c r="BA180">
        <f t="shared" si="132"/>
        <v>4.7836634460182852</v>
      </c>
      <c r="BB180">
        <f t="shared" si="148"/>
        <v>13.595212346535774</v>
      </c>
      <c r="BC180">
        <f t="shared" si="149"/>
        <v>0.38028952204713429</v>
      </c>
      <c r="BD180">
        <f t="shared" si="133"/>
        <v>-158.2110153687544</v>
      </c>
      <c r="BF180">
        <f t="shared" si="134"/>
        <v>-7.8447857347516941</v>
      </c>
      <c r="BG180">
        <f t="shared" si="135"/>
        <v>-125.66031081901306</v>
      </c>
      <c r="BH180">
        <f t="shared" si="150"/>
        <v>54.339689180986937</v>
      </c>
      <c r="BI180">
        <f t="shared" si="151"/>
        <v>54.339689180986937</v>
      </c>
      <c r="BJ180">
        <f t="shared" si="136"/>
        <v>0</v>
      </c>
      <c r="BK180">
        <f t="shared" si="152"/>
        <v>0</v>
      </c>
      <c r="BM180">
        <f t="shared" si="153"/>
        <v>-21.43999808128747</v>
      </c>
      <c r="BN180">
        <f t="shared" si="137"/>
        <v>-147.44929545025869</v>
      </c>
      <c r="BQ180" s="56">
        <f t="shared" si="154"/>
        <v>30.497173146820909</v>
      </c>
      <c r="BR180" s="59"/>
      <c r="BS180" s="59"/>
      <c r="BT180" s="59">
        <v>5011.8720000000003</v>
      </c>
      <c r="BU180" s="59">
        <v>2.08934</v>
      </c>
      <c r="BV180" s="59">
        <v>-238.50700000000001</v>
      </c>
      <c r="BW180" s="61"/>
      <c r="BY180" s="59"/>
      <c r="BZ180" s="59"/>
      <c r="CA180" s="59"/>
      <c r="CC180" s="59"/>
    </row>
    <row r="181" spans="1:81" x14ac:dyDescent="0.25">
      <c r="A181">
        <f t="shared" si="158"/>
        <v>73500</v>
      </c>
      <c r="B181">
        <f t="shared" si="138"/>
        <v>73.5</v>
      </c>
      <c r="C181">
        <f t="shared" si="107"/>
        <v>1.1711556781409671</v>
      </c>
      <c r="D181">
        <f t="shared" si="108"/>
        <v>0.54744452851285186</v>
      </c>
      <c r="F181">
        <f t="shared" si="109"/>
        <v>4.7658181172695411E-3</v>
      </c>
      <c r="G181">
        <f t="shared" si="110"/>
        <v>2.35386796472941E-2</v>
      </c>
      <c r="H181">
        <f t="shared" si="111"/>
        <v>-3.1180539703527059</v>
      </c>
      <c r="J181">
        <f t="shared" si="112"/>
        <v>15</v>
      </c>
      <c r="M181">
        <f t="shared" si="113"/>
        <v>2.0327945193239296E-2</v>
      </c>
      <c r="N181">
        <f t="shared" si="114"/>
        <v>-1.5707963250000001</v>
      </c>
      <c r="O181">
        <f t="shared" si="115"/>
        <v>18.823339830120595</v>
      </c>
      <c r="P181">
        <f t="shared" si="116"/>
        <v>1.5176457703831916</v>
      </c>
      <c r="Q181">
        <f t="shared" si="117"/>
        <v>15.940432304153333</v>
      </c>
      <c r="R181">
        <f t="shared" si="118"/>
        <v>1.5080215499412095</v>
      </c>
      <c r="S181">
        <f t="shared" si="119"/>
        <v>0.85753206403546467</v>
      </c>
      <c r="T181">
        <f t="shared" si="120"/>
        <v>-0.5403434242214753</v>
      </c>
      <c r="U181">
        <f t="shared" si="121"/>
        <v>0.90573056998384405</v>
      </c>
      <c r="V181">
        <f t="shared" si="122"/>
        <v>-0.43769613093509296</v>
      </c>
      <c r="X181">
        <f t="shared" si="139"/>
        <v>-8.0323399087287246</v>
      </c>
      <c r="Y181">
        <f t="shared" si="123"/>
        <v>-119.96464287022184</v>
      </c>
      <c r="Z181">
        <f t="shared" si="140"/>
        <v>60.035357129778163</v>
      </c>
      <c r="AC181">
        <v>1</v>
      </c>
      <c r="AD181">
        <f t="shared" si="124"/>
        <v>18.7967582939241</v>
      </c>
      <c r="AE181">
        <f t="shared" si="125"/>
        <v>-1.0416730058283262E-3</v>
      </c>
      <c r="AF181">
        <f t="shared" si="126"/>
        <v>2.225944056231E-3</v>
      </c>
      <c r="AG181">
        <f t="shared" si="141"/>
        <v>6754.8791533773601</v>
      </c>
      <c r="AH181">
        <f t="shared" si="142"/>
        <v>-3610.3222132693659</v>
      </c>
      <c r="AJ181">
        <f t="shared" si="127"/>
        <v>22100</v>
      </c>
      <c r="AK181">
        <f t="shared" si="128"/>
        <v>13257.713562629448</v>
      </c>
      <c r="AL181">
        <v>1</v>
      </c>
      <c r="AM181">
        <f t="shared" si="129"/>
        <v>15.909034604377952</v>
      </c>
      <c r="AN181">
        <f t="shared" si="143"/>
        <v>917.03984499572459</v>
      </c>
      <c r="AO181">
        <f t="shared" si="144"/>
        <v>-1331.5050650009277</v>
      </c>
      <c r="AQ181">
        <f t="shared" si="130"/>
        <v>0.46274872744099954</v>
      </c>
      <c r="AR181">
        <f t="shared" si="131"/>
        <v>-68.024062933826926</v>
      </c>
      <c r="AT181">
        <f t="shared" si="156"/>
        <v>-242462.97371458556</v>
      </c>
      <c r="AU181">
        <f t="shared" si="157"/>
        <v>-461164.99664957944</v>
      </c>
      <c r="AV181">
        <f t="shared" si="145"/>
        <v>-2.0548403979868857</v>
      </c>
      <c r="AW181">
        <f t="shared" si="146"/>
        <v>-82140.689837925151</v>
      </c>
      <c r="AX181">
        <f t="shared" si="147"/>
        <v>-70931.479100888115</v>
      </c>
      <c r="AY181">
        <f t="shared" si="155"/>
        <v>-2.4292922911634949</v>
      </c>
      <c r="BA181">
        <f t="shared" si="132"/>
        <v>4.8007769353344099</v>
      </c>
      <c r="BB181">
        <f t="shared" si="148"/>
        <v>13.626230545111413</v>
      </c>
      <c r="BC181">
        <f t="shared" si="149"/>
        <v>0.37445189317660921</v>
      </c>
      <c r="BD181">
        <f t="shared" si="133"/>
        <v>-158.54548686578138</v>
      </c>
      <c r="BF181">
        <f t="shared" si="134"/>
        <v>-7.916902428694403</v>
      </c>
      <c r="BG181">
        <f t="shared" si="135"/>
        <v>-125.83055882798301</v>
      </c>
      <c r="BH181">
        <f t="shared" si="150"/>
        <v>54.169441172016988</v>
      </c>
      <c r="BI181">
        <f t="shared" si="151"/>
        <v>54.169441172016988</v>
      </c>
      <c r="BJ181">
        <f t="shared" si="136"/>
        <v>0</v>
      </c>
      <c r="BK181">
        <f t="shared" si="152"/>
        <v>0</v>
      </c>
      <c r="BM181">
        <f t="shared" si="153"/>
        <v>-21.543132973805818</v>
      </c>
      <c r="BN181">
        <f t="shared" si="137"/>
        <v>-147.28507196220161</v>
      </c>
      <c r="BQ181" s="56">
        <f t="shared" si="154"/>
        <v>30.52819134539655</v>
      </c>
      <c r="BR181" s="59"/>
      <c r="BS181" s="59"/>
      <c r="BT181" s="59">
        <v>5128.6139999999996</v>
      </c>
      <c r="BU181" s="59">
        <v>1.7954699999999999</v>
      </c>
      <c r="BV181" s="59">
        <v>-237.881</v>
      </c>
      <c r="BW181" s="61"/>
      <c r="BY181" s="59"/>
      <c r="BZ181" s="59"/>
      <c r="CA181" s="59"/>
      <c r="CC181" s="59"/>
    </row>
    <row r="182" spans="1:81" x14ac:dyDescent="0.25">
      <c r="A182">
        <f t="shared" si="158"/>
        <v>74000</v>
      </c>
      <c r="B182">
        <f t="shared" si="138"/>
        <v>74</v>
      </c>
      <c r="C182">
        <f t="shared" si="107"/>
        <v>1.1733195123448812</v>
      </c>
      <c r="D182">
        <f t="shared" si="108"/>
        <v>0.5504623499636615</v>
      </c>
      <c r="F182">
        <f t="shared" si="109"/>
        <v>4.701346835246061E-3</v>
      </c>
      <c r="G182">
        <f t="shared" si="110"/>
        <v>2.3378183429836035E-2</v>
      </c>
      <c r="H182">
        <f t="shared" si="111"/>
        <v>-3.1182144665701643</v>
      </c>
      <c r="J182">
        <f t="shared" si="112"/>
        <v>15</v>
      </c>
      <c r="M182">
        <f t="shared" si="113"/>
        <v>2.0190594212203896E-2</v>
      </c>
      <c r="N182">
        <f t="shared" si="114"/>
        <v>-1.5707963250000001</v>
      </c>
      <c r="O182">
        <f t="shared" si="115"/>
        <v>18.951029580257234</v>
      </c>
      <c r="P182">
        <f t="shared" si="116"/>
        <v>1.5180042266182932</v>
      </c>
      <c r="Q182">
        <f t="shared" si="117"/>
        <v>16.048445296381431</v>
      </c>
      <c r="R182">
        <f t="shared" si="118"/>
        <v>1.5084446016398803</v>
      </c>
      <c r="S182">
        <f t="shared" si="119"/>
        <v>0.85598721388923815</v>
      </c>
      <c r="T182">
        <f t="shared" si="120"/>
        <v>-0.5433389793608554</v>
      </c>
      <c r="U182">
        <f t="shared" si="121"/>
        <v>0.90462192931690633</v>
      </c>
      <c r="V182">
        <f t="shared" si="122"/>
        <v>-0.44030448449971932</v>
      </c>
      <c r="X182">
        <f t="shared" si="139"/>
        <v>-8.1024178169297212</v>
      </c>
      <c r="Y182">
        <f t="shared" si="123"/>
        <v>-120.07723340503826</v>
      </c>
      <c r="Z182">
        <f t="shared" si="140"/>
        <v>59.922766594961743</v>
      </c>
      <c r="AC182">
        <v>1</v>
      </c>
      <c r="AD182">
        <f t="shared" si="124"/>
        <v>18.9246273979644</v>
      </c>
      <c r="AE182">
        <f t="shared" si="125"/>
        <v>-1.0558936331928205E-3</v>
      </c>
      <c r="AF182">
        <f t="shared" si="126"/>
        <v>2.2410865328039999E-3</v>
      </c>
      <c r="AG182">
        <f t="shared" si="141"/>
        <v>6738.3529351766638</v>
      </c>
      <c r="AH182">
        <f t="shared" si="142"/>
        <v>-3621.0042957626888</v>
      </c>
      <c r="AJ182">
        <f t="shared" si="127"/>
        <v>22100</v>
      </c>
      <c r="AK182">
        <f t="shared" si="128"/>
        <v>13347.902090266383</v>
      </c>
      <c r="AL182">
        <v>1</v>
      </c>
      <c r="AM182">
        <f t="shared" si="129"/>
        <v>16.017259329577801</v>
      </c>
      <c r="AN182">
        <f t="shared" si="143"/>
        <v>915.91703036415299</v>
      </c>
      <c r="AO182">
        <f t="shared" si="144"/>
        <v>-1322.5785094530424</v>
      </c>
      <c r="AQ182">
        <f t="shared" si="130"/>
        <v>0.45651677699155446</v>
      </c>
      <c r="AR182">
        <f t="shared" si="131"/>
        <v>-67.564482994750051</v>
      </c>
      <c r="AT182">
        <f t="shared" si="156"/>
        <v>-241575.11200077663</v>
      </c>
      <c r="AU182">
        <f t="shared" si="157"/>
        <v>-456926.3815119419</v>
      </c>
      <c r="AV182">
        <f t="shared" si="145"/>
        <v>-2.0571362575354337</v>
      </c>
      <c r="AW182">
        <f t="shared" si="146"/>
        <v>-80950.63922627407</v>
      </c>
      <c r="AX182">
        <f t="shared" si="147"/>
        <v>-70404.958634791459</v>
      </c>
      <c r="AY182">
        <f t="shared" si="155"/>
        <v>-2.4257569332169067</v>
      </c>
      <c r="BA182">
        <f t="shared" si="132"/>
        <v>4.8176424700087823</v>
      </c>
      <c r="BB182">
        <f t="shared" si="148"/>
        <v>13.656691334318392</v>
      </c>
      <c r="BC182">
        <f t="shared" si="149"/>
        <v>0.36862067568147294</v>
      </c>
      <c r="BD182">
        <f t="shared" si="133"/>
        <v>-158.87959101805731</v>
      </c>
      <c r="BF182">
        <f t="shared" si="134"/>
        <v>-7.9887117865935986</v>
      </c>
      <c r="BG182">
        <f t="shared" si="135"/>
        <v>-126.0009503035046</v>
      </c>
      <c r="BH182">
        <f t="shared" si="150"/>
        <v>53.999049696495405</v>
      </c>
      <c r="BI182">
        <f t="shared" si="151"/>
        <v>53.999049696495405</v>
      </c>
      <c r="BJ182">
        <f t="shared" si="136"/>
        <v>0</v>
      </c>
      <c r="BK182">
        <f t="shared" si="152"/>
        <v>0</v>
      </c>
      <c r="BM182">
        <f t="shared" si="153"/>
        <v>-21.645403120911986</v>
      </c>
      <c r="BN182">
        <f t="shared" si="137"/>
        <v>-147.12135928544728</v>
      </c>
      <c r="BQ182" s="56">
        <f t="shared" si="154"/>
        <v>30.558652134603527</v>
      </c>
      <c r="BR182" s="59"/>
      <c r="BS182" s="59"/>
      <c r="BT182" s="59">
        <v>5248.0749999999998</v>
      </c>
      <c r="BU182" s="59">
        <v>1.6024099999999999</v>
      </c>
      <c r="BV182" s="59">
        <v>-238.28</v>
      </c>
      <c r="BW182" s="61"/>
      <c r="BY182" s="59"/>
      <c r="BZ182" s="59"/>
      <c r="CA182" s="59"/>
      <c r="CC182" s="59"/>
    </row>
    <row r="183" spans="1:81" x14ac:dyDescent="0.25">
      <c r="A183">
        <f t="shared" si="158"/>
        <v>74500</v>
      </c>
      <c r="B183">
        <f t="shared" si="138"/>
        <v>74.5</v>
      </c>
      <c r="C183">
        <f t="shared" si="107"/>
        <v>1.1754939928617116</v>
      </c>
      <c r="D183">
        <f t="shared" si="108"/>
        <v>0.55346903371506206</v>
      </c>
      <c r="F183">
        <f t="shared" si="109"/>
        <v>4.6381768759811235E-3</v>
      </c>
      <c r="G183">
        <f t="shared" si="110"/>
        <v>2.3219870613431025E-2</v>
      </c>
      <c r="H183">
        <f t="shared" si="111"/>
        <v>-3.118372779386569</v>
      </c>
      <c r="J183">
        <f t="shared" si="112"/>
        <v>15</v>
      </c>
      <c r="M183">
        <f t="shared" si="113"/>
        <v>2.0055086868497829E-2</v>
      </c>
      <c r="N183">
        <f t="shared" si="114"/>
        <v>-1.5707963250000001</v>
      </c>
      <c r="O183">
        <f t="shared" si="115"/>
        <v>19.078721732833706</v>
      </c>
      <c r="P183">
        <f t="shared" si="116"/>
        <v>1.5183578846682499</v>
      </c>
      <c r="Q183">
        <f t="shared" si="117"/>
        <v>16.156461122439172</v>
      </c>
      <c r="R183">
        <f t="shared" si="118"/>
        <v>1.5088619966936221</v>
      </c>
      <c r="S183">
        <f t="shared" si="119"/>
        <v>0.85444029401163291</v>
      </c>
      <c r="T183">
        <f t="shared" si="120"/>
        <v>-0.54632373421004687</v>
      </c>
      <c r="U183">
        <f t="shared" si="121"/>
        <v>0.90350987486286471</v>
      </c>
      <c r="V183">
        <f t="shared" si="122"/>
        <v>-0.44290644281689062</v>
      </c>
      <c r="X183">
        <f t="shared" si="139"/>
        <v>-8.1721267010977492</v>
      </c>
      <c r="Y183">
        <f t="shared" si="123"/>
        <v>-120.18995076926443</v>
      </c>
      <c r="Z183">
        <f t="shared" si="140"/>
        <v>59.810049230735572</v>
      </c>
      <c r="AC183">
        <v>1</v>
      </c>
      <c r="AD183">
        <f t="shared" si="124"/>
        <v>19.052496502004701</v>
      </c>
      <c r="AE183">
        <f t="shared" si="125"/>
        <v>-1.0702106715902945E-3</v>
      </c>
      <c r="AF183">
        <f t="shared" si="126"/>
        <v>2.2562290093769998E-3</v>
      </c>
      <c r="AG183">
        <f t="shared" si="141"/>
        <v>6721.7961630871341</v>
      </c>
      <c r="AH183">
        <f t="shared" si="142"/>
        <v>-3631.6074086171939</v>
      </c>
      <c r="AJ183">
        <f t="shared" si="127"/>
        <v>22100</v>
      </c>
      <c r="AK183">
        <f t="shared" si="128"/>
        <v>13438.090617903315</v>
      </c>
      <c r="AL183">
        <v>1</v>
      </c>
      <c r="AM183">
        <f t="shared" si="129"/>
        <v>16.125484054777651</v>
      </c>
      <c r="AN183">
        <f t="shared" si="143"/>
        <v>914.81663131244738</v>
      </c>
      <c r="AO183">
        <f t="shared" si="144"/>
        <v>-1313.7703833709609</v>
      </c>
      <c r="AQ183">
        <f t="shared" si="130"/>
        <v>0.45040987298441582</v>
      </c>
      <c r="AR183">
        <f t="shared" si="131"/>
        <v>-67.111071074677952</v>
      </c>
      <c r="AT183">
        <f t="shared" si="156"/>
        <v>-240693.49955899231</v>
      </c>
      <c r="AU183">
        <f t="shared" si="157"/>
        <v>-452742.65188208275</v>
      </c>
      <c r="AV183">
        <f t="shared" si="145"/>
        <v>-2.0594299031071115</v>
      </c>
      <c r="AW183">
        <f t="shared" si="146"/>
        <v>-79784.707876769055</v>
      </c>
      <c r="AX183">
        <f t="shared" si="147"/>
        <v>-69887.237348131515</v>
      </c>
      <c r="AY183">
        <f t="shared" si="155"/>
        <v>-2.4222261130776777</v>
      </c>
      <c r="BA183">
        <f t="shared" si="132"/>
        <v>4.8342605671765932</v>
      </c>
      <c r="BB183">
        <f t="shared" si="148"/>
        <v>13.686601104457699</v>
      </c>
      <c r="BC183">
        <f t="shared" si="149"/>
        <v>0.36279620997056616</v>
      </c>
      <c r="BD183">
        <f t="shared" si="133"/>
        <v>-159.21330832159225</v>
      </c>
      <c r="BF183">
        <f t="shared" si="134"/>
        <v>-8.0602193055992863</v>
      </c>
      <c r="BG183">
        <f t="shared" si="135"/>
        <v>-126.17146797379007</v>
      </c>
      <c r="BH183">
        <f t="shared" si="150"/>
        <v>53.828532026209928</v>
      </c>
      <c r="BI183">
        <f t="shared" si="151"/>
        <v>53.828532026209928</v>
      </c>
      <c r="BJ183">
        <f t="shared" si="136"/>
        <v>0</v>
      </c>
      <c r="BK183">
        <f t="shared" si="152"/>
        <v>0</v>
      </c>
      <c r="BM183">
        <f t="shared" si="153"/>
        <v>-21.746820410056987</v>
      </c>
      <c r="BN183">
        <f t="shared" si="137"/>
        <v>-146.95815965219782</v>
      </c>
      <c r="BQ183" s="56">
        <f t="shared" si="154"/>
        <v>30.588561904742836</v>
      </c>
      <c r="BR183" s="59"/>
      <c r="BS183" s="59"/>
      <c r="BT183" s="59">
        <v>5370.3180000000002</v>
      </c>
      <c r="BU183" s="59">
        <v>1.48515</v>
      </c>
      <c r="BV183" s="59">
        <v>-237.34699999999998</v>
      </c>
      <c r="BW183" s="61"/>
      <c r="BY183" s="59"/>
      <c r="BZ183" s="59"/>
      <c r="CA183" s="59"/>
      <c r="CC183" s="59"/>
    </row>
    <row r="184" spans="1:81" x14ac:dyDescent="0.25">
      <c r="A184">
        <f t="shared" si="158"/>
        <v>75000</v>
      </c>
      <c r="B184">
        <f t="shared" si="138"/>
        <v>75</v>
      </c>
      <c r="C184">
        <f t="shared" si="107"/>
        <v>1.1776790607190262</v>
      </c>
      <c r="D184">
        <f t="shared" si="108"/>
        <v>0.55646458725027981</v>
      </c>
      <c r="F184">
        <f t="shared" si="109"/>
        <v>4.5762734021387447E-3</v>
      </c>
      <c r="G184">
        <f t="shared" si="110"/>
        <v>2.306369675661922E-2</v>
      </c>
      <c r="H184">
        <f t="shared" si="111"/>
        <v>-3.1185289532433811</v>
      </c>
      <c r="J184">
        <f t="shared" si="112"/>
        <v>15</v>
      </c>
      <c r="M184">
        <f t="shared" si="113"/>
        <v>1.992138628937451E-2</v>
      </c>
      <c r="N184">
        <f t="shared" si="114"/>
        <v>-1.5707963250000001</v>
      </c>
      <c r="O184">
        <f t="shared" si="115"/>
        <v>19.206416239932786</v>
      </c>
      <c r="P184">
        <f t="shared" si="116"/>
        <v>1.5187068401463886</v>
      </c>
      <c r="Q184">
        <f t="shared" si="117"/>
        <v>16.264479725866384</v>
      </c>
      <c r="R184">
        <f t="shared" si="118"/>
        <v>1.509273847659329</v>
      </c>
      <c r="S184">
        <f t="shared" si="119"/>
        <v>0.85289139806543135</v>
      </c>
      <c r="T184">
        <f t="shared" si="120"/>
        <v>-0.5492976941800235</v>
      </c>
      <c r="U184">
        <f t="shared" si="121"/>
        <v>0.902394464285035</v>
      </c>
      <c r="V184">
        <f t="shared" si="122"/>
        <v>-0.44550199427611464</v>
      </c>
      <c r="X184">
        <f t="shared" si="139"/>
        <v>-8.2414719828110297</v>
      </c>
      <c r="Y184">
        <f t="shared" si="123"/>
        <v>-120.30278479796984</v>
      </c>
      <c r="Z184">
        <f t="shared" si="140"/>
        <v>59.697215202030165</v>
      </c>
      <c r="AC184">
        <v>1</v>
      </c>
      <c r="AD184">
        <f t="shared" si="124"/>
        <v>19.180365606045001</v>
      </c>
      <c r="AE184">
        <f t="shared" si="125"/>
        <v>-1.0846241210207479E-3</v>
      </c>
      <c r="AF184">
        <f t="shared" si="126"/>
        <v>2.2713714859499998E-3</v>
      </c>
      <c r="AG184">
        <f t="shared" si="141"/>
        <v>6705.2098815961681</v>
      </c>
      <c r="AH184">
        <f t="shared" si="142"/>
        <v>-3642.1309439067181</v>
      </c>
      <c r="AJ184">
        <f t="shared" si="127"/>
        <v>22100</v>
      </c>
      <c r="AK184">
        <f t="shared" si="128"/>
        <v>13528.279145540253</v>
      </c>
      <c r="AL184">
        <v>1</v>
      </c>
      <c r="AM184">
        <f t="shared" si="129"/>
        <v>16.233708779977501</v>
      </c>
      <c r="AN184">
        <f t="shared" si="143"/>
        <v>913.73805586967762</v>
      </c>
      <c r="AO184">
        <f t="shared" si="144"/>
        <v>-1305.0783546309056</v>
      </c>
      <c r="AQ184">
        <f t="shared" si="130"/>
        <v>0.44442469223590064</v>
      </c>
      <c r="AR184">
        <f t="shared" si="131"/>
        <v>-66.663703835385093</v>
      </c>
      <c r="AT184">
        <f t="shared" si="156"/>
        <v>-239817.9777362835</v>
      </c>
      <c r="AU184">
        <f t="shared" si="157"/>
        <v>-448612.77862465306</v>
      </c>
      <c r="AV184">
        <f t="shared" si="145"/>
        <v>-2.0617212398156513</v>
      </c>
      <c r="AW184">
        <f t="shared" si="146"/>
        <v>-78642.259092040229</v>
      </c>
      <c r="AX184">
        <f t="shared" si="147"/>
        <v>-69378.093310546639</v>
      </c>
      <c r="AY184">
        <f t="shared" si="155"/>
        <v>-2.4187000687723641</v>
      </c>
      <c r="BA184">
        <f t="shared" si="132"/>
        <v>4.8506317813410487</v>
      </c>
      <c r="BB184">
        <f t="shared" si="148"/>
        <v>13.715966158770424</v>
      </c>
      <c r="BC184">
        <f t="shared" si="149"/>
        <v>0.35697882895671285</v>
      </c>
      <c r="BD184">
        <f t="shared" si="133"/>
        <v>-159.54661970188647</v>
      </c>
      <c r="BF184">
        <f t="shared" si="134"/>
        <v>-8.1314303380717305</v>
      </c>
      <c r="BG184">
        <f t="shared" si="135"/>
        <v>-126.3420948818905</v>
      </c>
      <c r="BH184">
        <f t="shared" si="150"/>
        <v>53.657905118109497</v>
      </c>
      <c r="BI184">
        <f t="shared" si="151"/>
        <v>53.657905118109497</v>
      </c>
      <c r="BJ184">
        <f t="shared" si="136"/>
        <v>0</v>
      </c>
      <c r="BK184">
        <f t="shared" si="152"/>
        <v>0</v>
      </c>
      <c r="BM184">
        <f t="shared" si="153"/>
        <v>-21.847396496842158</v>
      </c>
      <c r="BN184">
        <f t="shared" si="137"/>
        <v>-146.79547518000405</v>
      </c>
      <c r="BQ184" s="56">
        <f t="shared" si="154"/>
        <v>30.617926959055559</v>
      </c>
      <c r="BR184" s="59"/>
      <c r="BS184" s="59"/>
      <c r="BT184" s="59">
        <v>5495.4089999999997</v>
      </c>
      <c r="BU184" s="59">
        <v>1.35836</v>
      </c>
      <c r="BV184" s="59">
        <v>-235.61199999999999</v>
      </c>
      <c r="BW184" s="61"/>
      <c r="BY184" s="59"/>
      <c r="BZ184" s="59"/>
      <c r="CA184" s="59"/>
      <c r="CC184" s="59"/>
    </row>
    <row r="185" spans="1:81" x14ac:dyDescent="0.25">
      <c r="A185">
        <f t="shared" si="158"/>
        <v>75500</v>
      </c>
      <c r="B185">
        <f t="shared" si="138"/>
        <v>75.5</v>
      </c>
      <c r="C185">
        <f t="shared" si="107"/>
        <v>1.1798746570951781</v>
      </c>
      <c r="D185">
        <f t="shared" si="108"/>
        <v>0.55944901879623776</v>
      </c>
      <c r="F185">
        <f t="shared" si="109"/>
        <v>4.5156027360149717E-3</v>
      </c>
      <c r="G185">
        <f t="shared" si="110"/>
        <v>2.2909618620768565E-2</v>
      </c>
      <c r="H185">
        <f t="shared" si="111"/>
        <v>-3.1186830313792315</v>
      </c>
      <c r="J185">
        <f t="shared" si="112"/>
        <v>15</v>
      </c>
      <c r="M185">
        <f t="shared" si="113"/>
        <v>1.9789456578848851E-2</v>
      </c>
      <c r="N185">
        <f t="shared" si="114"/>
        <v>-1.5707963250000001</v>
      </c>
      <c r="O185">
        <f t="shared" si="115"/>
        <v>19.334113054902279</v>
      </c>
      <c r="P185">
        <f t="shared" si="116"/>
        <v>1.519051186144682</v>
      </c>
      <c r="Q185">
        <f t="shared" si="117"/>
        <v>16.372501051691465</v>
      </c>
      <c r="R185">
        <f t="shared" si="118"/>
        <v>1.5096802641310547</v>
      </c>
      <c r="S185">
        <f t="shared" si="119"/>
        <v>0.85134061874804101</v>
      </c>
      <c r="T185">
        <f t="shared" si="120"/>
        <v>-0.55226086540648267</v>
      </c>
      <c r="U185">
        <f t="shared" si="121"/>
        <v>0.9012757550001288</v>
      </c>
      <c r="V185">
        <f t="shared" si="122"/>
        <v>-0.44809112766929998</v>
      </c>
      <c r="X185">
        <f t="shared" si="139"/>
        <v>-8.3104589619243754</v>
      </c>
      <c r="Y185">
        <f t="shared" si="123"/>
        <v>-120.41572559349703</v>
      </c>
      <c r="Z185">
        <f t="shared" si="140"/>
        <v>59.584274406502971</v>
      </c>
      <c r="AC185">
        <v>1</v>
      </c>
      <c r="AD185">
        <f t="shared" si="124"/>
        <v>19.308234710085298</v>
      </c>
      <c r="AE185">
        <f t="shared" si="125"/>
        <v>-1.099133981484181E-3</v>
      </c>
      <c r="AF185">
        <f t="shared" si="126"/>
        <v>2.2865139625229997E-3</v>
      </c>
      <c r="AG185">
        <f t="shared" si="141"/>
        <v>6688.5951278569719</v>
      </c>
      <c r="AH185">
        <f t="shared" si="142"/>
        <v>-3652.5743250663054</v>
      </c>
      <c r="AJ185">
        <f t="shared" si="127"/>
        <v>22100</v>
      </c>
      <c r="AK185">
        <f t="shared" si="128"/>
        <v>13618.467673177185</v>
      </c>
      <c r="AL185">
        <v>1</v>
      </c>
      <c r="AM185">
        <f t="shared" si="129"/>
        <v>16.341933505177352</v>
      </c>
      <c r="AN185">
        <f t="shared" si="143"/>
        <v>912.6807314540024</v>
      </c>
      <c r="AO185">
        <f t="shared" si="144"/>
        <v>-1296.5001517007495</v>
      </c>
      <c r="AQ185">
        <f t="shared" si="130"/>
        <v>0.43855802122620824</v>
      </c>
      <c r="AR185">
        <f t="shared" si="131"/>
        <v>-66.222261205157437</v>
      </c>
      <c r="AT185">
        <f t="shared" si="156"/>
        <v>-238948.3939817363</v>
      </c>
      <c r="AU185">
        <f t="shared" si="157"/>
        <v>-444535.75942087051</v>
      </c>
      <c r="AV185">
        <f t="shared" si="145"/>
        <v>-2.0640101753717435</v>
      </c>
      <c r="AW185">
        <f t="shared" si="146"/>
        <v>-77522.676980449207</v>
      </c>
      <c r="AX185">
        <f t="shared" si="147"/>
        <v>-68877.311906962073</v>
      </c>
      <c r="AY185">
        <f t="shared" si="155"/>
        <v>-2.4151790335852468</v>
      </c>
      <c r="BA185">
        <f t="shared" si="132"/>
        <v>4.8667567038844384</v>
      </c>
      <c r="BB185">
        <f t="shared" si="148"/>
        <v>13.744792715700152</v>
      </c>
      <c r="BC185">
        <f t="shared" si="149"/>
        <v>0.3511688582135033</v>
      </c>
      <c r="BD185">
        <f t="shared" si="133"/>
        <v>-159.87950650494724</v>
      </c>
      <c r="BF185">
        <f t="shared" si="134"/>
        <v>-8.2023500954401651</v>
      </c>
      <c r="BG185">
        <f t="shared" si="135"/>
        <v>-126.51281437983637</v>
      </c>
      <c r="BH185">
        <f t="shared" si="150"/>
        <v>53.487185620163629</v>
      </c>
      <c r="BI185">
        <f t="shared" si="151"/>
        <v>53.487185620163629</v>
      </c>
      <c r="BJ185">
        <f t="shared" si="136"/>
        <v>0</v>
      </c>
      <c r="BK185">
        <f t="shared" si="152"/>
        <v>0</v>
      </c>
      <c r="BM185">
        <f t="shared" si="153"/>
        <v>-21.947142811140317</v>
      </c>
      <c r="BN185">
        <f t="shared" si="137"/>
        <v>-146.63330787488914</v>
      </c>
      <c r="BQ185" s="56">
        <f t="shared" si="154"/>
        <v>30.646753515985289</v>
      </c>
      <c r="BR185" s="59"/>
      <c r="BS185" s="59"/>
      <c r="BT185" s="59">
        <v>5623.4129999999996</v>
      </c>
      <c r="BU185" s="59">
        <v>1.07298</v>
      </c>
      <c r="BV185" s="59">
        <v>-235.13800000000001</v>
      </c>
      <c r="BW185" s="61"/>
      <c r="BY185" s="59"/>
      <c r="BZ185" s="59"/>
      <c r="CA185" s="59"/>
      <c r="CC185" s="59"/>
    </row>
    <row r="186" spans="1:81" x14ac:dyDescent="0.25">
      <c r="A186">
        <f t="shared" si="158"/>
        <v>76000</v>
      </c>
      <c r="B186">
        <f t="shared" si="138"/>
        <v>76</v>
      </c>
      <c r="C186">
        <f t="shared" si="107"/>
        <v>1.182080723323166</v>
      </c>
      <c r="D186">
        <f t="shared" si="108"/>
        <v>0.56242233731137203</v>
      </c>
      <c r="F186">
        <f t="shared" si="109"/>
        <v>4.4561323134609029E-3</v>
      </c>
      <c r="G186">
        <f t="shared" si="110"/>
        <v>2.2757594129498935E-2</v>
      </c>
      <c r="H186">
        <f t="shared" si="111"/>
        <v>-3.1188350558705014</v>
      </c>
      <c r="J186">
        <f t="shared" si="112"/>
        <v>15</v>
      </c>
      <c r="M186">
        <f t="shared" si="113"/>
        <v>1.9659262785566952E-2</v>
      </c>
      <c r="N186">
        <f t="shared" si="114"/>
        <v>-1.5707963250000001</v>
      </c>
      <c r="O186">
        <f t="shared" si="115"/>
        <v>19.461812132313568</v>
      </c>
      <c r="P186">
        <f t="shared" si="116"/>
        <v>1.5193910133162429</v>
      </c>
      <c r="Q186">
        <f t="shared" si="117"/>
        <v>16.480525046382677</v>
      </c>
      <c r="R186">
        <f t="shared" si="118"/>
        <v>1.5100813528367421</v>
      </c>
      <c r="S186">
        <f t="shared" si="119"/>
        <v>0.84978804778927719</v>
      </c>
      <c r="T186">
        <f t="shared" si="120"/>
        <v>-0.55521325473851502</v>
      </c>
      <c r="U186">
        <f t="shared" si="121"/>
        <v>0.90015380417342983</v>
      </c>
      <c r="V186">
        <f t="shared" si="122"/>
        <v>-0.45067383218790497</v>
      </c>
      <c r="X186">
        <f t="shared" si="139"/>
        <v>-8.3790928200364974</v>
      </c>
      <c r="Y186">
        <f t="shared" si="123"/>
        <v>-120.52876351740302</v>
      </c>
      <c r="Z186">
        <f t="shared" si="140"/>
        <v>59.471236482596979</v>
      </c>
      <c r="AC186">
        <v>1</v>
      </c>
      <c r="AD186">
        <f t="shared" si="124"/>
        <v>19.436103814125602</v>
      </c>
      <c r="AE186">
        <f t="shared" si="125"/>
        <v>-1.1137402529805937E-3</v>
      </c>
      <c r="AF186">
        <f t="shared" si="126"/>
        <v>2.301656439096E-3</v>
      </c>
      <c r="AG186">
        <f t="shared" si="141"/>
        <v>6671.9529316082762</v>
      </c>
      <c r="AH186">
        <f t="shared" si="142"/>
        <v>-3662.9370060265428</v>
      </c>
      <c r="AJ186">
        <f t="shared" si="127"/>
        <v>22100</v>
      </c>
      <c r="AK186">
        <f t="shared" si="128"/>
        <v>13708.656200814121</v>
      </c>
      <c r="AL186">
        <v>1</v>
      </c>
      <c r="AM186">
        <f t="shared" si="129"/>
        <v>16.450158230377202</v>
      </c>
      <c r="AN186">
        <f t="shared" si="143"/>
        <v>911.64410411650408</v>
      </c>
      <c r="AO186">
        <f t="shared" si="144"/>
        <v>-1288.0335616928378</v>
      </c>
      <c r="AQ186">
        <f t="shared" si="130"/>
        <v>0.43280675178532785</v>
      </c>
      <c r="AR186">
        <f t="shared" si="131"/>
        <v>-65.78662627136984</v>
      </c>
      <c r="AT186">
        <f t="shared" si="156"/>
        <v>-238084.60159464457</v>
      </c>
      <c r="AU186">
        <f t="shared" si="157"/>
        <v>-440510.61787945667</v>
      </c>
      <c r="AV186">
        <f t="shared" si="145"/>
        <v>-2.0662966200084387</v>
      </c>
      <c r="AW186">
        <f t="shared" si="146"/>
        <v>-76425.365645975588</v>
      </c>
      <c r="AX186">
        <f t="shared" si="147"/>
        <v>-68384.685542105624</v>
      </c>
      <c r="AY186">
        <f t="shared" si="155"/>
        <v>-2.4116632361343235</v>
      </c>
      <c r="BA186">
        <f t="shared" si="132"/>
        <v>4.8826359625667557</v>
      </c>
      <c r="BB186">
        <f t="shared" si="148"/>
        <v>13.773086911068207</v>
      </c>
      <c r="BC186">
        <f t="shared" si="149"/>
        <v>0.34536661612588482</v>
      </c>
      <c r="BD186">
        <f t="shared" si="133"/>
        <v>-160.21195048866082</v>
      </c>
      <c r="BF186">
        <f t="shared" si="134"/>
        <v>-8.2729836519420434</v>
      </c>
      <c r="BG186">
        <f t="shared" si="135"/>
        <v>-126.68361012303234</v>
      </c>
      <c r="BH186">
        <f t="shared" si="150"/>
        <v>53.316389876967662</v>
      </c>
      <c r="BI186">
        <f t="shared" si="151"/>
        <v>53.316389876967662</v>
      </c>
      <c r="BJ186">
        <f t="shared" si="136"/>
        <v>0</v>
      </c>
      <c r="BK186">
        <f t="shared" si="152"/>
        <v>0</v>
      </c>
      <c r="BM186">
        <f t="shared" si="153"/>
        <v>-22.04607056301025</v>
      </c>
      <c r="BN186">
        <f t="shared" si="137"/>
        <v>-146.47165963437152</v>
      </c>
      <c r="BQ186" s="56">
        <f t="shared" si="154"/>
        <v>30.675047711353344</v>
      </c>
      <c r="BR186" s="59"/>
      <c r="BS186" s="59"/>
      <c r="BT186" s="59">
        <v>5754.3990000000003</v>
      </c>
      <c r="BU186" s="59">
        <v>0.86915299999999995</v>
      </c>
      <c r="BV186" s="59">
        <v>-234.68899999999999</v>
      </c>
      <c r="BW186" s="61"/>
      <c r="BY186" s="59"/>
      <c r="BZ186" s="59"/>
      <c r="CA186" s="59"/>
      <c r="CC186" s="59"/>
    </row>
    <row r="187" spans="1:81" x14ac:dyDescent="0.25">
      <c r="A187">
        <f t="shared" si="158"/>
        <v>76500</v>
      </c>
      <c r="B187">
        <f t="shared" si="138"/>
        <v>76.5</v>
      </c>
      <c r="C187">
        <f t="shared" si="107"/>
        <v>1.1842972008944006</v>
      </c>
      <c r="D187">
        <f t="shared" si="108"/>
        <v>0.56538455247349162</v>
      </c>
      <c r="F187">
        <f t="shared" si="109"/>
        <v>4.3978306399304161E-3</v>
      </c>
      <c r="G187">
        <f t="shared" si="110"/>
        <v>2.260758232974374E-2</v>
      </c>
      <c r="H187">
        <f t="shared" si="111"/>
        <v>-3.1189850676702564</v>
      </c>
      <c r="J187">
        <f t="shared" si="112"/>
        <v>15</v>
      </c>
      <c r="M187">
        <f t="shared" si="113"/>
        <v>1.9530770871935794E-2</v>
      </c>
      <c r="N187">
        <f t="shared" si="114"/>
        <v>-1.5707963250000001</v>
      </c>
      <c r="O187">
        <f t="shared" si="115"/>
        <v>19.589513427921805</v>
      </c>
      <c r="P187">
        <f t="shared" si="116"/>
        <v>1.5197264099546015</v>
      </c>
      <c r="Q187">
        <f t="shared" si="117"/>
        <v>16.588551657801371</v>
      </c>
      <c r="R187">
        <f t="shared" si="118"/>
        <v>1.5104772177311943</v>
      </c>
      <c r="S187">
        <f t="shared" si="119"/>
        <v>0.84823377594947813</v>
      </c>
      <c r="T187">
        <f t="shared" si="120"/>
        <v>-0.55815486972730743</v>
      </c>
      <c r="U187">
        <f t="shared" si="121"/>
        <v>0.89902866871409071</v>
      </c>
      <c r="V187">
        <f t="shared" si="122"/>
        <v>-0.45325009742005601</v>
      </c>
      <c r="X187">
        <f t="shared" si="139"/>
        <v>-8.4473786238359754</v>
      </c>
      <c r="Y187">
        <f t="shared" si="123"/>
        <v>-120.64188918270479</v>
      </c>
      <c r="Z187">
        <f t="shared" si="140"/>
        <v>59.358110817295213</v>
      </c>
      <c r="AC187">
        <v>1</v>
      </c>
      <c r="AD187">
        <f t="shared" si="124"/>
        <v>19.563972918165899</v>
      </c>
      <c r="AE187">
        <f t="shared" si="125"/>
        <v>-1.1284429355099862E-3</v>
      </c>
      <c r="AF187">
        <f t="shared" si="126"/>
        <v>2.3167989156689999E-3</v>
      </c>
      <c r="AG187">
        <f t="shared" si="141"/>
        <v>6655.2843150970266</v>
      </c>
      <c r="AH187">
        <f t="shared" si="142"/>
        <v>-3673.2184703756539</v>
      </c>
      <c r="AJ187">
        <f t="shared" si="127"/>
        <v>22100</v>
      </c>
      <c r="AK187">
        <f t="shared" si="128"/>
        <v>13798.844728451057</v>
      </c>
      <c r="AL187">
        <v>1</v>
      </c>
      <c r="AM187">
        <f t="shared" si="129"/>
        <v>16.558382955577052</v>
      </c>
      <c r="AN187">
        <f t="shared" si="143"/>
        <v>910.62763781915953</v>
      </c>
      <c r="AO187">
        <f t="shared" si="144"/>
        <v>-1279.6764284911058</v>
      </c>
      <c r="AQ187">
        <f t="shared" si="130"/>
        <v>0.42716787697565145</v>
      </c>
      <c r="AR187">
        <f t="shared" si="131"/>
        <v>-65.35668517727467</v>
      </c>
      <c r="AT187">
        <f t="shared" si="156"/>
        <v>-237226.45948414266</v>
      </c>
      <c r="AU187">
        <f t="shared" si="157"/>
        <v>-436536.40268270858</v>
      </c>
      <c r="AV187">
        <f t="shared" si="145"/>
        <v>-2.0685804864093162</v>
      </c>
      <c r="AW187">
        <f t="shared" si="146"/>
        <v>-75349.748414632515</v>
      </c>
      <c r="AX187">
        <f t="shared" si="147"/>
        <v>-67900.013359071512</v>
      </c>
      <c r="AY187">
        <f t="shared" si="155"/>
        <v>-2.4081529004442173</v>
      </c>
      <c r="BA187">
        <f t="shared" si="132"/>
        <v>4.8982702210122673</v>
      </c>
      <c r="BB187">
        <f t="shared" si="148"/>
        <v>13.800854800165126</v>
      </c>
      <c r="BC187">
        <f t="shared" si="149"/>
        <v>0.33957241403490102</v>
      </c>
      <c r="BD187">
        <f t="shared" si="133"/>
        <v>-160.54393381449941</v>
      </c>
      <c r="BF187">
        <f t="shared" si="134"/>
        <v>-8.3433359482480345</v>
      </c>
      <c r="BG187">
        <f t="shared" si="135"/>
        <v>-126.85446606489081</v>
      </c>
      <c r="BH187">
        <f t="shared" si="150"/>
        <v>53.145533935109185</v>
      </c>
      <c r="BI187">
        <f t="shared" si="151"/>
        <v>53.145533935109185</v>
      </c>
      <c r="BJ187">
        <f t="shared" si="136"/>
        <v>0</v>
      </c>
      <c r="BK187">
        <f t="shared" si="152"/>
        <v>0</v>
      </c>
      <c r="BM187">
        <f t="shared" si="153"/>
        <v>-22.144190748413163</v>
      </c>
      <c r="BN187">
        <f t="shared" si="137"/>
        <v>-146.31053225039142</v>
      </c>
      <c r="BQ187" s="56">
        <f t="shared" si="154"/>
        <v>30.702815600450258</v>
      </c>
      <c r="BR187" s="59"/>
      <c r="BS187" s="59"/>
      <c r="BT187" s="59">
        <v>5888.4369999999999</v>
      </c>
      <c r="BU187" s="59">
        <v>0.80323599999999995</v>
      </c>
      <c r="BV187" s="59">
        <v>-233.95400000000001</v>
      </c>
      <c r="BW187" s="61"/>
      <c r="BY187" s="59"/>
      <c r="BZ187" s="59"/>
      <c r="CA187" s="59"/>
      <c r="CC187" s="59"/>
    </row>
    <row r="188" spans="1:81" x14ac:dyDescent="0.25">
      <c r="A188">
        <f t="shared" si="158"/>
        <v>77000</v>
      </c>
      <c r="B188">
        <f t="shared" si="138"/>
        <v>77</v>
      </c>
      <c r="C188">
        <f t="shared" si="107"/>
        <v>1.1865240314623819</v>
      </c>
      <c r="D188">
        <f t="shared" si="108"/>
        <v>0.56833567466768742</v>
      </c>
      <c r="F188">
        <f t="shared" si="109"/>
        <v>4.3406672485412582E-3</v>
      </c>
      <c r="G188">
        <f t="shared" si="110"/>
        <v>2.2459543354372079E-2</v>
      </c>
      <c r="H188">
        <f t="shared" si="111"/>
        <v>-3.119133106645628</v>
      </c>
      <c r="J188">
        <f t="shared" si="112"/>
        <v>15</v>
      </c>
      <c r="M188">
        <f t="shared" si="113"/>
        <v>1.9403947684455695E-2</v>
      </c>
      <c r="N188">
        <f t="shared" si="114"/>
        <v>-1.5707963250000001</v>
      </c>
      <c r="O188">
        <f t="shared" si="115"/>
        <v>19.717216898627601</v>
      </c>
      <c r="P188">
        <f t="shared" si="116"/>
        <v>1.5200574620699157</v>
      </c>
      <c r="Q188">
        <f t="shared" si="117"/>
        <v>16.69658083515699</v>
      </c>
      <c r="R188">
        <f t="shared" si="118"/>
        <v>1.5108679600854544</v>
      </c>
      <c r="S188">
        <f t="shared" si="119"/>
        <v>0.84667789301794893</v>
      </c>
      <c r="T188">
        <f t="shared" si="120"/>
        <v>-0.5610857186148811</v>
      </c>
      <c r="U188">
        <f t="shared" si="121"/>
        <v>0.8979004052705416</v>
      </c>
      <c r="V188">
        <f t="shared" si="122"/>
        <v>-0.45581991334763683</v>
      </c>
      <c r="X188">
        <f t="shared" si="139"/>
        <v>-8.5153213283311917</v>
      </c>
      <c r="Y188">
        <f t="shared" si="123"/>
        <v>-120.75509344641354</v>
      </c>
      <c r="Z188">
        <f t="shared" si="140"/>
        <v>59.244906553586461</v>
      </c>
      <c r="AC188">
        <v>1</v>
      </c>
      <c r="AD188">
        <f t="shared" si="124"/>
        <v>19.691842022206199</v>
      </c>
      <c r="AE188">
        <f t="shared" si="125"/>
        <v>-1.1432420290723583E-3</v>
      </c>
      <c r="AF188">
        <f t="shared" si="126"/>
        <v>2.3319413922419999E-3</v>
      </c>
      <c r="AG188">
        <f t="shared" si="141"/>
        <v>6638.5902930040938</v>
      </c>
      <c r="AH188">
        <f t="shared" si="142"/>
        <v>-3683.4182305481695</v>
      </c>
      <c r="AJ188">
        <f t="shared" si="127"/>
        <v>22100</v>
      </c>
      <c r="AK188">
        <f t="shared" si="128"/>
        <v>13889.033256087991</v>
      </c>
      <c r="AL188">
        <v>1</v>
      </c>
      <c r="AM188">
        <f t="shared" si="129"/>
        <v>16.666607680776902</v>
      </c>
      <c r="AN188">
        <f t="shared" si="143"/>
        <v>909.63081374520721</v>
      </c>
      <c r="AO188">
        <f t="shared" si="144"/>
        <v>-1271.4266509492243</v>
      </c>
      <c r="AQ188">
        <f t="shared" si="130"/>
        <v>0.42163848716110808</v>
      </c>
      <c r="AR188">
        <f t="shared" si="131"/>
        <v>-64.93232702281064</v>
      </c>
      <c r="AT188">
        <f t="shared" si="156"/>
        <v>-236373.83193971158</v>
      </c>
      <c r="AU188">
        <f t="shared" si="157"/>
        <v>-432612.18676610809</v>
      </c>
      <c r="AV188">
        <f t="shared" si="145"/>
        <v>-2.0708616896392891</v>
      </c>
      <c r="AW188">
        <f t="shared" si="146"/>
        <v>-74295.267095544245</v>
      </c>
      <c r="AX188">
        <f t="shared" si="147"/>
        <v>-67423.100971169843</v>
      </c>
      <c r="AY188">
        <f t="shared" si="155"/>
        <v>-2.4046482460161869</v>
      </c>
      <c r="BA188">
        <f t="shared" si="132"/>
        <v>4.9136601781844744</v>
      </c>
      <c r="BB188">
        <f t="shared" si="148"/>
        <v>13.828102359761573</v>
      </c>
      <c r="BC188">
        <f t="shared" si="149"/>
        <v>0.3337865563768978</v>
      </c>
      <c r="BD188">
        <f t="shared" si="133"/>
        <v>-160.87543903954526</v>
      </c>
      <c r="BF188">
        <f t="shared" si="134"/>
        <v>-8.4134117949773231</v>
      </c>
      <c r="BG188">
        <f t="shared" si="135"/>
        <v>-127.02536645169057</v>
      </c>
      <c r="BH188">
        <f t="shared" si="150"/>
        <v>52.974633548309427</v>
      </c>
      <c r="BI188">
        <f t="shared" si="151"/>
        <v>52.974633548309427</v>
      </c>
      <c r="BJ188">
        <f t="shared" si="136"/>
        <v>0</v>
      </c>
      <c r="BK188">
        <f t="shared" si="152"/>
        <v>0</v>
      </c>
      <c r="BM188">
        <f t="shared" si="153"/>
        <v>-22.241514154738901</v>
      </c>
      <c r="BN188">
        <f t="shared" si="137"/>
        <v>-146.14992741214533</v>
      </c>
      <c r="BQ188" s="56">
        <f t="shared" si="154"/>
        <v>30.730063160046711</v>
      </c>
      <c r="BR188" s="59"/>
      <c r="BS188" s="59"/>
      <c r="BT188" s="59">
        <v>6025.5959999999995</v>
      </c>
      <c r="BU188" s="59">
        <v>0.76992799999999995</v>
      </c>
      <c r="BV188" s="59">
        <v>-234.14699999999999</v>
      </c>
      <c r="BW188" s="61"/>
      <c r="BY188" s="59"/>
      <c r="BZ188" s="59"/>
      <c r="CA188" s="59"/>
      <c r="CC188" s="59"/>
    </row>
    <row r="189" spans="1:81" x14ac:dyDescent="0.25">
      <c r="A189">
        <f t="shared" si="158"/>
        <v>77500</v>
      </c>
      <c r="B189">
        <f t="shared" si="138"/>
        <v>77.5</v>
      </c>
      <c r="C189">
        <f t="shared" si="107"/>
        <v>1.188761156846283</v>
      </c>
      <c r="D189">
        <f t="shared" si="108"/>
        <v>0.57127571497429264</v>
      </c>
      <c r="F189">
        <f t="shared" si="109"/>
        <v>4.2846126600446224E-3</v>
      </c>
      <c r="G189">
        <f t="shared" si="110"/>
        <v>2.2313438386298807E-2</v>
      </c>
      <c r="H189">
        <f t="shared" si="111"/>
        <v>-3.1192792116137014</v>
      </c>
      <c r="J189">
        <f t="shared" si="112"/>
        <v>15</v>
      </c>
      <c r="M189">
        <f t="shared" si="113"/>
        <v>1.927876092520114E-2</v>
      </c>
      <c r="N189">
        <f t="shared" si="114"/>
        <v>-1.5707963250000001</v>
      </c>
      <c r="O189">
        <f t="shared" si="115"/>
        <v>19.844922502440248</v>
      </c>
      <c r="P189">
        <f t="shared" si="116"/>
        <v>1.5203842534622458</v>
      </c>
      <c r="Q189">
        <f t="shared" si="117"/>
        <v>16.804612528963819</v>
      </c>
      <c r="R189">
        <f t="shared" si="118"/>
        <v>1.5112536785727535</v>
      </c>
      <c r="S189">
        <f t="shared" si="119"/>
        <v>0.84512048781172433</v>
      </c>
      <c r="T189">
        <f t="shared" si="120"/>
        <v>-0.56400581032286978</v>
      </c>
      <c r="U189">
        <f t="shared" si="121"/>
        <v>0.89676907022601848</v>
      </c>
      <c r="V189">
        <f t="shared" si="122"/>
        <v>-0.45838327034334925</v>
      </c>
      <c r="X189">
        <f t="shared" si="139"/>
        <v>-8.5829257799688854</v>
      </c>
      <c r="Y189">
        <f t="shared" si="123"/>
        <v>-120.86836740234706</v>
      </c>
      <c r="Z189">
        <f t="shared" si="140"/>
        <v>59.131632597652938</v>
      </c>
      <c r="AC189">
        <v>1</v>
      </c>
      <c r="AD189">
        <f t="shared" si="124"/>
        <v>19.819711126246499</v>
      </c>
      <c r="AE189">
        <f t="shared" si="125"/>
        <v>-1.1581375336677099E-3</v>
      </c>
      <c r="AF189">
        <f t="shared" si="126"/>
        <v>2.3470838688149998E-3</v>
      </c>
      <c r="AG189">
        <f t="shared" si="141"/>
        <v>6621.8718723729007</v>
      </c>
      <c r="AH189">
        <f t="shared" si="142"/>
        <v>-3693.5358270390107</v>
      </c>
      <c r="AJ189">
        <f t="shared" si="127"/>
        <v>22100</v>
      </c>
      <c r="AK189">
        <f t="shared" si="128"/>
        <v>13979.221783724926</v>
      </c>
      <c r="AL189">
        <v>1</v>
      </c>
      <c r="AM189">
        <f t="shared" si="129"/>
        <v>16.774832405976753</v>
      </c>
      <c r="AN189">
        <f t="shared" si="143"/>
        <v>908.65312964025748</v>
      </c>
      <c r="AO189">
        <f t="shared" si="144"/>
        <v>-1263.2821811566605</v>
      </c>
      <c r="AQ189">
        <f t="shared" si="130"/>
        <v>0.41621576625322565</v>
      </c>
      <c r="AR189">
        <f t="shared" si="131"/>
        <v>-64.513443769249974</v>
      </c>
      <c r="AT189">
        <f t="shared" si="156"/>
        <v>-235526.58841200106</v>
      </c>
      <c r="AU189">
        <f t="shared" si="157"/>
        <v>-428737.06652994198</v>
      </c>
      <c r="AV189">
        <f t="shared" si="145"/>
        <v>-2.073140147077928</v>
      </c>
      <c r="AW189">
        <f t="shared" si="146"/>
        <v>-73261.381274923566</v>
      </c>
      <c r="AX189">
        <f t="shared" si="147"/>
        <v>-66953.760206343068</v>
      </c>
      <c r="AY189">
        <f t="shared" si="155"/>
        <v>-2.4011494878954283</v>
      </c>
      <c r="BA189">
        <f t="shared" si="132"/>
        <v>4.9288065678498949</v>
      </c>
      <c r="BB189">
        <f t="shared" si="148"/>
        <v>13.854835490041859</v>
      </c>
      <c r="BC189">
        <f t="shared" si="149"/>
        <v>0.32800934081750022</v>
      </c>
      <c r="BD189">
        <f t="shared" si="133"/>
        <v>-161.20644910881427</v>
      </c>
      <c r="BF189">
        <f t="shared" si="134"/>
        <v>-8.4832158761079004</v>
      </c>
      <c r="BG189">
        <f t="shared" si="135"/>
        <v>-127.19629581764634</v>
      </c>
      <c r="BH189">
        <f t="shared" si="150"/>
        <v>52.803704182353655</v>
      </c>
      <c r="BI189">
        <f t="shared" si="151"/>
        <v>52.803704182353655</v>
      </c>
      <c r="BJ189">
        <f t="shared" si="136"/>
        <v>0</v>
      </c>
      <c r="BK189">
        <f t="shared" si="152"/>
        <v>0</v>
      </c>
      <c r="BM189">
        <f t="shared" si="153"/>
        <v>-22.33805136614976</v>
      </c>
      <c r="BN189">
        <f t="shared" si="137"/>
        <v>-145.98984670883209</v>
      </c>
      <c r="BQ189" s="56">
        <f t="shared" si="154"/>
        <v>30.756796290326992</v>
      </c>
      <c r="BR189" s="59"/>
      <c r="BS189" s="59"/>
      <c r="BT189" s="59">
        <v>6165.95</v>
      </c>
      <c r="BU189" s="59">
        <v>0.46947800000000001</v>
      </c>
      <c r="BV189" s="59">
        <v>-232.05599999999998</v>
      </c>
      <c r="BW189" s="61"/>
      <c r="BY189" s="59"/>
      <c r="BZ189" s="59"/>
      <c r="CA189" s="59"/>
      <c r="CC189" s="59"/>
    </row>
    <row r="190" spans="1:81" x14ac:dyDescent="0.25">
      <c r="A190">
        <f t="shared" si="158"/>
        <v>78000</v>
      </c>
      <c r="B190">
        <f t="shared" si="138"/>
        <v>78</v>
      </c>
      <c r="C190">
        <f t="shared" si="107"/>
        <v>1.1910085190344448</v>
      </c>
      <c r="D190">
        <f t="shared" si="108"/>
        <v>0.57420468515689793</v>
      </c>
      <c r="F190">
        <f t="shared" si="109"/>
        <v>4.2296383446044803E-3</v>
      </c>
      <c r="G190">
        <f t="shared" si="110"/>
        <v>2.2169229624013551E-2</v>
      </c>
      <c r="H190">
        <f t="shared" si="111"/>
        <v>-3.1194234203759867</v>
      </c>
      <c r="J190">
        <f t="shared" si="112"/>
        <v>15</v>
      </c>
      <c r="M190">
        <f t="shared" si="113"/>
        <v>1.9155179124398569E-2</v>
      </c>
      <c r="N190">
        <f t="shared" si="114"/>
        <v>-1.5707963250000001</v>
      </c>
      <c r="O190">
        <f t="shared" si="115"/>
        <v>19.972630198442285</v>
      </c>
      <c r="P190">
        <f t="shared" si="116"/>
        <v>1.5207068657920313</v>
      </c>
      <c r="Q190">
        <f t="shared" si="117"/>
        <v>16.912646690999406</v>
      </c>
      <c r="R190">
        <f t="shared" si="118"/>
        <v>1.5116344693511818</v>
      </c>
      <c r="S190">
        <f t="shared" si="119"/>
        <v>0.84356164817464496</v>
      </c>
      <c r="T190">
        <f t="shared" si="120"/>
        <v>-0.56691515444133977</v>
      </c>
      <c r="U190">
        <f t="shared" si="121"/>
        <v>0.89563471969420405</v>
      </c>
      <c r="V190">
        <f t="shared" si="122"/>
        <v>-0.46094015916774717</v>
      </c>
      <c r="X190">
        <f t="shared" si="139"/>
        <v>-8.6501967196460932</v>
      </c>
      <c r="Y190">
        <f t="shared" si="123"/>
        <v>-120.98170237420604</v>
      </c>
      <c r="Z190">
        <f t="shared" si="140"/>
        <v>59.018297625793963</v>
      </c>
      <c r="AC190">
        <v>1</v>
      </c>
      <c r="AD190">
        <f t="shared" si="124"/>
        <v>19.9475802302868</v>
      </c>
      <c r="AE190">
        <f t="shared" si="125"/>
        <v>-1.1731294492960411E-3</v>
      </c>
      <c r="AF190">
        <f t="shared" si="126"/>
        <v>2.3622263453879997E-3</v>
      </c>
      <c r="AG190">
        <f t="shared" si="141"/>
        <v>6605.130052540997</v>
      </c>
      <c r="AH190">
        <f t="shared" si="142"/>
        <v>-3703.5708276419068</v>
      </c>
      <c r="AJ190">
        <f t="shared" si="127"/>
        <v>22100</v>
      </c>
      <c r="AK190">
        <f t="shared" si="128"/>
        <v>14069.410311361862</v>
      </c>
      <c r="AL190">
        <v>1</v>
      </c>
      <c r="AM190">
        <f t="shared" si="129"/>
        <v>16.883057131176603</v>
      </c>
      <c r="AN190">
        <f t="shared" si="143"/>
        <v>907.69409918259089</v>
      </c>
      <c r="AO190">
        <f t="shared" si="144"/>
        <v>-1255.2410227697007</v>
      </c>
      <c r="AQ190">
        <f t="shared" si="130"/>
        <v>0.41089698812507702</v>
      </c>
      <c r="AR190">
        <f t="shared" si="131"/>
        <v>-64.099930147512012</v>
      </c>
      <c r="AT190">
        <f t="shared" si="156"/>
        <v>-234684.60330344597</v>
      </c>
      <c r="AU190">
        <f t="shared" si="157"/>
        <v>-424910.16108149622</v>
      </c>
      <c r="AV190">
        <f t="shared" si="145"/>
        <v>-2.0754157783551976</v>
      </c>
      <c r="AW190">
        <f t="shared" si="146"/>
        <v>-72247.567641288406</v>
      </c>
      <c r="AX190">
        <f t="shared" si="147"/>
        <v>-66491.808863475686</v>
      </c>
      <c r="AY190">
        <f t="shared" si="155"/>
        <v>-2.3976568367358491</v>
      </c>
      <c r="BA190">
        <f t="shared" si="132"/>
        <v>4.9437101580311325</v>
      </c>
      <c r="BB190">
        <f t="shared" si="148"/>
        <v>13.881060016463046</v>
      </c>
      <c r="BC190">
        <f t="shared" si="149"/>
        <v>0.32224105838065142</v>
      </c>
      <c r="BD190">
        <f t="shared" si="133"/>
        <v>-161.53694734786279</v>
      </c>
      <c r="BF190">
        <f t="shared" si="134"/>
        <v>-8.5527527522860041</v>
      </c>
      <c r="BG190">
        <f t="shared" si="135"/>
        <v>-127.36723898017736</v>
      </c>
      <c r="BH190">
        <f t="shared" si="150"/>
        <v>52.632761019822638</v>
      </c>
      <c r="BI190">
        <f t="shared" si="151"/>
        <v>52.632761019822638</v>
      </c>
      <c r="BJ190">
        <f t="shared" si="136"/>
        <v>0</v>
      </c>
      <c r="BK190">
        <f t="shared" si="152"/>
        <v>0</v>
      </c>
      <c r="BM190">
        <f t="shared" si="153"/>
        <v>-22.43381276874905</v>
      </c>
      <c r="BN190">
        <f t="shared" si="137"/>
        <v>-145.83029163231458</v>
      </c>
      <c r="BQ190" s="56">
        <f t="shared" si="154"/>
        <v>30.783020816748184</v>
      </c>
      <c r="BR190" s="59"/>
      <c r="BS190" s="59"/>
      <c r="BT190" s="59">
        <v>6309.5730000000003</v>
      </c>
      <c r="BU190" s="59">
        <v>0.36985299999999999</v>
      </c>
      <c r="BV190" s="59">
        <v>-231.369</v>
      </c>
      <c r="BW190" s="61"/>
      <c r="BY190" s="59"/>
      <c r="BZ190" s="59"/>
      <c r="CA190" s="59"/>
      <c r="CC190" s="59"/>
    </row>
    <row r="191" spans="1:81" x14ac:dyDescent="0.25">
      <c r="A191">
        <f t="shared" si="158"/>
        <v>78500</v>
      </c>
      <c r="B191">
        <f t="shared" si="138"/>
        <v>78.5</v>
      </c>
      <c r="C191">
        <f t="shared" si="107"/>
        <v>1.1932660601877805</v>
      </c>
      <c r="D191">
        <f t="shared" si="108"/>
        <v>0.57712259765042484</v>
      </c>
      <c r="F191">
        <f t="shared" si="109"/>
        <v>4.1757166852936494E-3</v>
      </c>
      <c r="G191">
        <f t="shared" si="110"/>
        <v>2.202688024846353E-2</v>
      </c>
      <c r="H191">
        <f t="shared" si="111"/>
        <v>-3.1195657697515369</v>
      </c>
      <c r="J191">
        <f t="shared" si="112"/>
        <v>15</v>
      </c>
      <c r="M191">
        <f t="shared" si="113"/>
        <v>1.9033171614052082E-2</v>
      </c>
      <c r="N191">
        <f t="shared" si="114"/>
        <v>-1.5707963250000001</v>
      </c>
      <c r="O191">
        <f t="shared" si="115"/>
        <v>20.100339946755483</v>
      </c>
      <c r="P191">
        <f t="shared" si="116"/>
        <v>1.5210253786478876</v>
      </c>
      <c r="Q191">
        <f t="shared" si="117"/>
        <v>17.02068327426451</v>
      </c>
      <c r="R191">
        <f t="shared" si="118"/>
        <v>1.5120104261432259</v>
      </c>
      <c r="S191">
        <f t="shared" si="119"/>
        <v>0.842001460976739</v>
      </c>
      <c r="T191">
        <f t="shared" si="120"/>
        <v>-0.56981376121765603</v>
      </c>
      <c r="U191">
        <f t="shared" si="121"/>
        <v>0.89449740951498435</v>
      </c>
      <c r="V191">
        <f t="shared" si="122"/>
        <v>-0.46349057096624452</v>
      </c>
      <c r="X191">
        <f t="shared" si="139"/>
        <v>-8.7171387856197349</v>
      </c>
      <c r="Y191">
        <f t="shared" si="123"/>
        <v>-121.09508990890397</v>
      </c>
      <c r="Z191">
        <f t="shared" si="140"/>
        <v>58.904910091096028</v>
      </c>
      <c r="AC191">
        <v>1</v>
      </c>
      <c r="AD191">
        <f t="shared" si="124"/>
        <v>20.0754493343271</v>
      </c>
      <c r="AE191">
        <f t="shared" si="125"/>
        <v>-1.1882177759573516E-3</v>
      </c>
      <c r="AF191">
        <f t="shared" si="126"/>
        <v>2.3773688219609996E-3</v>
      </c>
      <c r="AG191">
        <f t="shared" si="141"/>
        <v>6588.3658250745366</v>
      </c>
      <c r="AH191">
        <f t="shared" si="142"/>
        <v>-3713.5228267111161</v>
      </c>
      <c r="AJ191">
        <f t="shared" si="127"/>
        <v>22100</v>
      </c>
      <c r="AK191">
        <f t="shared" si="128"/>
        <v>14159.598838998796</v>
      </c>
      <c r="AL191">
        <v>1</v>
      </c>
      <c r="AM191">
        <f t="shared" si="129"/>
        <v>16.99128185637645</v>
      </c>
      <c r="AN191">
        <f t="shared" si="143"/>
        <v>906.75325138118137</v>
      </c>
      <c r="AO191">
        <f t="shared" si="144"/>
        <v>-1247.3012294046234</v>
      </c>
      <c r="AQ191">
        <f t="shared" si="130"/>
        <v>0.40567951318458417</v>
      </c>
      <c r="AR191">
        <f t="shared" si="131"/>
        <v>-63.691683569979716</v>
      </c>
      <c r="AT191">
        <f t="shared" si="156"/>
        <v>-233847.75576818283</v>
      </c>
      <c r="AU191">
        <f t="shared" si="157"/>
        <v>-421130.61150645575</v>
      </c>
      <c r="AV191">
        <f t="shared" si="145"/>
        <v>-2.0776885052894869</v>
      </c>
      <c r="AW191">
        <f t="shared" si="146"/>
        <v>-71253.319340349524</v>
      </c>
      <c r="AX191">
        <f t="shared" si="147"/>
        <v>-66037.070479964081</v>
      </c>
      <c r="AY191">
        <f t="shared" si="155"/>
        <v>-2.394170498862473</v>
      </c>
      <c r="BA191">
        <f t="shared" si="132"/>
        <v>4.9583717504496887</v>
      </c>
      <c r="BB191">
        <f t="shared" si="148"/>
        <v>13.906781691542564</v>
      </c>
      <c r="BC191">
        <f t="shared" si="149"/>
        <v>0.31648199357298612</v>
      </c>
      <c r="BD191">
        <f t="shared" si="133"/>
        <v>-161.86691745566139</v>
      </c>
      <c r="BF191">
        <f t="shared" si="134"/>
        <v>-8.6220268640387978</v>
      </c>
      <c r="BG191">
        <f t="shared" si="135"/>
        <v>-127.53818103536199</v>
      </c>
      <c r="BH191">
        <f t="shared" si="150"/>
        <v>52.461818964638013</v>
      </c>
      <c r="BI191">
        <f t="shared" si="151"/>
        <v>52.461818964638013</v>
      </c>
      <c r="BJ191">
        <f t="shared" si="136"/>
        <v>0</v>
      </c>
      <c r="BK191">
        <f t="shared" si="152"/>
        <v>0</v>
      </c>
      <c r="BM191">
        <f t="shared" si="153"/>
        <v>-22.52880855558136</v>
      </c>
      <c r="BN191">
        <f t="shared" si="137"/>
        <v>-145.67126357970059</v>
      </c>
      <c r="BQ191" s="56">
        <f t="shared" si="154"/>
        <v>30.808742491827701</v>
      </c>
      <c r="BR191" s="59"/>
      <c r="BS191" s="59"/>
      <c r="BT191" s="59">
        <v>6456.5420000000004</v>
      </c>
      <c r="BU191" s="59">
        <v>0.12767600000000001</v>
      </c>
      <c r="BV191" s="59">
        <v>-230.779</v>
      </c>
      <c r="BW191" s="61"/>
      <c r="BY191" s="59"/>
      <c r="BZ191" s="59"/>
      <c r="CA191" s="59"/>
      <c r="CC191" s="59"/>
    </row>
    <row r="192" spans="1:81" x14ac:dyDescent="0.25">
      <c r="A192">
        <f t="shared" si="158"/>
        <v>79000</v>
      </c>
      <c r="B192">
        <f t="shared" si="138"/>
        <v>79</v>
      </c>
      <c r="C192">
        <f t="shared" si="107"/>
        <v>1.1955337226430931</v>
      </c>
      <c r="D192">
        <f t="shared" si="108"/>
        <v>0.58002946554925949</v>
      </c>
      <c r="F192">
        <f t="shared" si="109"/>
        <v>4.122820943218918E-3</v>
      </c>
      <c r="G192">
        <f t="shared" si="110"/>
        <v>2.1886354391228265E-2</v>
      </c>
      <c r="H192">
        <f t="shared" si="111"/>
        <v>-3.119706295608772</v>
      </c>
      <c r="J192">
        <f t="shared" si="112"/>
        <v>15</v>
      </c>
      <c r="M192">
        <f t="shared" si="113"/>
        <v>1.8912708502570739E-2</v>
      </c>
      <c r="N192">
        <f t="shared" si="114"/>
        <v>-1.5707963250000001</v>
      </c>
      <c r="O192">
        <f t="shared" si="115"/>
        <v>20.228051708508065</v>
      </c>
      <c r="P192">
        <f t="shared" si="116"/>
        <v>1.5213398696118439</v>
      </c>
      <c r="Q192">
        <f t="shared" si="117"/>
        <v>17.128722232944618</v>
      </c>
      <c r="R192">
        <f t="shared" si="118"/>
        <v>1.5123816403123096</v>
      </c>
      <c r="S192">
        <f t="shared" si="119"/>
        <v>0.8404400121139044</v>
      </c>
      <c r="T192">
        <f t="shared" si="120"/>
        <v>-0.57270164154539638</v>
      </c>
      <c r="U192">
        <f t="shared" si="121"/>
        <v>0.89335719525031865</v>
      </c>
      <c r="V192">
        <f t="shared" si="122"/>
        <v>-0.46603449726609875</v>
      </c>
      <c r="X192">
        <f t="shared" si="139"/>
        <v>-8.7837565163181104</v>
      </c>
      <c r="Y192">
        <f t="shared" si="123"/>
        <v>-121.208521770139</v>
      </c>
      <c r="Z192">
        <f t="shared" si="140"/>
        <v>58.791478229860999</v>
      </c>
      <c r="AC192">
        <v>1</v>
      </c>
      <c r="AD192">
        <f t="shared" si="124"/>
        <v>20.2033184383674</v>
      </c>
      <c r="AE192">
        <f t="shared" si="125"/>
        <v>-1.2034025136516422E-3</v>
      </c>
      <c r="AF192">
        <f t="shared" si="126"/>
        <v>2.392511298534E-3</v>
      </c>
      <c r="AG192">
        <f t="shared" si="141"/>
        <v>6571.5801737056108</v>
      </c>
      <c r="AH192">
        <f t="shared" si="142"/>
        <v>-3723.391444445474</v>
      </c>
      <c r="AJ192">
        <f t="shared" si="127"/>
        <v>22100</v>
      </c>
      <c r="AK192">
        <f t="shared" si="128"/>
        <v>14249.787366635732</v>
      </c>
      <c r="AL192">
        <v>1</v>
      </c>
      <c r="AM192">
        <f t="shared" si="129"/>
        <v>17.099506581576303</v>
      </c>
      <c r="AN192">
        <f t="shared" si="143"/>
        <v>905.83013000005633</v>
      </c>
      <c r="AO192">
        <f t="shared" si="144"/>
        <v>-1239.4609030903498</v>
      </c>
      <c r="AQ192">
        <f t="shared" si="130"/>
        <v>0.40056078509913878</v>
      </c>
      <c r="AR192">
        <f t="shared" si="131"/>
        <v>-63.288604045663931</v>
      </c>
      <c r="AT192">
        <f t="shared" si="156"/>
        <v>-233015.92952080083</v>
      </c>
      <c r="AU192">
        <f t="shared" si="157"/>
        <v>-417397.58016820828</v>
      </c>
      <c r="AV192">
        <f t="shared" si="145"/>
        <v>-2.0799582518278461</v>
      </c>
      <c r="AW192">
        <f t="shared" si="146"/>
        <v>-70278.145358089241</v>
      </c>
      <c r="AX192">
        <f t="shared" si="147"/>
        <v>-65589.374109950091</v>
      </c>
      <c r="AY192">
        <f t="shared" si="155"/>
        <v>-2.3906906763316353</v>
      </c>
      <c r="BA192">
        <f t="shared" si="132"/>
        <v>4.9727921799589918</v>
      </c>
      <c r="BB192">
        <f t="shared" si="148"/>
        <v>13.932006196577106</v>
      </c>
      <c r="BC192">
        <f t="shared" si="149"/>
        <v>0.31073242450378924</v>
      </c>
      <c r="BD192">
        <f t="shared" si="133"/>
        <v>-162.19634349772176</v>
      </c>
      <c r="BF192">
        <f t="shared" si="134"/>
        <v>-8.6910425348941338</v>
      </c>
      <c r="BG192">
        <f t="shared" si="135"/>
        <v>-127.709107353568</v>
      </c>
      <c r="BH192">
        <f t="shared" si="150"/>
        <v>52.290892646431999</v>
      </c>
      <c r="BI192">
        <f t="shared" si="151"/>
        <v>52.290892646431999</v>
      </c>
      <c r="BJ192">
        <f t="shared" si="136"/>
        <v>0</v>
      </c>
      <c r="BK192">
        <f t="shared" si="152"/>
        <v>0</v>
      </c>
      <c r="BM192">
        <f t="shared" si="153"/>
        <v>-22.623048731471243</v>
      </c>
      <c r="BN192">
        <f t="shared" si="137"/>
        <v>-145.51276385584626</v>
      </c>
      <c r="BQ192" s="56">
        <f t="shared" si="154"/>
        <v>30.833966996862245</v>
      </c>
      <c r="BR192" s="59"/>
      <c r="BS192" s="59"/>
      <c r="BT192" s="59">
        <v>6606.9340000000002</v>
      </c>
      <c r="BU192" s="59">
        <v>3.6938100000000001E-2</v>
      </c>
      <c r="BV192" s="59">
        <v>-229.60900000000001</v>
      </c>
      <c r="BW192" s="61"/>
      <c r="BY192" s="59"/>
      <c r="BZ192" s="59"/>
      <c r="CA192" s="59"/>
      <c r="CC192" s="59"/>
    </row>
    <row r="193" spans="1:81" x14ac:dyDescent="0.25">
      <c r="A193">
        <f t="shared" si="158"/>
        <v>79500</v>
      </c>
      <c r="B193">
        <f t="shared" si="138"/>
        <v>79.5</v>
      </c>
      <c r="C193">
        <f t="shared" si="107"/>
        <v>1.1978114489163041</v>
      </c>
      <c r="D193">
        <f t="shared" si="108"/>
        <v>0.5829253025954515</v>
      </c>
      <c r="F193">
        <f t="shared" si="109"/>
        <v>4.0709252241925738E-3</v>
      </c>
      <c r="G193">
        <f t="shared" si="110"/>
        <v>2.1747617103927662E-2</v>
      </c>
      <c r="H193">
        <f t="shared" si="111"/>
        <v>-3.1198450328960727</v>
      </c>
      <c r="J193">
        <f t="shared" si="112"/>
        <v>15</v>
      </c>
      <c r="M193">
        <f t="shared" si="113"/>
        <v>1.8793760650353313E-2</v>
      </c>
      <c r="N193">
        <f t="shared" si="114"/>
        <v>-1.5707963250000001</v>
      </c>
      <c r="O193">
        <f t="shared" si="115"/>
        <v>20.355765445803161</v>
      </c>
      <c r="P193">
        <f t="shared" si="116"/>
        <v>1.5216504143221341</v>
      </c>
      <c r="Q193">
        <f t="shared" si="117"/>
        <v>17.236763522372875</v>
      </c>
      <c r="R193">
        <f t="shared" si="118"/>
        <v>1.5127482009364706</v>
      </c>
      <c r="S193">
        <f t="shared" si="119"/>
        <v>0.83887738650788135</v>
      </c>
      <c r="T193">
        <f t="shared" si="120"/>
        <v>-0.57557880695331731</v>
      </c>
      <c r="U193">
        <f t="shared" si="121"/>
        <v>0.89221413218022405</v>
      </c>
      <c r="V193">
        <f t="shared" si="122"/>
        <v>-0.46857192997336999</v>
      </c>
      <c r="X193">
        <f t="shared" si="139"/>
        <v>-8.8500543530582139</v>
      </c>
      <c r="Y193">
        <f t="shared" si="123"/>
        <v>-121.32198993219781</v>
      </c>
      <c r="Z193">
        <f t="shared" si="140"/>
        <v>58.678010067802191</v>
      </c>
      <c r="AC193">
        <v>1</v>
      </c>
      <c r="AD193">
        <f t="shared" si="124"/>
        <v>20.331187542407701</v>
      </c>
      <c r="AE193">
        <f t="shared" si="125"/>
        <v>-1.2186836623789123E-3</v>
      </c>
      <c r="AF193">
        <f t="shared" si="126"/>
        <v>2.4076537751069999E-3</v>
      </c>
      <c r="AG193">
        <f t="shared" si="141"/>
        <v>6554.7740742724427</v>
      </c>
      <c r="AH193">
        <f t="shared" si="142"/>
        <v>-3733.1763261938413</v>
      </c>
      <c r="AJ193">
        <f t="shared" si="127"/>
        <v>22100</v>
      </c>
      <c r="AK193">
        <f t="shared" si="128"/>
        <v>14339.975894272666</v>
      </c>
      <c r="AL193">
        <v>1</v>
      </c>
      <c r="AM193">
        <f t="shared" si="129"/>
        <v>17.20773130677615</v>
      </c>
      <c r="AN193">
        <f t="shared" si="143"/>
        <v>904.92429300768993</v>
      </c>
      <c r="AO193">
        <f t="shared" si="144"/>
        <v>-1231.7181927780337</v>
      </c>
      <c r="AQ193">
        <f t="shared" si="130"/>
        <v>0.39553832766395064</v>
      </c>
      <c r="AR193">
        <f t="shared" si="131"/>
        <v>-62.890594098568151</v>
      </c>
      <c r="AT193">
        <f t="shared" si="156"/>
        <v>-232189.012653488</v>
      </c>
      <c r="AU193">
        <f t="shared" si="157"/>
        <v>-413710.25003382337</v>
      </c>
      <c r="AV193">
        <f t="shared" si="145"/>
        <v>-2.0822249439883214</v>
      </c>
      <c r="AW193">
        <f t="shared" si="146"/>
        <v>-69321.569930634432</v>
      </c>
      <c r="AX193">
        <f t="shared" si="147"/>
        <v>-65148.554112658741</v>
      </c>
      <c r="AY193">
        <f t="shared" si="155"/>
        <v>-2.3872175669891171</v>
      </c>
      <c r="BA193">
        <f t="shared" si="132"/>
        <v>4.9869723139680993</v>
      </c>
      <c r="BB193">
        <f t="shared" si="148"/>
        <v>13.956739143295447</v>
      </c>
      <c r="BC193">
        <f t="shared" si="149"/>
        <v>0.30499262300079577</v>
      </c>
      <c r="BD193">
        <f t="shared" si="133"/>
        <v>-162.52520989946191</v>
      </c>
      <c r="BF193">
        <f t="shared" si="134"/>
        <v>-8.7598039744110565</v>
      </c>
      <c r="BG193">
        <f t="shared" si="135"/>
        <v>-127.88000357524662</v>
      </c>
      <c r="BH193">
        <f t="shared" si="150"/>
        <v>52.119996424753381</v>
      </c>
      <c r="BI193">
        <f t="shared" si="151"/>
        <v>52.119996424753381</v>
      </c>
      <c r="BJ193">
        <f t="shared" si="136"/>
        <v>0</v>
      </c>
      <c r="BK193">
        <f t="shared" si="152"/>
        <v>0</v>
      </c>
      <c r="BM193">
        <f t="shared" si="153"/>
        <v>-22.716543117706504</v>
      </c>
      <c r="BN193">
        <f t="shared" si="137"/>
        <v>-145.35479367578472</v>
      </c>
      <c r="BQ193" s="56">
        <f t="shared" si="154"/>
        <v>30.858699943580582</v>
      </c>
      <c r="BR193" s="59"/>
      <c r="BS193" s="59"/>
      <c r="BT193" s="59">
        <v>6760.83</v>
      </c>
      <c r="BU193" s="59">
        <v>-4.9019100000000003E-2</v>
      </c>
      <c r="BV193" s="59">
        <v>-229.1</v>
      </c>
      <c r="BW193" s="61"/>
      <c r="BY193" s="59"/>
      <c r="BZ193" s="59"/>
      <c r="CA193" s="59"/>
      <c r="CC193" s="59"/>
    </row>
    <row r="194" spans="1:81" x14ac:dyDescent="0.25">
      <c r="A194">
        <f t="shared" si="158"/>
        <v>80000</v>
      </c>
      <c r="B194">
        <f t="shared" si="138"/>
        <v>80</v>
      </c>
      <c r="C194">
        <f t="shared" si="107"/>
        <v>1.2000991817055942</v>
      </c>
      <c r="D194">
        <f t="shared" si="108"/>
        <v>0.58581012316697767</v>
      </c>
      <c r="F194">
        <f t="shared" si="109"/>
        <v>4.0200044468723783E-3</v>
      </c>
      <c r="G194">
        <f t="shared" si="110"/>
        <v>2.1610634328807759E-2</v>
      </c>
      <c r="H194">
        <f t="shared" si="111"/>
        <v>-3.1199820156711926</v>
      </c>
      <c r="J194">
        <f t="shared" si="112"/>
        <v>15</v>
      </c>
      <c r="M194">
        <f t="shared" si="113"/>
        <v>1.8676299646288606E-2</v>
      </c>
      <c r="N194">
        <f t="shared" si="114"/>
        <v>-1.5707963250000001</v>
      </c>
      <c r="O194">
        <f t="shared" si="115"/>
        <v>20.48348112168847</v>
      </c>
      <c r="P194">
        <f t="shared" si="116"/>
        <v>1.5219570865336463</v>
      </c>
      <c r="Q194">
        <f t="shared" si="117"/>
        <v>17.344807098994391</v>
      </c>
      <c r="R194">
        <f t="shared" si="118"/>
        <v>1.5131101948792958</v>
      </c>
      <c r="S194">
        <f t="shared" si="119"/>
        <v>0.83731366810651109</v>
      </c>
      <c r="T194">
        <f t="shared" si="120"/>
        <v>-0.57844526959437326</v>
      </c>
      <c r="U194">
        <f t="shared" si="121"/>
        <v>0.89106827529887045</v>
      </c>
      <c r="V194">
        <f t="shared" si="122"/>
        <v>-0.47110286136985863</v>
      </c>
      <c r="X194">
        <f t="shared" si="139"/>
        <v>-8.9160366426726902</v>
      </c>
      <c r="Y194">
        <f t="shared" si="123"/>
        <v>-121.43548657398048</v>
      </c>
      <c r="Z194">
        <f t="shared" si="140"/>
        <v>58.564513426019516</v>
      </c>
      <c r="AC194">
        <v>1</v>
      </c>
      <c r="AD194">
        <f t="shared" si="124"/>
        <v>20.459056646448001</v>
      </c>
      <c r="AE194">
        <f t="shared" si="125"/>
        <v>-1.2340612221391622E-3</v>
      </c>
      <c r="AF194">
        <f t="shared" si="126"/>
        <v>2.4227962516799998E-3</v>
      </c>
      <c r="AG194">
        <f t="shared" si="141"/>
        <v>6537.9484946623788</v>
      </c>
      <c r="AH194">
        <f t="shared" si="142"/>
        <v>-3742.8771417810799</v>
      </c>
      <c r="AJ194">
        <f t="shared" si="127"/>
        <v>22100</v>
      </c>
      <c r="AK194">
        <f t="shared" si="128"/>
        <v>14430.164421909602</v>
      </c>
      <c r="AL194">
        <v>1</v>
      </c>
      <c r="AM194">
        <f t="shared" si="129"/>
        <v>17.315956031976</v>
      </c>
      <c r="AN194">
        <f t="shared" si="143"/>
        <v>904.03531205018828</v>
      </c>
      <c r="AO194">
        <f t="shared" si="144"/>
        <v>-1224.0712929051624</v>
      </c>
      <c r="AQ194">
        <f t="shared" si="130"/>
        <v>0.39060974180696068</v>
      </c>
      <c r="AR194">
        <f t="shared" si="131"/>
        <v>-62.49755868911371</v>
      </c>
      <c r="AT194">
        <f t="shared" si="156"/>
        <v>-231366.89746115793</v>
      </c>
      <c r="AU194">
        <f t="shared" si="157"/>
        <v>-410067.82402553095</v>
      </c>
      <c r="AV194">
        <f t="shared" si="145"/>
        <v>-2.0844885098043067</v>
      </c>
      <c r="AW194">
        <f t="shared" si="146"/>
        <v>-68383.131979602826</v>
      </c>
      <c r="AX194">
        <f t="shared" si="147"/>
        <v>-64714.449950311922</v>
      </c>
      <c r="AY194">
        <f t="shared" si="155"/>
        <v>-2.3837513645263564</v>
      </c>
      <c r="BA194">
        <f t="shared" si="132"/>
        <v>5.0009130518565801</v>
      </c>
      <c r="BB194">
        <f t="shared" si="148"/>
        <v>13.980986075447806</v>
      </c>
      <c r="BC194">
        <f t="shared" si="149"/>
        <v>0.29926285472204972</v>
      </c>
      <c r="BD194">
        <f t="shared" si="133"/>
        <v>-162.85350143979713</v>
      </c>
      <c r="BF194">
        <f t="shared" si="134"/>
        <v>-8.8283152811244587</v>
      </c>
      <c r="BG194">
        <f t="shared" si="135"/>
        <v>-128.05085560688136</v>
      </c>
      <c r="BH194">
        <f t="shared" si="150"/>
        <v>51.949144393118644</v>
      </c>
      <c r="BI194">
        <f t="shared" si="151"/>
        <v>51.949144393118644</v>
      </c>
      <c r="BJ194">
        <f t="shared" si="136"/>
        <v>0</v>
      </c>
      <c r="BK194">
        <f t="shared" si="152"/>
        <v>0</v>
      </c>
      <c r="BM194">
        <f t="shared" si="153"/>
        <v>-22.809301356572263</v>
      </c>
      <c r="BN194">
        <f t="shared" si="137"/>
        <v>-145.19735416708423</v>
      </c>
      <c r="BQ194" s="56">
        <f t="shared" si="154"/>
        <v>30.882946875732941</v>
      </c>
      <c r="BR194" s="59"/>
      <c r="BS194" s="59"/>
      <c r="BT194" s="59">
        <v>6918.31</v>
      </c>
      <c r="BU194" s="59">
        <v>-0.21798300000000001</v>
      </c>
      <c r="BV194" s="59">
        <v>-228.376</v>
      </c>
      <c r="BW194" s="61"/>
      <c r="BY194" s="59"/>
      <c r="BZ194" s="59"/>
      <c r="CA194" s="59"/>
      <c r="CC194" s="59"/>
    </row>
    <row r="195" spans="1:81" x14ac:dyDescent="0.25">
      <c r="A195">
        <f t="shared" si="158"/>
        <v>80500</v>
      </c>
      <c r="B195">
        <f t="shared" si="138"/>
        <v>80.5</v>
      </c>
      <c r="C195">
        <f t="shared" si="107"/>
        <v>1.2023968638944615</v>
      </c>
      <c r="D195">
        <f t="shared" si="108"/>
        <v>0.58868394226607723</v>
      </c>
      <c r="F195">
        <f t="shared" si="109"/>
        <v>3.9700343122963918E-3</v>
      </c>
      <c r="G195">
        <f t="shared" si="110"/>
        <v>2.147537287045161E-2</v>
      </c>
      <c r="H195">
        <f t="shared" si="111"/>
        <v>-3.1201172771295487</v>
      </c>
      <c r="J195">
        <f t="shared" si="112"/>
        <v>15</v>
      </c>
      <c r="M195">
        <f t="shared" si="113"/>
        <v>1.8560297785131533E-2</v>
      </c>
      <c r="N195">
        <f t="shared" si="114"/>
        <v>-1.5707963250000001</v>
      </c>
      <c r="O195">
        <f t="shared" si="115"/>
        <v>20.61119870012703</v>
      </c>
      <c r="P195">
        <f t="shared" si="116"/>
        <v>1.5222599581761305</v>
      </c>
      <c r="Q195">
        <f t="shared" si="117"/>
        <v>17.452852920331889</v>
      </c>
      <c r="R195">
        <f t="shared" si="118"/>
        <v>1.5134677068582334</v>
      </c>
      <c r="S195">
        <f t="shared" si="119"/>
        <v>0.83574893988427279</v>
      </c>
      <c r="T195">
        <f t="shared" si="120"/>
        <v>-0.58130104223479362</v>
      </c>
      <c r="U195">
        <f t="shared" si="121"/>
        <v>0.8899196793107893</v>
      </c>
      <c r="V195">
        <f t="shared" si="122"/>
        <v>-0.47362728411002003</v>
      </c>
      <c r="X195">
        <f t="shared" si="139"/>
        <v>-8.9817076400500344</v>
      </c>
      <c r="Y195">
        <f t="shared" si="123"/>
        <v>-121.54900407323839</v>
      </c>
      <c r="Z195">
        <f t="shared" si="140"/>
        <v>58.450995926761607</v>
      </c>
      <c r="AC195">
        <v>1</v>
      </c>
      <c r="AD195">
        <f t="shared" si="124"/>
        <v>20.586925750488298</v>
      </c>
      <c r="AE195">
        <f t="shared" si="125"/>
        <v>-1.2495351929323914E-3</v>
      </c>
      <c r="AF195">
        <f t="shared" si="126"/>
        <v>2.4379387282529997E-3</v>
      </c>
      <c r="AG195">
        <f t="shared" si="141"/>
        <v>6521.1043947576691</v>
      </c>
      <c r="AH195">
        <f t="shared" si="142"/>
        <v>-3752.4935848537079</v>
      </c>
      <c r="AJ195">
        <f t="shared" si="127"/>
        <v>22100</v>
      </c>
      <c r="AK195">
        <f t="shared" si="128"/>
        <v>14520.352949546537</v>
      </c>
      <c r="AL195">
        <v>1</v>
      </c>
      <c r="AM195">
        <f t="shared" si="129"/>
        <v>17.424180757175854</v>
      </c>
      <c r="AN195">
        <f t="shared" si="143"/>
        <v>903.16277194710858</v>
      </c>
      <c r="AO195">
        <f t="shared" si="144"/>
        <v>-1216.5184420118767</v>
      </c>
      <c r="AQ195">
        <f t="shared" si="130"/>
        <v>0.38577270272355529</v>
      </c>
      <c r="AR195">
        <f t="shared" si="131"/>
        <v>-62.109405138492399</v>
      </c>
      <c r="AT195">
        <f t="shared" si="156"/>
        <v>-230549.48027416453</v>
      </c>
      <c r="AU195">
        <f t="shared" si="157"/>
        <v>-406469.52439658914</v>
      </c>
      <c r="AV195">
        <f t="shared" si="145"/>
        <v>-2.0867488792708162</v>
      </c>
      <c r="AW195">
        <f t="shared" si="146"/>
        <v>-67462.384571675677</v>
      </c>
      <c r="AX195">
        <f t="shared" si="147"/>
        <v>-64286.905995122477</v>
      </c>
      <c r="AY195">
        <f t="shared" si="155"/>
        <v>-2.3802922585348716</v>
      </c>
      <c r="BA195">
        <f t="shared" si="132"/>
        <v>5.0146153243810447</v>
      </c>
      <c r="BB195">
        <f t="shared" si="148"/>
        <v>14.004752470334211</v>
      </c>
      <c r="BC195">
        <f t="shared" si="149"/>
        <v>0.29354337926405538</v>
      </c>
      <c r="BD195">
        <f t="shared" si="133"/>
        <v>-163.1812032449433</v>
      </c>
      <c r="BF195">
        <f t="shared" si="134"/>
        <v>-8.8965804454072455</v>
      </c>
      <c r="BG195">
        <f t="shared" si="135"/>
        <v>-128.22164961708032</v>
      </c>
      <c r="BH195">
        <f t="shared" si="150"/>
        <v>51.778350382919683</v>
      </c>
      <c r="BI195">
        <f t="shared" si="151"/>
        <v>51.778350382919683</v>
      </c>
      <c r="BJ195">
        <f t="shared" si="136"/>
        <v>0</v>
      </c>
      <c r="BK195">
        <f t="shared" si="152"/>
        <v>0</v>
      </c>
      <c r="BM195">
        <f t="shared" si="153"/>
        <v>-22.901332915741456</v>
      </c>
      <c r="BN195">
        <f t="shared" si="137"/>
        <v>-145.04044637213701</v>
      </c>
      <c r="BQ195" s="56">
        <f t="shared" si="154"/>
        <v>30.906713270619349</v>
      </c>
      <c r="BR195" s="59"/>
      <c r="BS195" s="59"/>
      <c r="BT195" s="59">
        <v>7079.4579999999996</v>
      </c>
      <c r="BU195" s="59">
        <v>-0.38401400000000002</v>
      </c>
      <c r="BV195" s="59">
        <v>-227.04400000000001</v>
      </c>
      <c r="BW195" s="61"/>
      <c r="BY195" s="59"/>
      <c r="BZ195" s="59"/>
      <c r="CA195" s="59"/>
      <c r="CC195" s="59"/>
    </row>
    <row r="196" spans="1:81" x14ac:dyDescent="0.25">
      <c r="A196">
        <f t="shared" si="158"/>
        <v>81000</v>
      </c>
      <c r="B196">
        <f t="shared" si="138"/>
        <v>81</v>
      </c>
      <c r="C196">
        <f t="shared" si="107"/>
        <v>1.2047044385546914</v>
      </c>
      <c r="D196">
        <f t="shared" si="108"/>
        <v>0.59154677550765722</v>
      </c>
      <c r="F196">
        <f t="shared" si="109"/>
        <v>3.9209912747432485E-3</v>
      </c>
      <c r="G196">
        <f t="shared" si="110"/>
        <v>2.1341800368565051E-2</v>
      </c>
      <c r="H196">
        <f t="shared" si="111"/>
        <v>-3.120250849631435</v>
      </c>
      <c r="J196">
        <f t="shared" si="112"/>
        <v>15</v>
      </c>
      <c r="M196">
        <f t="shared" si="113"/>
        <v>1.844572804571714E-2</v>
      </c>
      <c r="N196">
        <f t="shared" si="114"/>
        <v>-1.5707963250000001</v>
      </c>
      <c r="O196">
        <f t="shared" si="115"/>
        <v>20.738918145969052</v>
      </c>
      <c r="P196">
        <f t="shared" si="116"/>
        <v>1.5225590994102649</v>
      </c>
      <c r="Q196">
        <f t="shared" si="117"/>
        <v>17.560900944952614</v>
      </c>
      <c r="R196">
        <f t="shared" si="118"/>
        <v>1.513820819510395</v>
      </c>
      <c r="S196">
        <f t="shared" si="119"/>
        <v>0.83418328384309082</v>
      </c>
      <c r="T196">
        <f t="shared" si="120"/>
        <v>-0.58414613824321782</v>
      </c>
      <c r="U196">
        <f t="shared" si="121"/>
        <v>0.88876839862719315</v>
      </c>
      <c r="V196">
        <f t="shared" si="122"/>
        <v>-0.47614519121786031</v>
      </c>
      <c r="X196">
        <f t="shared" si="139"/>
        <v>-9.0470715105914614</v>
      </c>
      <c r="Y196">
        <f t="shared" si="123"/>
        <v>-121.66253500101459</v>
      </c>
      <c r="Z196">
        <f t="shared" si="140"/>
        <v>58.337464998985411</v>
      </c>
      <c r="AC196">
        <v>1</v>
      </c>
      <c r="AD196">
        <f t="shared" si="124"/>
        <v>20.714794854528602</v>
      </c>
      <c r="AE196">
        <f t="shared" si="125"/>
        <v>-1.2651055747586004E-3</v>
      </c>
      <c r="AF196">
        <f t="shared" si="126"/>
        <v>2.4530812048259997E-3</v>
      </c>
      <c r="AG196">
        <f t="shared" si="141"/>
        <v>6504.2427263839991</v>
      </c>
      <c r="AH196">
        <f t="shared" si="142"/>
        <v>-3762.0253722444827</v>
      </c>
      <c r="AJ196">
        <f t="shared" si="127"/>
        <v>22100</v>
      </c>
      <c r="AK196">
        <f t="shared" si="128"/>
        <v>14610.541477183471</v>
      </c>
      <c r="AL196">
        <v>1</v>
      </c>
      <c r="AM196">
        <f t="shared" si="129"/>
        <v>17.532405482375701</v>
      </c>
      <c r="AN196">
        <f t="shared" si="143"/>
        <v>902.30627020880218</v>
      </c>
      <c r="AO196">
        <f t="shared" si="144"/>
        <v>-1209.0579214073048</v>
      </c>
      <c r="AQ196">
        <f t="shared" si="130"/>
        <v>0.38102495713469231</v>
      </c>
      <c r="AR196">
        <f t="shared" si="131"/>
        <v>-61.726043055820156</v>
      </c>
      <c r="AT196">
        <f t="shared" si="156"/>
        <v>-229736.66129823669</v>
      </c>
      <c r="AU196">
        <f t="shared" si="157"/>
        <v>-402914.5921304829</v>
      </c>
      <c r="AV196">
        <f t="shared" si="145"/>
        <v>-2.0890059842926076</v>
      </c>
      <c r="AW196">
        <f t="shared" si="146"/>
        <v>-66558.894401217171</v>
      </c>
      <c r="AX196">
        <f t="shared" si="147"/>
        <v>-63865.771344900524</v>
      </c>
      <c r="AY196">
        <f t="shared" si="155"/>
        <v>-2.3768404345590159</v>
      </c>
      <c r="BA196">
        <f t="shared" si="132"/>
        <v>5.028080093073835</v>
      </c>
      <c r="BB196">
        <f t="shared" si="148"/>
        <v>14.028043740274281</v>
      </c>
      <c r="BC196">
        <f t="shared" si="149"/>
        <v>0.2878344502664083</v>
      </c>
      <c r="BD196">
        <f t="shared" si="133"/>
        <v>-163.50830078242211</v>
      </c>
      <c r="BF196">
        <f t="shared" si="134"/>
        <v>-8.964603352253036</v>
      </c>
      <c r="BG196">
        <f t="shared" si="135"/>
        <v>-128.39237203280521</v>
      </c>
      <c r="BH196">
        <f t="shared" si="150"/>
        <v>51.607627967194787</v>
      </c>
      <c r="BI196">
        <f t="shared" si="151"/>
        <v>51.607627967194787</v>
      </c>
      <c r="BJ196">
        <f t="shared" si="136"/>
        <v>0</v>
      </c>
      <c r="BK196">
        <f t="shared" si="152"/>
        <v>0</v>
      </c>
      <c r="BM196">
        <f t="shared" si="153"/>
        <v>-22.992647092527317</v>
      </c>
      <c r="BN196">
        <f t="shared" si="137"/>
        <v>-144.88407125038313</v>
      </c>
      <c r="BQ196" s="56">
        <f t="shared" si="154"/>
        <v>30.930004540559416</v>
      </c>
      <c r="BR196" s="59"/>
      <c r="BS196" s="59"/>
      <c r="BT196" s="59">
        <v>7244.36</v>
      </c>
      <c r="BU196" s="59">
        <v>-0.57486000000000004</v>
      </c>
      <c r="BV196" s="59">
        <v>-226.239</v>
      </c>
      <c r="BW196" s="61"/>
      <c r="BY196" s="59"/>
      <c r="BZ196" s="59"/>
      <c r="CA196" s="59"/>
      <c r="CC196" s="59"/>
    </row>
    <row r="197" spans="1:81" x14ac:dyDescent="0.25">
      <c r="A197">
        <f t="shared" si="158"/>
        <v>81500</v>
      </c>
      <c r="B197">
        <f t="shared" si="138"/>
        <v>81.5</v>
      </c>
      <c r="C197">
        <f t="shared" si="107"/>
        <v>1.2070218489492435</v>
      </c>
      <c r="D197">
        <f t="shared" si="108"/>
        <v>0.59439863910777402</v>
      </c>
      <c r="F197">
        <f t="shared" si="109"/>
        <v>3.8728525138522762E-3</v>
      </c>
      <c r="G197">
        <f t="shared" si="110"/>
        <v>2.1209885271789988E-2</v>
      </c>
      <c r="H197">
        <f t="shared" si="111"/>
        <v>-3.1203827647282103</v>
      </c>
      <c r="J197">
        <f t="shared" si="112"/>
        <v>15</v>
      </c>
      <c r="M197">
        <f t="shared" si="113"/>
        <v>1.8332564069976545E-2</v>
      </c>
      <c r="N197">
        <f t="shared" si="114"/>
        <v>-1.5707963250000001</v>
      </c>
      <c r="O197">
        <f t="shared" si="115"/>
        <v>20.866639424924823</v>
      </c>
      <c r="P197">
        <f t="shared" si="116"/>
        <v>1.5228545786816681</v>
      </c>
      <c r="Q197">
        <f t="shared" si="117"/>
        <v>17.668951132436447</v>
      </c>
      <c r="R197">
        <f t="shared" si="118"/>
        <v>1.5141696134559541</v>
      </c>
      <c r="S197">
        <f t="shared" si="119"/>
        <v>0.83261678101340875</v>
      </c>
      <c r="T197">
        <f t="shared" si="120"/>
        <v>-0.58698057157989281</v>
      </c>
      <c r="U197">
        <f t="shared" si="121"/>
        <v>0.88761448736240434</v>
      </c>
      <c r="V197">
        <f t="shared" si="122"/>
        <v>-0.47865657608381151</v>
      </c>
      <c r="X197">
        <f t="shared" si="139"/>
        <v>-9.1121323325877199</v>
      </c>
      <c r="Y197">
        <f t="shared" si="123"/>
        <v>-121.77607211627937</v>
      </c>
      <c r="Z197">
        <f t="shared" si="140"/>
        <v>58.223927883720634</v>
      </c>
      <c r="AC197">
        <v>1</v>
      </c>
      <c r="AD197">
        <f t="shared" si="124"/>
        <v>20.842663958568899</v>
      </c>
      <c r="AE197">
        <f t="shared" si="125"/>
        <v>-1.280772367617789E-3</v>
      </c>
      <c r="AF197">
        <f t="shared" si="126"/>
        <v>2.4682236813989996E-3</v>
      </c>
      <c r="AG197">
        <f t="shared" si="141"/>
        <v>6487.364433261735</v>
      </c>
      <c r="AH197">
        <f t="shared" si="142"/>
        <v>-3771.4722433550996</v>
      </c>
      <c r="AJ197">
        <f t="shared" si="127"/>
        <v>22100</v>
      </c>
      <c r="AK197">
        <f t="shared" si="128"/>
        <v>14700.730004820407</v>
      </c>
      <c r="AL197">
        <v>1</v>
      </c>
      <c r="AM197">
        <f t="shared" si="129"/>
        <v>17.640630207575555</v>
      </c>
      <c r="AN197">
        <f t="shared" si="143"/>
        <v>901.46541657424075</v>
      </c>
      <c r="AO197">
        <f t="shared" si="144"/>
        <v>-1201.6880538838291</v>
      </c>
      <c r="AQ197">
        <f t="shared" si="130"/>
        <v>0.37636432066240122</v>
      </c>
      <c r="AR197">
        <f t="shared" si="131"/>
        <v>-61.3473842679714</v>
      </c>
      <c r="AT197">
        <f t="shared" si="156"/>
        <v>-228928.34446127946</v>
      </c>
      <c r="AU197">
        <f t="shared" si="157"/>
        <v>-399402.28636244562</v>
      </c>
      <c r="AV197">
        <f t="shared" si="145"/>
        <v>-2.0912597586340604</v>
      </c>
      <c r="AW197">
        <f t="shared" si="146"/>
        <v>-65672.241294825624</v>
      </c>
      <c r="AX197">
        <f t="shared" si="147"/>
        <v>-63450.899646831604</v>
      </c>
      <c r="AY197">
        <f t="shared" si="155"/>
        <v>-2.3733960741471822</v>
      </c>
      <c r="BA197">
        <f t="shared" si="132"/>
        <v>5.0413083496343312</v>
      </c>
      <c r="BB197">
        <f t="shared" si="148"/>
        <v>14.050865234020653</v>
      </c>
      <c r="BC197">
        <f t="shared" si="149"/>
        <v>0.28213631551312179</v>
      </c>
      <c r="BD197">
        <f t="shared" si="133"/>
        <v>-163.83477985525531</v>
      </c>
      <c r="BF197">
        <f t="shared" si="134"/>
        <v>-9.032387783982454</v>
      </c>
      <c r="BG197">
        <f t="shared" si="135"/>
        <v>-128.56300953572594</v>
      </c>
      <c r="BH197">
        <f t="shared" si="150"/>
        <v>51.436990464274061</v>
      </c>
      <c r="BI197">
        <f t="shared" si="151"/>
        <v>51.436990464274061</v>
      </c>
      <c r="BJ197">
        <f t="shared" si="136"/>
        <v>0</v>
      </c>
      <c r="BK197">
        <f t="shared" si="152"/>
        <v>0</v>
      </c>
      <c r="BM197">
        <f t="shared" si="153"/>
        <v>-23.083253018003106</v>
      </c>
      <c r="BN197">
        <f t="shared" si="137"/>
        <v>-144.72822968047066</v>
      </c>
      <c r="BQ197" s="56">
        <f t="shared" si="154"/>
        <v>30.95282603430579</v>
      </c>
      <c r="BR197" s="59"/>
      <c r="BS197" s="59"/>
      <c r="BT197" s="59">
        <v>7413.1019999999999</v>
      </c>
      <c r="BU197" s="59">
        <v>-0.73329999999999995</v>
      </c>
      <c r="BV197" s="59">
        <v>-225.834</v>
      </c>
      <c r="BW197" s="61"/>
      <c r="BY197" s="59"/>
      <c r="BZ197" s="59"/>
      <c r="CA197" s="59"/>
      <c r="CC197" s="59"/>
    </row>
    <row r="198" spans="1:81" x14ac:dyDescent="0.25">
      <c r="A198">
        <f t="shared" si="158"/>
        <v>82000</v>
      </c>
      <c r="B198">
        <f t="shared" si="138"/>
        <v>82</v>
      </c>
      <c r="C198">
        <f t="shared" si="107"/>
        <v>1.2093490385350563</v>
      </c>
      <c r="D198">
        <f t="shared" si="108"/>
        <v>0.59723954987218941</v>
      </c>
      <c r="F198">
        <f t="shared" si="109"/>
        <v>3.8255959079415403E-3</v>
      </c>
      <c r="G198">
        <f t="shared" si="110"/>
        <v>2.1079596812500035E-2</v>
      </c>
      <c r="H198">
        <f t="shared" si="111"/>
        <v>-3.1205130531875001</v>
      </c>
      <c r="J198">
        <f t="shared" si="112"/>
        <v>15</v>
      </c>
      <c r="M198">
        <f t="shared" si="113"/>
        <v>1.8220780142720591E-2</v>
      </c>
      <c r="N198">
        <f t="shared" si="114"/>
        <v>-1.5707963250000001</v>
      </c>
      <c r="O198">
        <f t="shared" si="115"/>
        <v>20.994362503538554</v>
      </c>
      <c r="P198">
        <f t="shared" si="116"/>
        <v>1.5231464627729459</v>
      </c>
      <c r="Q198">
        <f t="shared" si="117"/>
        <v>17.777003443345162</v>
      </c>
      <c r="R198">
        <f t="shared" si="118"/>
        <v>1.5145141673592417</v>
      </c>
      <c r="S198">
        <f t="shared" si="119"/>
        <v>0.83104951145551886</v>
      </c>
      <c r="T198">
        <f t="shared" si="120"/>
        <v>-0.58980435678593468</v>
      </c>
      <c r="U198">
        <f t="shared" si="121"/>
        <v>0.88645799933039471</v>
      </c>
      <c r="V198">
        <f t="shared" si="122"/>
        <v>-0.48116143246158943</v>
      </c>
      <c r="X198">
        <f t="shared" si="139"/>
        <v>-9.1768940995190498</v>
      </c>
      <c r="Y198">
        <f t="shared" si="123"/>
        <v>-121.88960836075181</v>
      </c>
      <c r="Z198">
        <f t="shared" si="140"/>
        <v>58.110391639248192</v>
      </c>
      <c r="AC198">
        <v>1</v>
      </c>
      <c r="AD198">
        <f t="shared" si="124"/>
        <v>20.970533062609203</v>
      </c>
      <c r="AE198">
        <f t="shared" si="125"/>
        <v>-1.2965355715099573E-3</v>
      </c>
      <c r="AF198">
        <f t="shared" si="126"/>
        <v>2.4833661579719999E-3</v>
      </c>
      <c r="AG198">
        <f t="shared" si="141"/>
        <v>6470.4704509598623</v>
      </c>
      <c r="AH198">
        <f t="shared" si="142"/>
        <v>-3780.833959556358</v>
      </c>
      <c r="AJ198">
        <f t="shared" si="127"/>
        <v>22100</v>
      </c>
      <c r="AK198">
        <f t="shared" si="128"/>
        <v>14790.918532457343</v>
      </c>
      <c r="AL198">
        <v>1</v>
      </c>
      <c r="AM198">
        <f t="shared" si="129"/>
        <v>17.748854932775401</v>
      </c>
      <c r="AN198">
        <f t="shared" si="143"/>
        <v>900.63983256834285</v>
      </c>
      <c r="AO198">
        <f t="shared" si="144"/>
        <v>-1194.4072024772981</v>
      </c>
      <c r="AQ198">
        <f t="shared" si="130"/>
        <v>0.37178867531694987</v>
      </c>
      <c r="AR198">
        <f t="shared" si="131"/>
        <v>-60.973342751979771</v>
      </c>
      <c r="AT198">
        <f t="shared" si="156"/>
        <v>-228124.43726671481</v>
      </c>
      <c r="AU198">
        <f t="shared" si="157"/>
        <v>-395931.8838223496</v>
      </c>
      <c r="AV198">
        <f t="shared" si="145"/>
        <v>-2.093510137870755</v>
      </c>
      <c r="AW198">
        <f t="shared" si="146"/>
        <v>-64802.017736761642</v>
      </c>
      <c r="AX198">
        <f t="shared" si="147"/>
        <v>-63042.148929011601</v>
      </c>
      <c r="AY198">
        <f t="shared" si="155"/>
        <v>-2.3699593549015714</v>
      </c>
      <c r="BA198">
        <f t="shared" si="132"/>
        <v>5.0543011153134101</v>
      </c>
      <c r="BB198">
        <f t="shared" si="148"/>
        <v>14.07322223811833</v>
      </c>
      <c r="BC198">
        <f t="shared" si="149"/>
        <v>0.27644921703081637</v>
      </c>
      <c r="BD198">
        <f t="shared" si="133"/>
        <v>-164.16062659633897</v>
      </c>
      <c r="BF198">
        <f t="shared" si="134"/>
        <v>-9.0999374228757564</v>
      </c>
      <c r="BG198">
        <f t="shared" si="135"/>
        <v>-128.73354905869448</v>
      </c>
      <c r="BH198">
        <f t="shared" si="150"/>
        <v>51.266450941305521</v>
      </c>
      <c r="BI198">
        <f t="shared" si="151"/>
        <v>51.266450941305521</v>
      </c>
      <c r="BJ198">
        <f t="shared" si="136"/>
        <v>0</v>
      </c>
      <c r="BK198">
        <f t="shared" si="152"/>
        <v>0</v>
      </c>
      <c r="BM198">
        <f t="shared" si="153"/>
        <v>-23.173159660994088</v>
      </c>
      <c r="BN198">
        <f t="shared" si="137"/>
        <v>-144.57292246235551</v>
      </c>
      <c r="BQ198" s="56">
        <f t="shared" si="154"/>
        <v>30.975183038403465</v>
      </c>
      <c r="BR198" s="59"/>
      <c r="BS198" s="59"/>
      <c r="BT198" s="59">
        <v>7585.7759999999998</v>
      </c>
      <c r="BU198" s="59">
        <v>-0.87090199999999995</v>
      </c>
      <c r="BV198" s="59">
        <v>-224.429</v>
      </c>
      <c r="BW198" s="61"/>
      <c r="BY198" s="59"/>
      <c r="BZ198" s="59"/>
      <c r="CA198" s="59"/>
      <c r="CC198" s="59"/>
    </row>
    <row r="199" spans="1:81" x14ac:dyDescent="0.25">
      <c r="A199">
        <f t="shared" si="158"/>
        <v>82500</v>
      </c>
      <c r="B199">
        <f t="shared" si="138"/>
        <v>82.5</v>
      </c>
      <c r="C199">
        <f t="shared" si="107"/>
        <v>1.2116859509657683</v>
      </c>
      <c r="D199">
        <f t="shared" si="108"/>
        <v>0.60006952518500889</v>
      </c>
      <c r="F199">
        <f t="shared" si="109"/>
        <v>3.7792000084652714E-3</v>
      </c>
      <c r="G199">
        <f t="shared" si="110"/>
        <v>2.0950904982535674E-2</v>
      </c>
      <c r="H199">
        <f t="shared" si="111"/>
        <v>-3.1206417450174646</v>
      </c>
      <c r="J199">
        <f t="shared" si="112"/>
        <v>15</v>
      </c>
      <c r="M199">
        <f t="shared" si="113"/>
        <v>1.8110351172158649E-2</v>
      </c>
      <c r="N199">
        <f t="shared" si="114"/>
        <v>-1.5707963250000001</v>
      </c>
      <c r="O199">
        <f t="shared" si="115"/>
        <v>21.122087349163206</v>
      </c>
      <c r="P199">
        <f t="shared" si="116"/>
        <v>1.5234348168538567</v>
      </c>
      <c r="Q199">
        <f t="shared" si="117"/>
        <v>17.88505783919285</v>
      </c>
      <c r="R199">
        <f t="shared" si="118"/>
        <v>1.514854557987638</v>
      </c>
      <c r="S199">
        <f t="shared" si="119"/>
        <v>0.82948155426114301</v>
      </c>
      <c r="T199">
        <f t="shared" si="120"/>
        <v>-0.59261750897265608</v>
      </c>
      <c r="U199">
        <f t="shared" si="121"/>
        <v>0.88529898804143303</v>
      </c>
      <c r="V199">
        <f t="shared" si="122"/>
        <v>-0.48365975446503329</v>
      </c>
      <c r="X199">
        <f t="shared" si="139"/>
        <v>-9.2413607222811311</v>
      </c>
      <c r="Y199">
        <f t="shared" si="123"/>
        <v>-122.00313685390023</v>
      </c>
      <c r="Z199">
        <f t="shared" si="140"/>
        <v>57.99686314609977</v>
      </c>
      <c r="AC199">
        <v>1</v>
      </c>
      <c r="AD199">
        <f t="shared" si="124"/>
        <v>21.0984021666495</v>
      </c>
      <c r="AE199">
        <f t="shared" si="125"/>
        <v>-1.312395186435105E-3</v>
      </c>
      <c r="AF199">
        <f t="shared" si="126"/>
        <v>2.4985086345449999E-3</v>
      </c>
      <c r="AG199">
        <f t="shared" si="141"/>
        <v>6453.5617068525717</v>
      </c>
      <c r="AH199">
        <f t="shared" si="142"/>
        <v>-3790.110303605069</v>
      </c>
      <c r="AJ199">
        <f t="shared" si="127"/>
        <v>22100</v>
      </c>
      <c r="AK199">
        <f t="shared" si="128"/>
        <v>14881.107060094277</v>
      </c>
      <c r="AL199">
        <v>1</v>
      </c>
      <c r="AM199">
        <f t="shared" si="129"/>
        <v>17.857079657975252</v>
      </c>
      <c r="AN199">
        <f t="shared" si="143"/>
        <v>899.82915107785743</v>
      </c>
      <c r="AO199">
        <f t="shared" si="144"/>
        <v>-1187.2137692712713</v>
      </c>
      <c r="AQ199">
        <f t="shared" si="130"/>
        <v>0.36729596709028134</v>
      </c>
      <c r="AR199">
        <f t="shared" si="131"/>
        <v>-60.603834569896421</v>
      </c>
      <c r="AT199">
        <f t="shared" si="156"/>
        <v>-227324.85065304628</v>
      </c>
      <c r="AU199">
        <f t="shared" si="157"/>
        <v>-392502.6782980531</v>
      </c>
      <c r="AV199">
        <f t="shared" si="145"/>
        <v>-2.0957570593426595</v>
      </c>
      <c r="AW199">
        <f t="shared" si="146"/>
        <v>-63947.828414254291</v>
      </c>
      <c r="AX199">
        <f t="shared" si="147"/>
        <v>-62639.381439346464</v>
      </c>
      <c r="AY199">
        <f t="shared" si="155"/>
        <v>-2.3665304505266227</v>
      </c>
      <c r="BA199">
        <f t="shared" si="132"/>
        <v>5.0670594402915494</v>
      </c>
      <c r="BB199">
        <f t="shared" si="148"/>
        <v>14.095119978212121</v>
      </c>
      <c r="BC199">
        <f t="shared" si="149"/>
        <v>0.27077339118396315</v>
      </c>
      <c r="BD199">
        <f t="shared" si="133"/>
        <v>-164.48582746298652</v>
      </c>
      <c r="BF199">
        <f t="shared" si="134"/>
        <v>-9.1672558537344564</v>
      </c>
      <c r="BG199">
        <f t="shared" si="135"/>
        <v>-128.90397778232918</v>
      </c>
      <c r="BH199">
        <f t="shared" si="150"/>
        <v>51.096022217670821</v>
      </c>
      <c r="BI199">
        <f t="shared" si="151"/>
        <v>51.096022217670821</v>
      </c>
      <c r="BJ199">
        <f t="shared" si="136"/>
        <v>0</v>
      </c>
      <c r="BK199">
        <f t="shared" si="152"/>
        <v>0</v>
      </c>
      <c r="BM199">
        <f t="shared" si="153"/>
        <v>-23.262375831946578</v>
      </c>
      <c r="BN199">
        <f t="shared" si="137"/>
        <v>-144.41815031934266</v>
      </c>
      <c r="BQ199" s="56">
        <f t="shared" si="154"/>
        <v>30.997080778497256</v>
      </c>
      <c r="BR199" s="59"/>
      <c r="BS199" s="59"/>
      <c r="BT199" s="59">
        <v>7762.4709999999995</v>
      </c>
      <c r="BU199" s="59">
        <v>-1.0348599999999999</v>
      </c>
      <c r="BV199" s="59">
        <v>-223.255</v>
      </c>
      <c r="BW199" s="61"/>
      <c r="BY199" s="59"/>
      <c r="BZ199" s="59"/>
      <c r="CA199" s="59"/>
      <c r="CC199" s="59"/>
    </row>
    <row r="200" spans="1:81" x14ac:dyDescent="0.25">
      <c r="A200">
        <f t="shared" si="158"/>
        <v>83000</v>
      </c>
      <c r="B200">
        <f t="shared" si="138"/>
        <v>83</v>
      </c>
      <c r="C200">
        <f t="shared" si="107"/>
        <v>1.2140325300943584</v>
      </c>
      <c r="D200">
        <f t="shared" si="108"/>
        <v>0.60288858299739834</v>
      </c>
      <c r="F200">
        <f t="shared" si="109"/>
        <v>3.7336440155553508E-3</v>
      </c>
      <c r="G200">
        <f t="shared" si="110"/>
        <v>2.0823780509838196E-2</v>
      </c>
      <c r="H200">
        <f t="shared" si="111"/>
        <v>-3.1207688694901621</v>
      </c>
      <c r="J200">
        <f t="shared" si="112"/>
        <v>15</v>
      </c>
      <c r="M200">
        <f t="shared" si="113"/>
        <v>1.8001252671121546E-2</v>
      </c>
      <c r="N200">
        <f t="shared" si="114"/>
        <v>-1.5707963250000001</v>
      </c>
      <c r="O200">
        <f t="shared" si="115"/>
        <v>21.249813929936209</v>
      </c>
      <c r="P200">
        <f t="shared" si="116"/>
        <v>1.5237197045296724</v>
      </c>
      <c r="Q200">
        <f t="shared" si="117"/>
        <v>17.993114282417331</v>
      </c>
      <c r="R200">
        <f t="shared" si="118"/>
        <v>1.5151908602683501</v>
      </c>
      <c r="S200">
        <f t="shared" si="119"/>
        <v>0.8279129875552601</v>
      </c>
      <c r="T200">
        <f t="shared" si="120"/>
        <v>-0.59542004381096258</v>
      </c>
      <c r="U200">
        <f t="shared" si="121"/>
        <v>0.88413750669884139</v>
      </c>
      <c r="V200">
        <f t="shared" si="122"/>
        <v>-0.48615153656492965</v>
      </c>
      <c r="X200">
        <f t="shared" si="139"/>
        <v>-9.3055360313400257</v>
      </c>
      <c r="Y200">
        <f t="shared" si="123"/>
        <v>-122.11665088811368</v>
      </c>
      <c r="Z200">
        <f t="shared" si="140"/>
        <v>57.883349111886318</v>
      </c>
      <c r="AC200">
        <v>1</v>
      </c>
      <c r="AD200">
        <f t="shared" si="124"/>
        <v>21.2262712706898</v>
      </c>
      <c r="AE200">
        <f t="shared" si="125"/>
        <v>-1.3283512123932325E-3</v>
      </c>
      <c r="AF200">
        <f t="shared" si="126"/>
        <v>2.5136511111179998E-3</v>
      </c>
      <c r="AG200">
        <f t="shared" si="141"/>
        <v>6436.6391200784701</v>
      </c>
      <c r="AH200">
        <f t="shared" si="142"/>
        <v>-3799.3010790770909</v>
      </c>
      <c r="AJ200">
        <f t="shared" si="127"/>
        <v>22100</v>
      </c>
      <c r="AK200">
        <f t="shared" si="128"/>
        <v>14971.295587731212</v>
      </c>
      <c r="AL200">
        <v>1</v>
      </c>
      <c r="AM200">
        <f t="shared" si="129"/>
        <v>17.965304383175102</v>
      </c>
      <c r="AN200">
        <f t="shared" si="143"/>
        <v>899.03301594493803</v>
      </c>
      <c r="AO200">
        <f t="shared" si="144"/>
        <v>-1180.1061942435124</v>
      </c>
      <c r="AQ200">
        <f t="shared" si="130"/>
        <v>0.36288420365061508</v>
      </c>
      <c r="AR200">
        <f t="shared" si="131"/>
        <v>-60.238777806002105</v>
      </c>
      <c r="AT200">
        <f t="shared" si="156"/>
        <v>-226529.49885935284</v>
      </c>
      <c r="AU200">
        <f t="shared" si="157"/>
        <v>-389113.98011833767</v>
      </c>
      <c r="AV200">
        <f t="shared" si="145"/>
        <v>-2.0980004621088799</v>
      </c>
      <c r="AW200">
        <f t="shared" si="146"/>
        <v>-63109.289781741601</v>
      </c>
      <c r="AX200">
        <f t="shared" si="147"/>
        <v>-62242.463491448085</v>
      </c>
      <c r="AY200">
        <f t="shared" si="155"/>
        <v>-2.3631095308762076</v>
      </c>
      <c r="BA200">
        <f t="shared" si="132"/>
        <v>5.0795844030510233</v>
      </c>
      <c r="BB200">
        <f t="shared" si="148"/>
        <v>14.116563620304053</v>
      </c>
      <c r="BC200">
        <f t="shared" si="149"/>
        <v>0.26510906876732765</v>
      </c>
      <c r="BD200">
        <f t="shared" si="133"/>
        <v>-164.81036923163194</v>
      </c>
      <c r="BF200">
        <f t="shared" si="134"/>
        <v>-9.2343465663746098</v>
      </c>
      <c r="BG200">
        <f t="shared" si="135"/>
        <v>-129.07428313170342</v>
      </c>
      <c r="BH200">
        <f t="shared" si="150"/>
        <v>50.925716868296576</v>
      </c>
      <c r="BI200">
        <f t="shared" si="151"/>
        <v>50.925716868296576</v>
      </c>
      <c r="BJ200">
        <f t="shared" si="136"/>
        <v>0</v>
      </c>
      <c r="BK200">
        <f t="shared" si="152"/>
        <v>0</v>
      </c>
      <c r="BM200">
        <f t="shared" si="153"/>
        <v>-23.350910186678661</v>
      </c>
      <c r="BN200">
        <f t="shared" si="137"/>
        <v>-144.26391390007149</v>
      </c>
      <c r="BQ200" s="56">
        <f t="shared" si="154"/>
        <v>31.018524420589188</v>
      </c>
      <c r="BR200" s="59"/>
      <c r="BS200" s="59"/>
      <c r="BT200" s="59">
        <v>7943.2820000000002</v>
      </c>
      <c r="BU200" s="59">
        <v>-1.2307999999999999</v>
      </c>
      <c r="BV200" s="59">
        <v>-223.13499999999999</v>
      </c>
      <c r="BW200" s="61"/>
      <c r="BY200" s="59"/>
      <c r="BZ200" s="59"/>
      <c r="CA200" s="59"/>
      <c r="CC200" s="59"/>
    </row>
    <row r="201" spans="1:81" x14ac:dyDescent="0.25">
      <c r="A201">
        <f>A200+500</f>
        <v>83500</v>
      </c>
      <c r="B201">
        <f t="shared" si="138"/>
        <v>83.5</v>
      </c>
      <c r="C201">
        <f t="shared" ref="C201:C264" si="159">SQRT((A201/Fesr)^2+1)</f>
        <v>1.2163887199757069</v>
      </c>
      <c r="D201">
        <f t="shared" ref="D201:D264" si="160">ATAN(A201/Fesr)</f>
        <v>0.60569674181638578</v>
      </c>
      <c r="F201">
        <f t="shared" ref="F201:F264" si="161">(Ro/(Ro+Rdcr))/SQRT((A201/(Q*Fo))^2+(1-(A201^2/Fo^2))^2)</f>
        <v>3.6889077545945261E-3</v>
      </c>
      <c r="G201">
        <f t="shared" ref="G201:G264" si="162">-ATAN(A201*Fo/(Q*(Fo^2-A201^2)))</f>
        <v>2.0698194835943682E-2</v>
      </c>
      <c r="H201">
        <f t="shared" ref="H201:H264" si="163">IF(G201&gt;0,G201-Pi,G201)</f>
        <v>-3.1208944551640565</v>
      </c>
      <c r="J201">
        <f t="shared" ref="J201:J264" si="164">Vin/Vramp</f>
        <v>15</v>
      </c>
      <c r="M201">
        <f t="shared" ref="M201:M264" si="165">1/(2*Pi*_Rfb1*(Cc1ea_u+Cc2ea_u)*A201)</f>
        <v>1.7893460738959144E-2</v>
      </c>
      <c r="N201">
        <f t="shared" ref="N201:N264" si="166">-Pi/2</f>
        <v>-1.5707963250000001</v>
      </c>
      <c r="O201">
        <f t="shared" ref="O201:O264" si="167">SQRT(1+(A201/Fz1_u)^2)</f>
        <v>21.377542214756073</v>
      </c>
      <c r="P201">
        <f t="shared" ref="P201:P264" si="168">ATAN2(Fz1_u,A201)</f>
        <v>1.5240011878878101</v>
      </c>
      <c r="Q201">
        <f t="shared" ref="Q201:Q264" si="169">SQRT(1+(A201/Fz2_u)^2)</f>
        <v>18.101172736352655</v>
      </c>
      <c r="R201">
        <f t="shared" ref="R201:R264" si="170">ATAN2(Fz2_u,A201)</f>
        <v>1.5155231473431658</v>
      </c>
      <c r="S201">
        <f t="shared" ref="S201:S264" si="171">1/SQRT(1+(A201/Fp1_u)^2)</f>
        <v>0.82634388849816731</v>
      </c>
      <c r="T201">
        <f t="shared" ref="T201:T264" si="172">-ATAN2(Fp1_u,A201)</f>
        <v>-0.59821197752081978</v>
      </c>
      <c r="U201">
        <f t="shared" ref="U201:U264" si="173">1/SQRT(1+(A201/Fp2_u)^2)</f>
        <v>0.88297360819585691</v>
      </c>
      <c r="V201">
        <f t="shared" ref="V201:V264" si="174">-ATAN2(Fp2_u,A201)</f>
        <v>-0.48863677358582086</v>
      </c>
      <c r="X201">
        <f t="shared" si="139"/>
        <v>-9.3694237788187156</v>
      </c>
      <c r="Y201">
        <f t="shared" ref="Y201:Y264" si="175">(180/Pi)*(D201+H201+N201+P201+R201+T201+V201)</f>
        <v>-122.23014392403813</v>
      </c>
      <c r="Z201">
        <f t="shared" si="140"/>
        <v>57.769856075961869</v>
      </c>
      <c r="AC201">
        <v>1</v>
      </c>
      <c r="AD201">
        <f t="shared" ref="AD201:AD264" si="176">Rcea1_u*Cc1ea_u*A201*2*Pi</f>
        <v>21.3541403747301</v>
      </c>
      <c r="AE201">
        <f t="shared" ref="AE201:AE264" si="177">-Rcea1_u*Cc1ea_u*Cc2ea_u*(A201*2*Pi)^2</f>
        <v>-1.3444036493843396E-3</v>
      </c>
      <c r="AF201">
        <f t="shared" ref="AF201:AF264" si="178">(Cc2ea_u+Cc1ea_u)*A201*2*Pi</f>
        <v>2.5287935876909997E-3</v>
      </c>
      <c r="AG201">
        <f t="shared" si="141"/>
        <v>6419.7036015023796</v>
      </c>
      <c r="AH201">
        <f t="shared" si="142"/>
        <v>-3808.4061098158659</v>
      </c>
      <c r="AJ201">
        <f t="shared" ref="AJ201:AJ264" si="179">_Rfb1</f>
        <v>22100</v>
      </c>
      <c r="AK201">
        <f t="shared" ref="AK201:AK264" si="180">_Rfb1*Rcea2_u*Cc3ea_u*A201*2*Pi</f>
        <v>15061.484115368148</v>
      </c>
      <c r="AL201">
        <v>1</v>
      </c>
      <c r="AM201">
        <f t="shared" ref="AM201:AM264" si="181">(_Rfb1+Rcea2_u)*Cc3ea_u*A201*2*Pi</f>
        <v>18.073529108374952</v>
      </c>
      <c r="AN201">
        <f t="shared" si="143"/>
        <v>898.25108157755005</v>
      </c>
      <c r="AO201">
        <f t="shared" si="144"/>
        <v>-1173.0829541529847</v>
      </c>
      <c r="AQ201">
        <f t="shared" ref="AQ201:AQ264" si="182">Eadcg/(1+(Eadcg*A201/GBP)^2)</f>
        <v>0.35855145213338113</v>
      </c>
      <c r="AR201">
        <f t="shared" ref="AR201:AR264" si="183">-(A201*Eadcg*Eadcg/GBP)/(1+(Eadcg*A201/GBP)^2)</f>
        <v>-59.878092506274648</v>
      </c>
      <c r="AT201">
        <f t="shared" si="156"/>
        <v>-225738.29929643142</v>
      </c>
      <c r="AU201">
        <f t="shared" si="157"/>
        <v>-385765.11565461213</v>
      </c>
      <c r="AV201">
        <f t="shared" si="145"/>
        <v>-2.1002402869038908</v>
      </c>
      <c r="AW201">
        <f t="shared" si="146"/>
        <v>-62286.029643149312</v>
      </c>
      <c r="AX201">
        <f t="shared" si="147"/>
        <v>-61851.265317176774</v>
      </c>
      <c r="AY201">
        <f t="shared" si="155"/>
        <v>-2.3596967619996772</v>
      </c>
      <c r="BA201">
        <f t="shared" ref="BA201:BA264" si="184">SQRT(AT201^2+AU201^2)/SQRT(AW201^2+AX201^2)</f>
        <v>5.0918771097427751</v>
      </c>
      <c r="BB201">
        <f t="shared" si="148"/>
        <v>14.137558271962973</v>
      </c>
      <c r="BC201">
        <f t="shared" si="149"/>
        <v>0.2594564750957864</v>
      </c>
      <c r="BD201">
        <f t="shared" ref="BD201:BD264" si="185">BC201*180/Pi-180</f>
        <v>-165.13423899268369</v>
      </c>
      <c r="BF201">
        <f t="shared" ref="BF201:BF264" si="186">20*LOG(BA201*J201*F201*C201)</f>
        <v>-9.3012129580539913</v>
      </c>
      <c r="BG201">
        <f t="shared" ref="BG201:BG264" si="187">(180/Pi)*(D201+H201+BC201)</f>
        <v>-129.24445277313058</v>
      </c>
      <c r="BH201">
        <f t="shared" si="150"/>
        <v>50.755547226869425</v>
      </c>
      <c r="BI201">
        <f t="shared" si="151"/>
        <v>50.755547226869425</v>
      </c>
      <c r="BJ201">
        <f t="shared" ref="BJ201:BJ264" si="188">SUM((BF202&lt;0)*(BF201&gt;0))*A201</f>
        <v>0</v>
      </c>
      <c r="BK201">
        <f t="shared" si="152"/>
        <v>0</v>
      </c>
      <c r="BM201">
        <f t="shared" si="153"/>
        <v>-23.438771230016968</v>
      </c>
      <c r="BN201">
        <f t="shared" ref="BN201:BN264" si="189">(H201+D201)*180/Pi</f>
        <v>-144.11021378044691</v>
      </c>
      <c r="BQ201" s="56">
        <f t="shared" si="154"/>
        <v>31.039519072248108</v>
      </c>
      <c r="BR201" s="59"/>
      <c r="BS201" s="59"/>
      <c r="BT201" s="59">
        <v>8128.3050000000003</v>
      </c>
      <c r="BU201" s="59">
        <v>-1.3526100000000001</v>
      </c>
      <c r="BV201" s="59">
        <v>-221.982</v>
      </c>
      <c r="BW201" s="61"/>
      <c r="BY201" s="59"/>
      <c r="BZ201" s="59"/>
      <c r="CA201" s="59"/>
      <c r="CC201" s="59"/>
    </row>
    <row r="202" spans="1:81" x14ac:dyDescent="0.25">
      <c r="A202">
        <f t="shared" ref="A202:A234" si="190">A201+500</f>
        <v>84000</v>
      </c>
      <c r="B202">
        <f t="shared" ref="B202:B265" si="191">A202/1000</f>
        <v>84</v>
      </c>
      <c r="C202">
        <f t="shared" si="159"/>
        <v>1.2187544648690756</v>
      </c>
      <c r="D202">
        <f t="shared" si="160"/>
        <v>0.60849402069374825</v>
      </c>
      <c r="F202">
        <f t="shared" si="161"/>
        <v>3.6449716537718781E-3</v>
      </c>
      <c r="G202">
        <f t="shared" si="162"/>
        <v>2.0574120094300256E-2</v>
      </c>
      <c r="H202">
        <f t="shared" si="163"/>
        <v>-3.1210185299057001</v>
      </c>
      <c r="J202">
        <f t="shared" si="164"/>
        <v>15</v>
      </c>
      <c r="M202">
        <f t="shared" si="165"/>
        <v>1.7786952044084384E-2</v>
      </c>
      <c r="N202">
        <f t="shared" si="166"/>
        <v>-1.5707963250000001</v>
      </c>
      <c r="O202">
        <f t="shared" si="167"/>
        <v>21.505272173259772</v>
      </c>
      <c r="P202">
        <f t="shared" si="168"/>
        <v>1.5242793275428095</v>
      </c>
      <c r="Q202">
        <f t="shared" si="169"/>
        <v>18.209233165202537</v>
      </c>
      <c r="R202">
        <f t="shared" si="170"/>
        <v>1.515851490621265</v>
      </c>
      <c r="S202">
        <f t="shared" si="171"/>
        <v>0.8247743332877755</v>
      </c>
      <c r="T202">
        <f t="shared" si="172"/>
        <v>-0.60099332686079243</v>
      </c>
      <c r="U202">
        <f t="shared" si="173"/>
        <v>0.88180734511260039</v>
      </c>
      <c r="V202">
        <f t="shared" si="174"/>
        <v>-0.49111546070279977</v>
      </c>
      <c r="X202">
        <f t="shared" ref="X202:X265" si="192">20*LOG(C202*J202*O202*Q202*F202*M202*S202*U202)</f>
        <v>-9.4330276405179134</v>
      </c>
      <c r="Y202">
        <f t="shared" si="175"/>
        <v>-122.34360958606915</v>
      </c>
      <c r="Z202">
        <f t="shared" ref="Z202:Z265" si="193">Y202+180</f>
        <v>57.656390413930851</v>
      </c>
      <c r="AC202">
        <v>1</v>
      </c>
      <c r="AD202">
        <f t="shared" si="176"/>
        <v>21.482009478770401</v>
      </c>
      <c r="AE202">
        <f t="shared" si="177"/>
        <v>-1.3605524974084264E-3</v>
      </c>
      <c r="AF202">
        <f t="shared" si="178"/>
        <v>2.5439360642639996E-3</v>
      </c>
      <c r="AG202">
        <f t="shared" ref="AG202:AG265" si="194">AC202*AE202/(AE202^2+AF202^2)+AD202*AF202/(AE202^2+AF202^2)</f>
        <v>6402.7560536796782</v>
      </c>
      <c r="AH202">
        <f t="shared" ref="AH202:AH265" si="195">AD202*AE202/(AE202^2+AF202^2)-AC202*AF202/(AE202^2+AF202^2)</f>
        <v>-3817.4252393958782</v>
      </c>
      <c r="AJ202">
        <f t="shared" si="179"/>
        <v>22100</v>
      </c>
      <c r="AK202">
        <f t="shared" si="180"/>
        <v>15151.672643005082</v>
      </c>
      <c r="AL202">
        <v>1</v>
      </c>
      <c r="AM202">
        <f t="shared" si="181"/>
        <v>18.181753833574803</v>
      </c>
      <c r="AN202">
        <f t="shared" ref="AN202:AN265" si="196">AJ202*AL202/(AL202^2+AM202^2)+AK202*AM202/(AL202^2+AM202^2)</f>
        <v>897.48301257593653</v>
      </c>
      <c r="AO202">
        <f t="shared" ref="AO202:AO265" si="197">AK202*AL202/(AL202^2+AM202^2)-AJ202*AM202/(AL202^2+AM202^2)</f>
        <v>-1166.1425614657182</v>
      </c>
      <c r="AQ202">
        <f t="shared" si="182"/>
        <v>0.35429583702391498</v>
      </c>
      <c r="AR202">
        <f t="shared" si="183"/>
        <v>-59.521700620017718</v>
      </c>
      <c r="AT202">
        <f t="shared" si="156"/>
        <v>-224951.17242332254</v>
      </c>
      <c r="AU202">
        <f t="shared" si="157"/>
        <v>-382455.4268405959</v>
      </c>
      <c r="AV202">
        <f t="shared" ref="AV202:AV265" si="198">ATAN2(AT202,AU202)</f>
        <v>-2.1024764760951919</v>
      </c>
      <c r="AW202">
        <f t="shared" ref="AW202:AW265" si="199">AG202-AH202*AO202/_Rfb2+AG202*AN202/_Rfb2+AN202-AO202*AR202+AQ202*AN202</f>
        <v>-61477.686751361194</v>
      </c>
      <c r="AX202">
        <f t="shared" ref="AX202:AX265" si="200">AH202+AH202*AN202/_Rfb2+AG202*AO202/_Rfb2+AO202+AO202*AQ202+AN202*AR202</f>
        <v>-61465.660925502219</v>
      </c>
      <c r="AY202">
        <f t="shared" si="155"/>
        <v>-2.3562923061868486</v>
      </c>
      <c r="BA202">
        <f t="shared" si="184"/>
        <v>5.1039386935483879</v>
      </c>
      <c r="BB202">
        <f t="shared" ref="BB202:BB265" si="201">20*LOG(BA202)</f>
        <v>14.158108983488042</v>
      </c>
      <c r="BC202">
        <f t="shared" ref="BC202:BC265" si="202">AV202-AY202</f>
        <v>0.25381583009165665</v>
      </c>
      <c r="BD202">
        <f t="shared" si="185"/>
        <v>-165.45742414552114</v>
      </c>
      <c r="BF202">
        <f t="shared" si="186"/>
        <v>-9.3678583358356029</v>
      </c>
      <c r="BG202">
        <f t="shared" si="187"/>
        <v>-129.41447461103942</v>
      </c>
      <c r="BH202">
        <f t="shared" ref="BH202:BH265" si="203">IF(BG202&gt;180,BG202-180,BG202+180)</f>
        <v>50.585525388960576</v>
      </c>
      <c r="BI202">
        <f t="shared" ref="BI202:BI265" si="204">IF(BH202&gt;180,BH202-360,BH202)</f>
        <v>50.585525388960576</v>
      </c>
      <c r="BJ202">
        <f t="shared" si="188"/>
        <v>0</v>
      </c>
      <c r="BK202">
        <f t="shared" ref="BK202:BK265" si="205">IF(BJ202&gt;0,BI202,0)</f>
        <v>0</v>
      </c>
      <c r="BM202">
        <f t="shared" ref="BM202:BM265" si="206">20*LOG(J202*F202*C202)</f>
        <v>-23.525967319323648</v>
      </c>
      <c r="BN202">
        <f t="shared" si="189"/>
        <v>-143.95705046551828</v>
      </c>
      <c r="BQ202" s="56">
        <f t="shared" ref="BQ202:BQ265" si="207">20*LOG(BA202*7)</f>
        <v>31.06006978377318</v>
      </c>
      <c r="BR202" s="59"/>
      <c r="BS202" s="59"/>
      <c r="BT202" s="59">
        <v>8317.6380000000008</v>
      </c>
      <c r="BU202" s="59">
        <v>-1.29555</v>
      </c>
      <c r="BV202" s="59">
        <v>-220.93199999999999</v>
      </c>
      <c r="BW202" s="61"/>
      <c r="BY202" s="59"/>
      <c r="BZ202" s="59"/>
      <c r="CA202" s="59"/>
      <c r="CC202" s="59"/>
    </row>
    <row r="203" spans="1:81" x14ac:dyDescent="0.25">
      <c r="A203">
        <f t="shared" si="190"/>
        <v>84500</v>
      </c>
      <c r="B203">
        <f t="shared" si="191"/>
        <v>84.5</v>
      </c>
      <c r="C203">
        <f t="shared" si="159"/>
        <v>1.2211297092405102</v>
      </c>
      <c r="D203">
        <f t="shared" si="160"/>
        <v>0.61128043921498554</v>
      </c>
      <c r="F203">
        <f t="shared" si="161"/>
        <v>3.6018167225736687E-3</v>
      </c>
      <c r="G203">
        <f t="shared" si="162"/>
        <v>2.0451529089373574E-2</v>
      </c>
      <c r="H203">
        <f t="shared" si="163"/>
        <v>-3.1211411209106266</v>
      </c>
      <c r="J203">
        <f t="shared" si="164"/>
        <v>15</v>
      </c>
      <c r="M203">
        <f t="shared" si="165"/>
        <v>1.7681703807137142E-2</v>
      </c>
      <c r="N203">
        <f t="shared" si="166"/>
        <v>-1.5707963250000001</v>
      </c>
      <c r="O203">
        <f t="shared" si="167"/>
        <v>21.633003775801004</v>
      </c>
      <c r="P203">
        <f t="shared" si="168"/>
        <v>1.5245541826797182</v>
      </c>
      <c r="Q203">
        <f t="shared" si="169"/>
        <v>18.317295534014747</v>
      </c>
      <c r="R203">
        <f t="shared" si="170"/>
        <v>1.5161759598301694</v>
      </c>
      <c r="S203">
        <f t="shared" si="171"/>
        <v>0.82320439716212768</v>
      </c>
      <c r="T203">
        <f t="shared" si="172"/>
        <v>-0.6037641091176591</v>
      </c>
      <c r="U203">
        <f t="shared" si="173"/>
        <v>0.88063876971315069</v>
      </c>
      <c r="V203">
        <f t="shared" si="174"/>
        <v>-0.49358759343828995</v>
      </c>
      <c r="X203">
        <f t="shared" si="192"/>
        <v>-9.4963512178735865</v>
      </c>
      <c r="Y203">
        <f t="shared" si="175"/>
        <v>-122.45704165799674</v>
      </c>
      <c r="Z203">
        <f t="shared" si="193"/>
        <v>57.54295834200326</v>
      </c>
      <c r="AC203">
        <v>1</v>
      </c>
      <c r="AD203">
        <f t="shared" si="176"/>
        <v>21.609878582810701</v>
      </c>
      <c r="AE203">
        <f t="shared" si="177"/>
        <v>-1.3767977564654928E-3</v>
      </c>
      <c r="AF203">
        <f t="shared" si="178"/>
        <v>2.5590785408369995E-3</v>
      </c>
      <c r="AG203">
        <f t="shared" si="194"/>
        <v>6385.7973708231711</v>
      </c>
      <c r="AH203">
        <f t="shared" si="195"/>
        <v>-3826.3583306004839</v>
      </c>
      <c r="AJ203">
        <f t="shared" si="179"/>
        <v>22100</v>
      </c>
      <c r="AK203">
        <f t="shared" si="180"/>
        <v>15241.861170642018</v>
      </c>
      <c r="AL203">
        <v>1</v>
      </c>
      <c r="AM203">
        <f t="shared" si="181"/>
        <v>18.289978558774653</v>
      </c>
      <c r="AN203">
        <f t="shared" si="196"/>
        <v>896.72848337438381</v>
      </c>
      <c r="AO203">
        <f t="shared" si="197"/>
        <v>-1159.2835633179736</v>
      </c>
      <c r="AQ203">
        <f t="shared" si="182"/>
        <v>0.35011553812758212</v>
      </c>
      <c r="AR203">
        <f t="shared" si="183"/>
        <v>-59.169525943561375</v>
      </c>
      <c r="AT203">
        <f t="shared" si="156"/>
        <v>-224168.04162896806</v>
      </c>
      <c r="AU203">
        <f t="shared" si="157"/>
        <v>-379184.27070923481</v>
      </c>
      <c r="AV203">
        <f t="shared" si="198"/>
        <v>-2.1047089736423374</v>
      </c>
      <c r="AW203">
        <f t="shared" si="199"/>
        <v>-60683.910424077527</v>
      </c>
      <c r="AX203">
        <f t="shared" si="200"/>
        <v>-61085.52796737168</v>
      </c>
      <c r="AY203">
        <f t="shared" ref="AY203:AY266" si="208">ATAN2(AW203,AX203)</f>
        <v>-2.3528963220120138</v>
      </c>
      <c r="BA203">
        <f t="shared" si="184"/>
        <v>5.1157703140376851</v>
      </c>
      <c r="BB203">
        <f t="shared" si="201"/>
        <v>14.178220749028066</v>
      </c>
      <c r="BC203">
        <f t="shared" si="202"/>
        <v>0.24818734836967637</v>
      </c>
      <c r="BD203">
        <f t="shared" si="185"/>
        <v>-165.77991239362566</v>
      </c>
      <c r="BF203">
        <f t="shared" si="186"/>
        <v>-9.4342859188896799</v>
      </c>
      <c r="BG203">
        <f t="shared" si="187"/>
        <v>-129.5843367849341</v>
      </c>
      <c r="BH203">
        <f t="shared" si="203"/>
        <v>50.415663215065905</v>
      </c>
      <c r="BI203">
        <f t="shared" si="204"/>
        <v>50.415663215065905</v>
      </c>
      <c r="BJ203">
        <f t="shared" si="188"/>
        <v>0</v>
      </c>
      <c r="BK203">
        <f t="shared" si="205"/>
        <v>0</v>
      </c>
      <c r="BM203">
        <f t="shared" si="206"/>
        <v>-23.612506667917742</v>
      </c>
      <c r="BN203">
        <f t="shared" si="189"/>
        <v>-143.80442439130846</v>
      </c>
      <c r="BQ203" s="56">
        <f t="shared" si="207"/>
        <v>31.080181549313203</v>
      </c>
      <c r="BR203" s="59"/>
      <c r="BS203" s="59"/>
      <c r="BT203" s="59">
        <v>8511.3799999999992</v>
      </c>
      <c r="BU203" s="59">
        <v>-1.5137499999999999</v>
      </c>
      <c r="BV203" s="59">
        <v>-219.99600000000001</v>
      </c>
      <c r="BW203" s="61"/>
      <c r="BY203" s="59"/>
      <c r="BZ203" s="59"/>
      <c r="CA203" s="59"/>
      <c r="CC203" s="59"/>
    </row>
    <row r="204" spans="1:81" x14ac:dyDescent="0.25">
      <c r="A204">
        <f t="shared" si="190"/>
        <v>85000</v>
      </c>
      <c r="B204">
        <f t="shared" si="191"/>
        <v>85</v>
      </c>
      <c r="C204">
        <f t="shared" si="159"/>
        <v>1.2235143977651661</v>
      </c>
      <c r="D204">
        <f t="shared" si="160"/>
        <v>0.61405601748838301</v>
      </c>
      <c r="F204">
        <f t="shared" si="161"/>
        <v>3.5594245311652765E-3</v>
      </c>
      <c r="G204">
        <f t="shared" si="162"/>
        <v>2.0330395276507165E-2</v>
      </c>
      <c r="H204">
        <f t="shared" si="163"/>
        <v>-3.1212622547234932</v>
      </c>
      <c r="J204">
        <f t="shared" si="164"/>
        <v>15</v>
      </c>
      <c r="M204">
        <f t="shared" si="165"/>
        <v>1.7577693784742214E-2</v>
      </c>
      <c r="N204">
        <f t="shared" si="166"/>
        <v>-1.5707963250000001</v>
      </c>
      <c r="O204">
        <f t="shared" si="167"/>
        <v>21.760736993429148</v>
      </c>
      <c r="P204">
        <f t="shared" si="168"/>
        <v>1.5248258110959567</v>
      </c>
      <c r="Q204">
        <f t="shared" si="169"/>
        <v>18.425359808656388</v>
      </c>
      <c r="R204">
        <f t="shared" si="170"/>
        <v>1.5164966230649071</v>
      </c>
      <c r="S204">
        <f t="shared" si="171"/>
        <v>0.82163415440213627</v>
      </c>
      <c r="T204">
        <f t="shared" si="172"/>
        <v>-0.60652434209610195</v>
      </c>
      <c r="U204">
        <f t="shared" si="173"/>
        <v>0.87946793394272205</v>
      </c>
      <c r="V204">
        <f t="shared" si="174"/>
        <v>-0.49605316765881463</v>
      </c>
      <c r="X204">
        <f t="shared" si="192"/>
        <v>-9.5593980398536011</v>
      </c>
      <c r="Y204">
        <f t="shared" si="175"/>
        <v>-122.57043407879419</v>
      </c>
      <c r="Z204">
        <f t="shared" si="193"/>
        <v>57.429565921205807</v>
      </c>
      <c r="AC204">
        <v>1</v>
      </c>
      <c r="AD204">
        <f t="shared" si="176"/>
        <v>21.737747686850998</v>
      </c>
      <c r="AE204">
        <f t="shared" si="177"/>
        <v>-1.3931394265555388E-3</v>
      </c>
      <c r="AF204">
        <f t="shared" si="178"/>
        <v>2.5742210174099999E-3</v>
      </c>
      <c r="AG204">
        <f t="shared" si="194"/>
        <v>6368.8284387724298</v>
      </c>
      <c r="AH204">
        <f t="shared" si="195"/>
        <v>-3835.2052649135821</v>
      </c>
      <c r="AJ204">
        <f t="shared" si="179"/>
        <v>22100</v>
      </c>
      <c r="AK204">
        <f t="shared" si="180"/>
        <v>15332.04969827895</v>
      </c>
      <c r="AL204">
        <v>1</v>
      </c>
      <c r="AM204">
        <f t="shared" si="181"/>
        <v>18.398203283974503</v>
      </c>
      <c r="AN204">
        <f t="shared" si="196"/>
        <v>895.98717789757211</v>
      </c>
      <c r="AO204">
        <f t="shared" si="197"/>
        <v>-1152.5045405152082</v>
      </c>
      <c r="AQ204">
        <f t="shared" si="182"/>
        <v>0.34600878862323103</v>
      </c>
      <c r="AR204">
        <f t="shared" si="183"/>
        <v>-58.821494065949274</v>
      </c>
      <c r="AT204">
        <f t="shared" si="156"/>
        <v>-223388.83311876285</v>
      </c>
      <c r="AU204">
        <f t="shared" si="157"/>
        <v>-375951.01894613565</v>
      </c>
      <c r="AV204">
        <f t="shared" si="198"/>
        <v>-2.1069377250572741</v>
      </c>
      <c r="AW204">
        <f t="shared" si="199"/>
        <v>-59904.360175300819</v>
      </c>
      <c r="AX204">
        <f t="shared" si="200"/>
        <v>-60710.74760629177</v>
      </c>
      <c r="AY204">
        <f t="shared" si="208"/>
        <v>-2.3495089643770455</v>
      </c>
      <c r="BA204">
        <f t="shared" si="184"/>
        <v>5.1273731565224532</v>
      </c>
      <c r="BB204">
        <f t="shared" si="201"/>
        <v>14.197898507658401</v>
      </c>
      <c r="BC204">
        <f t="shared" si="202"/>
        <v>0.24257123931977143</v>
      </c>
      <c r="BD204">
        <f t="shared" si="185"/>
        <v>-166.10169173983812</v>
      </c>
      <c r="BF204">
        <f t="shared" si="186"/>
        <v>-9.5004988407362063</v>
      </c>
      <c r="BG204">
        <f t="shared" si="187"/>
        <v>-129.75402766643248</v>
      </c>
      <c r="BH204">
        <f t="shared" si="203"/>
        <v>50.245972333567522</v>
      </c>
      <c r="BI204">
        <f t="shared" si="204"/>
        <v>50.245972333567522</v>
      </c>
      <c r="BJ204">
        <f t="shared" si="188"/>
        <v>0</v>
      </c>
      <c r="BK204">
        <f t="shared" si="205"/>
        <v>0</v>
      </c>
      <c r="BM204">
        <f t="shared" si="206"/>
        <v>-23.698397348394611</v>
      </c>
      <c r="BN204">
        <f t="shared" si="189"/>
        <v>-143.65233592659436</v>
      </c>
      <c r="BQ204" s="56">
        <f t="shared" si="207"/>
        <v>31.099859307943539</v>
      </c>
      <c r="BR204" s="59"/>
      <c r="BS204" s="59"/>
      <c r="BT204" s="59">
        <v>8709.6360000000004</v>
      </c>
      <c r="BU204" s="59">
        <v>-1.62094</v>
      </c>
      <c r="BV204" s="59">
        <v>-218.72200000000001</v>
      </c>
      <c r="BW204" s="61"/>
      <c r="BY204" s="59"/>
      <c r="BZ204" s="59"/>
      <c r="CA204" s="59"/>
      <c r="CC204" s="59"/>
    </row>
    <row r="205" spans="1:81" x14ac:dyDescent="0.25">
      <c r="A205">
        <f t="shared" si="190"/>
        <v>85500</v>
      </c>
      <c r="B205">
        <f t="shared" si="191"/>
        <v>85.5</v>
      </c>
      <c r="C205">
        <f t="shared" si="159"/>
        <v>1.2259084753295573</v>
      </c>
      <c r="D205">
        <f t="shared" si="160"/>
        <v>0.61682077613416608</v>
      </c>
      <c r="F205">
        <f t="shared" si="161"/>
        <v>3.5177771906221935E-3</v>
      </c>
      <c r="G205">
        <f t="shared" si="162"/>
        <v>2.0210692742506028E-2</v>
      </c>
      <c r="H205">
        <f t="shared" si="163"/>
        <v>-3.1213819572574941</v>
      </c>
      <c r="J205">
        <f t="shared" si="164"/>
        <v>15</v>
      </c>
      <c r="M205">
        <f t="shared" si="165"/>
        <v>1.7474900253837293E-2</v>
      </c>
      <c r="N205">
        <f t="shared" si="166"/>
        <v>-1.5707963250000001</v>
      </c>
      <c r="O205">
        <f t="shared" si="167"/>
        <v>21.88847179786902</v>
      </c>
      <c r="P205">
        <f t="shared" si="168"/>
        <v>1.5250942692417189</v>
      </c>
      <c r="Q205">
        <f t="shared" si="169"/>
        <v>18.533425955790069</v>
      </c>
      <c r="R205">
        <f t="shared" si="170"/>
        <v>1.5168135468354642</v>
      </c>
      <c r="S205">
        <f t="shared" si="171"/>
        <v>0.82006367833453009</v>
      </c>
      <c r="T205">
        <f t="shared" si="172"/>
        <v>-0.60927404410847563</v>
      </c>
      <c r="U205">
        <f t="shared" si="173"/>
        <v>0.87829488942494538</v>
      </c>
      <c r="V205">
        <f t="shared" si="174"/>
        <v>-0.49851217957175425</v>
      </c>
      <c r="X205">
        <f t="shared" si="192"/>
        <v>-9.6221715647956874</v>
      </c>
      <c r="Y205">
        <f t="shared" si="175"/>
        <v>-122.68378093854642</v>
      </c>
      <c r="Z205">
        <f t="shared" si="193"/>
        <v>57.31621906145358</v>
      </c>
      <c r="AC205">
        <v>1</v>
      </c>
      <c r="AD205">
        <f t="shared" si="176"/>
        <v>21.865616790891302</v>
      </c>
      <c r="AE205">
        <f t="shared" si="177"/>
        <v>-1.4095775076785643E-3</v>
      </c>
      <c r="AF205">
        <f t="shared" si="178"/>
        <v>2.5893634939830002E-3</v>
      </c>
      <c r="AG205">
        <f t="shared" si="194"/>
        <v>6351.8501349656044</v>
      </c>
      <c r="AH205">
        <f t="shared" si="195"/>
        <v>-3843.9659420246371</v>
      </c>
      <c r="AJ205">
        <f t="shared" si="179"/>
        <v>22100</v>
      </c>
      <c r="AK205">
        <f t="shared" si="180"/>
        <v>15422.238225915886</v>
      </c>
      <c r="AL205">
        <v>1</v>
      </c>
      <c r="AM205">
        <f t="shared" si="181"/>
        <v>18.506428009174353</v>
      </c>
      <c r="AN205">
        <f t="shared" si="196"/>
        <v>895.25878923084872</v>
      </c>
      <c r="AO205">
        <f t="shared" si="197"/>
        <v>-1145.8041065654129</v>
      </c>
      <c r="AQ205">
        <f t="shared" si="182"/>
        <v>0.3419738731960878</v>
      </c>
      <c r="AR205">
        <f t="shared" si="183"/>
        <v>-58.477532316531018</v>
      </c>
      <c r="AT205">
        <f t="shared" si="156"/>
        <v>-222613.47580577503</v>
      </c>
      <c r="AU205">
        <f t="shared" si="157"/>
        <v>-372755.05745884107</v>
      </c>
      <c r="AV205">
        <f t="shared" si="198"/>
        <v>-2.1091626773659398</v>
      </c>
      <c r="AW205">
        <f t="shared" si="199"/>
        <v>-59138.705361726723</v>
      </c>
      <c r="AX205">
        <f t="shared" si="200"/>
        <v>-60341.204394346969</v>
      </c>
      <c r="AY205">
        <f t="shared" si="208"/>
        <v>-2.3461303845536685</v>
      </c>
      <c r="BA205">
        <f t="shared" si="184"/>
        <v>5.1387484314067757</v>
      </c>
      <c r="BB205">
        <f t="shared" si="201"/>
        <v>14.21714714441717</v>
      </c>
      <c r="BC205">
        <f t="shared" si="202"/>
        <v>0.23696770718772875</v>
      </c>
      <c r="BD205">
        <f t="shared" si="185"/>
        <v>-166.42275048173698</v>
      </c>
      <c r="BF205">
        <f t="shared" si="186"/>
        <v>-9.5665001514300076</v>
      </c>
      <c r="BG205">
        <f t="shared" si="187"/>
        <v>-129.92353585637775</v>
      </c>
      <c r="BH205">
        <f t="shared" si="203"/>
        <v>50.076464143622246</v>
      </c>
      <c r="BI205">
        <f t="shared" si="204"/>
        <v>50.076464143622246</v>
      </c>
      <c r="BJ205">
        <f t="shared" si="188"/>
        <v>0</v>
      </c>
      <c r="BK205">
        <f t="shared" si="205"/>
        <v>0</v>
      </c>
      <c r="BM205">
        <f t="shared" si="206"/>
        <v>-23.783647295847178</v>
      </c>
      <c r="BN205">
        <f t="shared" si="189"/>
        <v>-143.5007853746408</v>
      </c>
      <c r="BQ205" s="56">
        <f t="shared" si="207"/>
        <v>31.119107944702307</v>
      </c>
      <c r="BR205" s="59"/>
      <c r="BS205" s="59"/>
      <c r="BT205" s="59">
        <v>8912.509</v>
      </c>
      <c r="BU205" s="59">
        <v>-1.6954</v>
      </c>
      <c r="BV205" s="59">
        <v>-217.619</v>
      </c>
      <c r="BW205" s="61"/>
      <c r="BY205" s="59"/>
      <c r="BZ205" s="59"/>
      <c r="CA205" s="59"/>
      <c r="CC205" s="59"/>
    </row>
    <row r="206" spans="1:81" x14ac:dyDescent="0.25">
      <c r="A206">
        <f t="shared" si="190"/>
        <v>86000</v>
      </c>
      <c r="B206">
        <f t="shared" si="191"/>
        <v>86</v>
      </c>
      <c r="C206">
        <f t="shared" si="159"/>
        <v>1.2283118870337293</v>
      </c>
      <c r="D206">
        <f t="shared" si="160"/>
        <v>0.61957473627374593</v>
      </c>
      <c r="F206">
        <f t="shared" si="161"/>
        <v>3.4768573339703508E-3</v>
      </c>
      <c r="G206">
        <f t="shared" si="162"/>
        <v>2.009239618691315E-2</v>
      </c>
      <c r="H206">
        <f t="shared" si="163"/>
        <v>-3.1215002538130872</v>
      </c>
      <c r="J206">
        <f t="shared" si="164"/>
        <v>15</v>
      </c>
      <c r="M206">
        <f t="shared" si="165"/>
        <v>1.737330199654754E-2</v>
      </c>
      <c r="N206">
        <f t="shared" si="166"/>
        <v>-1.5707963250000001</v>
      </c>
      <c r="O206">
        <f t="shared" si="167"/>
        <v>22.016208161501272</v>
      </c>
      <c r="P206">
        <f t="shared" si="168"/>
        <v>1.5253596122589723</v>
      </c>
      <c r="Q206">
        <f t="shared" si="169"/>
        <v>18.64149394285085</v>
      </c>
      <c r="R206">
        <f t="shared" si="170"/>
        <v>1.5171267961125918</v>
      </c>
      <c r="S206">
        <f t="shared" si="171"/>
        <v>0.81849304133500944</v>
      </c>
      <c r="T206">
        <f t="shared" si="172"/>
        <v>-0.61201323396465557</v>
      </c>
      <c r="U206">
        <f t="shared" si="173"/>
        <v>0.87711968745925128</v>
      </c>
      <c r="V206">
        <f t="shared" si="174"/>
        <v>-0.50096462572209288</v>
      </c>
      <c r="X206">
        <f t="shared" si="192"/>
        <v>-9.6846751821890127</v>
      </c>
      <c r="Y206">
        <f t="shared" si="175"/>
        <v>-122.79707647451191</v>
      </c>
      <c r="Z206">
        <f t="shared" si="193"/>
        <v>57.202923525488089</v>
      </c>
      <c r="AC206">
        <v>1</v>
      </c>
      <c r="AD206">
        <f t="shared" si="176"/>
        <v>21.993485894931599</v>
      </c>
      <c r="AE206">
        <f t="shared" si="177"/>
        <v>-1.4261119998345694E-3</v>
      </c>
      <c r="AF206">
        <f t="shared" si="178"/>
        <v>2.6045059705560002E-3</v>
      </c>
      <c r="AG206">
        <f t="shared" si="194"/>
        <v>6334.8633284136058</v>
      </c>
      <c r="AH206">
        <f t="shared" si="195"/>
        <v>-3852.6402793465413</v>
      </c>
      <c r="AJ206">
        <f t="shared" si="179"/>
        <v>22100</v>
      </c>
      <c r="AK206">
        <f t="shared" si="180"/>
        <v>15512.426753552823</v>
      </c>
      <c r="AL206">
        <v>1</v>
      </c>
      <c r="AM206">
        <f t="shared" si="181"/>
        <v>18.614652734374204</v>
      </c>
      <c r="AN206">
        <f t="shared" si="196"/>
        <v>894.54301930377017</v>
      </c>
      <c r="AO206">
        <f t="shared" si="197"/>
        <v>-1139.1809067454583</v>
      </c>
      <c r="AQ206">
        <f t="shared" si="182"/>
        <v>0.33800912624640866</v>
      </c>
      <c r="AR206">
        <f t="shared" si="183"/>
        <v>-58.137569714382288</v>
      </c>
      <c r="AT206">
        <f t="shared" si="156"/>
        <v>-221841.90120641928</v>
      </c>
      <c r="AU206">
        <f t="shared" si="157"/>
        <v>-369595.78596129344</v>
      </c>
      <c r="AV206">
        <f t="shared" si="198"/>
        <v>-2.1113837790710717</v>
      </c>
      <c r="AW206">
        <f t="shared" si="199"/>
        <v>-58386.624843356287</v>
      </c>
      <c r="AX206">
        <f t="shared" si="200"/>
        <v>-59976.786153391658</v>
      </c>
      <c r="AY206">
        <f t="shared" si="208"/>
        <v>-2.3427607302249687</v>
      </c>
      <c r="BA206">
        <f t="shared" si="184"/>
        <v>5.1498973735344347</v>
      </c>
      <c r="BB206">
        <f t="shared" si="201"/>
        <v>14.235971491302333</v>
      </c>
      <c r="BC206">
        <f t="shared" si="202"/>
        <v>0.231376951153897</v>
      </c>
      <c r="BD206">
        <f t="shared" si="185"/>
        <v>-166.74307720712886</v>
      </c>
      <c r="BF206">
        <f t="shared" si="186"/>
        <v>-9.6322928196902655</v>
      </c>
      <c r="BG206">
        <f t="shared" si="187"/>
        <v>-130.09285018201831</v>
      </c>
      <c r="BH206">
        <f t="shared" si="203"/>
        <v>49.90714981798169</v>
      </c>
      <c r="BI206">
        <f t="shared" si="204"/>
        <v>49.90714981798169</v>
      </c>
      <c r="BJ206">
        <f t="shared" si="188"/>
        <v>0</v>
      </c>
      <c r="BK206">
        <f t="shared" si="205"/>
        <v>0</v>
      </c>
      <c r="BM206">
        <f t="shared" si="206"/>
        <v>-23.8682643109926</v>
      </c>
      <c r="BN206">
        <f t="shared" si="189"/>
        <v>-143.34977297488948</v>
      </c>
      <c r="BQ206" s="56">
        <f t="shared" si="207"/>
        <v>31.137932291587468</v>
      </c>
      <c r="BR206" s="59"/>
      <c r="BS206" s="59"/>
      <c r="BT206" s="59">
        <v>9120.1080000000002</v>
      </c>
      <c r="BU206" s="59">
        <v>-1.76502</v>
      </c>
      <c r="BV206" s="59">
        <v>-216.501</v>
      </c>
      <c r="BW206" s="61"/>
      <c r="BY206" s="59"/>
      <c r="BZ206" s="59"/>
      <c r="CA206" s="59"/>
      <c r="CC206" s="59"/>
    </row>
    <row r="207" spans="1:81" x14ac:dyDescent="0.25">
      <c r="A207">
        <f t="shared" si="190"/>
        <v>86500</v>
      </c>
      <c r="B207">
        <f t="shared" si="191"/>
        <v>86.5</v>
      </c>
      <c r="C207">
        <f t="shared" si="159"/>
        <v>1.2307245781933585</v>
      </c>
      <c r="D207">
        <f t="shared" si="160"/>
        <v>0.6223179195190599</v>
      </c>
      <c r="F207">
        <f t="shared" si="161"/>
        <v>3.4366480979980555E-3</v>
      </c>
      <c r="G207">
        <f t="shared" si="162"/>
        <v>1.9975480903950276E-2</v>
      </c>
      <c r="H207">
        <f t="shared" si="163"/>
        <v>-3.1216171690960501</v>
      </c>
      <c r="J207">
        <f t="shared" si="164"/>
        <v>15</v>
      </c>
      <c r="M207">
        <f t="shared" si="165"/>
        <v>1.7272878285584835E-2</v>
      </c>
      <c r="N207">
        <f t="shared" si="166"/>
        <v>-1.5707963250000001</v>
      </c>
      <c r="O207">
        <f t="shared" si="167"/>
        <v>22.143946057343506</v>
      </c>
      <c r="P207">
        <f t="shared" si="168"/>
        <v>1.5256218940191117</v>
      </c>
      <c r="Q207">
        <f t="shared" si="169"/>
        <v>18.749563738024044</v>
      </c>
      <c r="R207">
        <f t="shared" si="170"/>
        <v>1.5174364343720357</v>
      </c>
      <c r="S207">
        <f t="shared" si="171"/>
        <v>0.81692231483159694</v>
      </c>
      <c r="T207">
        <f t="shared" si="172"/>
        <v>-0.61474193096196761</v>
      </c>
      <c r="U207">
        <f t="shared" si="173"/>
        <v>0.87594237901835392</v>
      </c>
      <c r="V207">
        <f t="shared" si="174"/>
        <v>-0.50341050298915546</v>
      </c>
      <c r="X207">
        <f t="shared" si="192"/>
        <v>-9.7469122144013323</v>
      </c>
      <c r="Y207">
        <f t="shared" si="175"/>
        <v>-122.91031506731271</v>
      </c>
      <c r="Z207">
        <f t="shared" si="193"/>
        <v>57.089684932687291</v>
      </c>
      <c r="AC207">
        <v>1</v>
      </c>
      <c r="AD207">
        <f t="shared" si="176"/>
        <v>22.121354998971899</v>
      </c>
      <c r="AE207">
        <f t="shared" si="177"/>
        <v>-1.4427429030235536E-3</v>
      </c>
      <c r="AF207">
        <f t="shared" si="178"/>
        <v>2.6196484471290001E-3</v>
      </c>
      <c r="AG207">
        <f t="shared" si="194"/>
        <v>6317.8688796767019</v>
      </c>
      <c r="AH207">
        <f t="shared" si="195"/>
        <v>-3861.2282115459107</v>
      </c>
      <c r="AJ207">
        <f t="shared" si="179"/>
        <v>22100</v>
      </c>
      <c r="AK207">
        <f t="shared" si="180"/>
        <v>15602.615281189755</v>
      </c>
      <c r="AL207">
        <v>1</v>
      </c>
      <c r="AM207">
        <f t="shared" si="181"/>
        <v>18.72287745957405</v>
      </c>
      <c r="AN207">
        <f t="shared" si="196"/>
        <v>893.83957858631595</v>
      </c>
      <c r="AO207">
        <f t="shared" si="197"/>
        <v>-1132.6336171991445</v>
      </c>
      <c r="AQ207">
        <f t="shared" si="182"/>
        <v>0.33411293017039762</v>
      </c>
      <c r="AR207">
        <f t="shared" si="183"/>
        <v>-57.801536919478785</v>
      </c>
      <c r="AT207">
        <f t="shared" si="156"/>
        <v>-221074.04334038284</v>
      </c>
      <c r="AU207">
        <f t="shared" si="157"/>
        <v>-366472.61757287517</v>
      </c>
      <c r="AV207">
        <f t="shared" si="198"/>
        <v>-2.1136009801161748</v>
      </c>
      <c r="AW207">
        <f t="shared" si="199"/>
        <v>-57647.806657679663</v>
      </c>
      <c r="AX207">
        <f t="shared" si="200"/>
        <v>-59617.383861168521</v>
      </c>
      <c r="AY207">
        <f t="shared" si="208"/>
        <v>-2.3394001455261964</v>
      </c>
      <c r="BA207">
        <f t="shared" si="184"/>
        <v>5.1608212415339265</v>
      </c>
      <c r="BB207">
        <f t="shared" si="201"/>
        <v>14.254376328231363</v>
      </c>
      <c r="BC207">
        <f t="shared" si="202"/>
        <v>0.22579916541002154</v>
      </c>
      <c r="BD207">
        <f t="shared" si="185"/>
        <v>-167.06266078964634</v>
      </c>
      <c r="BF207">
        <f t="shared" si="186"/>
        <v>-9.6978797349762793</v>
      </c>
      <c r="BG207">
        <f t="shared" si="187"/>
        <v>-130.26195969425072</v>
      </c>
      <c r="BH207">
        <f t="shared" si="203"/>
        <v>49.73804030574928</v>
      </c>
      <c r="BI207">
        <f t="shared" si="204"/>
        <v>49.73804030574928</v>
      </c>
      <c r="BJ207">
        <f t="shared" si="188"/>
        <v>0</v>
      </c>
      <c r="BK207">
        <f t="shared" si="205"/>
        <v>0</v>
      </c>
      <c r="BM207">
        <f t="shared" si="206"/>
        <v>-23.952256063207642</v>
      </c>
      <c r="BN207">
        <f t="shared" si="189"/>
        <v>-143.1992989046044</v>
      </c>
      <c r="BQ207" s="56">
        <f t="shared" si="207"/>
        <v>31.156337128516501</v>
      </c>
      <c r="BR207" s="59"/>
      <c r="BS207" s="59"/>
      <c r="BT207" s="59">
        <v>9332.5429999999997</v>
      </c>
      <c r="BU207" s="59">
        <v>-1.99203</v>
      </c>
      <c r="BV207" s="59">
        <v>-215.83600000000001</v>
      </c>
      <c r="BW207" s="61"/>
      <c r="BY207" s="59"/>
      <c r="BZ207" s="59"/>
      <c r="CA207" s="59"/>
      <c r="CC207" s="59"/>
    </row>
    <row r="208" spans="1:81" x14ac:dyDescent="0.25">
      <c r="A208">
        <f t="shared" si="190"/>
        <v>87000</v>
      </c>
      <c r="B208">
        <f t="shared" si="191"/>
        <v>87</v>
      </c>
      <c r="C208">
        <f t="shared" si="159"/>
        <v>1.2331464943417785</v>
      </c>
      <c r="D208">
        <f t="shared" si="160"/>
        <v>0.62505034796200698</v>
      </c>
      <c r="F208">
        <f t="shared" si="161"/>
        <v>3.3971331058038536E-3</v>
      </c>
      <c r="G208">
        <f t="shared" si="162"/>
        <v>1.9859922765095468E-2</v>
      </c>
      <c r="H208">
        <f t="shared" si="163"/>
        <v>-3.1217327272349049</v>
      </c>
      <c r="J208">
        <f t="shared" si="164"/>
        <v>15</v>
      </c>
      <c r="M208">
        <f t="shared" si="165"/>
        <v>1.7173608870150441E-2</v>
      </c>
      <c r="N208">
        <f t="shared" si="166"/>
        <v>-1.5707963250000001</v>
      </c>
      <c r="O208">
        <f t="shared" si="167"/>
        <v>22.271685459032032</v>
      </c>
      <c r="P208">
        <f t="shared" si="168"/>
        <v>1.5258811671593195</v>
      </c>
      <c r="Q208">
        <f t="shared" si="169"/>
        <v>18.857635310223721</v>
      </c>
      <c r="R208">
        <f t="shared" si="170"/>
        <v>1.5177425236372504</v>
      </c>
      <c r="S208">
        <f t="shared" si="171"/>
        <v>0.81535156930818409</v>
      </c>
      <c r="T208">
        <f t="shared" si="172"/>
        <v>-0.61746015487520078</v>
      </c>
      <c r="U208">
        <f t="shared" si="173"/>
        <v>0.87476301474583684</v>
      </c>
      <c r="V208">
        <f t="shared" si="174"/>
        <v>-0.50584980858333661</v>
      </c>
      <c r="X208">
        <f t="shared" si="192"/>
        <v>-9.8088859183537149</v>
      </c>
      <c r="Y208">
        <f t="shared" si="175"/>
        <v>-123.0234912372474</v>
      </c>
      <c r="Z208">
        <f t="shared" si="193"/>
        <v>56.976508762752601</v>
      </c>
      <c r="AC208">
        <v>1</v>
      </c>
      <c r="AD208">
        <f t="shared" si="176"/>
        <v>22.2492241030122</v>
      </c>
      <c r="AE208">
        <f t="shared" si="177"/>
        <v>-1.4594702172455181E-3</v>
      </c>
      <c r="AF208">
        <f t="shared" si="178"/>
        <v>2.634790923702E-3</v>
      </c>
      <c r="AG208">
        <f t="shared" si="194"/>
        <v>6300.867640843433</v>
      </c>
      <c r="AH208">
        <f t="shared" si="195"/>
        <v>-3869.7296900853448</v>
      </c>
      <c r="AJ208">
        <f t="shared" si="179"/>
        <v>22100</v>
      </c>
      <c r="AK208">
        <f t="shared" si="180"/>
        <v>15692.803808826691</v>
      </c>
      <c r="AL208">
        <v>1</v>
      </c>
      <c r="AM208">
        <f t="shared" si="181"/>
        <v>18.831102184773904</v>
      </c>
      <c r="AN208">
        <f t="shared" si="196"/>
        <v>893.14818579719463</v>
      </c>
      <c r="AO208">
        <f t="shared" si="197"/>
        <v>-1126.1609440657085</v>
      </c>
      <c r="AQ208">
        <f t="shared" si="182"/>
        <v>0.33028371371007698</v>
      </c>
      <c r="AR208">
        <f t="shared" si="183"/>
        <v>-57.46936618555339</v>
      </c>
      <c r="AT208">
        <f t="shared" si="156"/>
        <v>-220309.8386346093</v>
      </c>
      <c r="AU208">
        <f t="shared" si="157"/>
        <v>-363384.97843143065</v>
      </c>
      <c r="AV208">
        <f t="shared" si="198"/>
        <v>-2.1158142318506066</v>
      </c>
      <c r="AW208">
        <f t="shared" si="199"/>
        <v>-56921.947706815408</v>
      </c>
      <c r="AX208">
        <f t="shared" si="200"/>
        <v>-59262.891542117883</v>
      </c>
      <c r="AY208">
        <f t="shared" si="208"/>
        <v>-2.3360487710849256</v>
      </c>
      <c r="BA208">
        <f t="shared" si="184"/>
        <v>5.1715213171615062</v>
      </c>
      <c r="BB208">
        <f t="shared" si="201"/>
        <v>14.272366383964897</v>
      </c>
      <c r="BC208">
        <f t="shared" si="202"/>
        <v>0.22023453923431902</v>
      </c>
      <c r="BD208">
        <f t="shared" si="185"/>
        <v>-167.38149038444644</v>
      </c>
      <c r="BF208">
        <f t="shared" si="186"/>
        <v>-9.7632637095111345</v>
      </c>
      <c r="BG208">
        <f t="shared" si="187"/>
        <v>-130.43085366492187</v>
      </c>
      <c r="BH208">
        <f t="shared" si="203"/>
        <v>49.569146335078131</v>
      </c>
      <c r="BI208">
        <f t="shared" si="204"/>
        <v>49.569146335078131</v>
      </c>
      <c r="BJ208">
        <f t="shared" si="188"/>
        <v>0</v>
      </c>
      <c r="BK208">
        <f t="shared" si="205"/>
        <v>0</v>
      </c>
      <c r="BM208">
        <f t="shared" si="206"/>
        <v>-24.035630093476033</v>
      </c>
      <c r="BN208">
        <f t="shared" si="189"/>
        <v>-143.04936328047546</v>
      </c>
      <c r="BQ208" s="56">
        <f t="shared" si="207"/>
        <v>31.174327184250032</v>
      </c>
      <c r="BR208" s="59"/>
      <c r="BS208" s="59"/>
      <c r="BT208" s="59">
        <v>9549.9259999999995</v>
      </c>
      <c r="BU208" s="59">
        <v>-2.1278299999999999</v>
      </c>
      <c r="BV208" s="59">
        <v>-215.499</v>
      </c>
      <c r="BW208" s="61"/>
      <c r="BY208" s="59"/>
      <c r="BZ208" s="59"/>
      <c r="CA208" s="59"/>
      <c r="CC208" s="59"/>
    </row>
    <row r="209" spans="1:81" x14ac:dyDescent="0.25">
      <c r="A209">
        <f t="shared" si="190"/>
        <v>87500</v>
      </c>
      <c r="B209">
        <f t="shared" si="191"/>
        <v>87.5</v>
      </c>
      <c r="C209">
        <f t="shared" si="159"/>
        <v>1.2355775812319332</v>
      </c>
      <c r="D209">
        <f t="shared" si="160"/>
        <v>0.62777204416397991</v>
      </c>
      <c r="F209">
        <f t="shared" si="161"/>
        <v>3.3582964500464135E-3</v>
      </c>
      <c r="G209">
        <f t="shared" si="162"/>
        <v>1.9745698202271369E-2</v>
      </c>
      <c r="H209">
        <f t="shared" si="163"/>
        <v>-3.1218469517977288</v>
      </c>
      <c r="J209">
        <f t="shared" si="164"/>
        <v>15</v>
      </c>
      <c r="M209">
        <f t="shared" si="165"/>
        <v>1.7075473962321012E-2</v>
      </c>
      <c r="N209">
        <f t="shared" si="166"/>
        <v>-1.5707963250000001</v>
      </c>
      <c r="O209">
        <f t="shared" si="167"/>
        <v>22.399426340804244</v>
      </c>
      <c r="P209">
        <f t="shared" si="168"/>
        <v>1.5261374831176868</v>
      </c>
      <c r="Q209">
        <f t="shared" si="169"/>
        <v>18.965708629071997</v>
      </c>
      <c r="R209">
        <f t="shared" si="170"/>
        <v>1.5180451245206597</v>
      </c>
      <c r="S209">
        <f t="shared" si="171"/>
        <v>0.81378087430826129</v>
      </c>
      <c r="T209">
        <f t="shared" si="172"/>
        <v>-0.62016792594670411</v>
      </c>
      <c r="U209">
        <f t="shared" si="173"/>
        <v>0.8735816449538345</v>
      </c>
      <c r="V209">
        <f t="shared" si="174"/>
        <v>-0.50828254004282225</v>
      </c>
      <c r="X209">
        <f t="shared" si="192"/>
        <v>-9.8705994871448759</v>
      </c>
      <c r="Y209">
        <f t="shared" si="175"/>
        <v>-123.13659964072272</v>
      </c>
      <c r="Z209">
        <f t="shared" si="193"/>
        <v>56.863400359277279</v>
      </c>
      <c r="AC209">
        <v>1</v>
      </c>
      <c r="AD209">
        <f t="shared" si="176"/>
        <v>22.3770932070525</v>
      </c>
      <c r="AE209">
        <f t="shared" si="177"/>
        <v>-1.4762939425004623E-3</v>
      </c>
      <c r="AF209">
        <f t="shared" si="178"/>
        <v>2.6499334002749999E-3</v>
      </c>
      <c r="AG209">
        <f t="shared" si="194"/>
        <v>6283.8604555118309</v>
      </c>
      <c r="AH209">
        <f t="shared" si="195"/>
        <v>-3878.1446827772434</v>
      </c>
      <c r="AJ209">
        <f t="shared" si="179"/>
        <v>22100</v>
      </c>
      <c r="AK209">
        <f t="shared" si="180"/>
        <v>15782.992336463629</v>
      </c>
      <c r="AL209">
        <v>1</v>
      </c>
      <c r="AM209">
        <f t="shared" si="181"/>
        <v>18.939326909973751</v>
      </c>
      <c r="AN209">
        <f t="shared" si="196"/>
        <v>892.46856762369816</v>
      </c>
      <c r="AO209">
        <f t="shared" si="197"/>
        <v>-1119.7616226376069</v>
      </c>
      <c r="AQ209">
        <f t="shared" si="182"/>
        <v>0.32651995036896753</v>
      </c>
      <c r="AR209">
        <f t="shared" si="183"/>
        <v>-57.14099131456932</v>
      </c>
      <c r="AT209">
        <f t="shared" si="156"/>
        <v>-219549.22583115843</v>
      </c>
      <c r="AU209">
        <f t="shared" si="157"/>
        <v>-360332.3073197112</v>
      </c>
      <c r="AV209">
        <f t="shared" si="198"/>
        <v>-2.1180234869957317</v>
      </c>
      <c r="AW209">
        <f t="shared" si="199"/>
        <v>-56208.753457020604</v>
      </c>
      <c r="AX209">
        <f t="shared" si="200"/>
        <v>-58913.206162656512</v>
      </c>
      <c r="AY209">
        <f t="shared" si="208"/>
        <v>-2.3327067440606224</v>
      </c>
      <c r="BA209">
        <f t="shared" si="184"/>
        <v>5.1819989046427493</v>
      </c>
      <c r="BB209">
        <f t="shared" si="201"/>
        <v>14.289946336995889</v>
      </c>
      <c r="BC209">
        <f t="shared" si="202"/>
        <v>0.21468325706489066</v>
      </c>
      <c r="BD209">
        <f t="shared" si="185"/>
        <v>-167.69955542400436</v>
      </c>
      <c r="BF209">
        <f t="shared" si="186"/>
        <v>-9.8284474802550577</v>
      </c>
      <c r="BG209">
        <f t="shared" si="187"/>
        <v>-130.59952158418579</v>
      </c>
      <c r="BH209">
        <f t="shared" si="203"/>
        <v>49.400478415814206</v>
      </c>
      <c r="BI209">
        <f t="shared" si="204"/>
        <v>49.400478415814206</v>
      </c>
      <c r="BJ209">
        <f t="shared" si="188"/>
        <v>0</v>
      </c>
      <c r="BK209">
        <f t="shared" si="205"/>
        <v>0</v>
      </c>
      <c r="BM209">
        <f t="shared" si="206"/>
        <v>-24.118393817250947</v>
      </c>
      <c r="BN209">
        <f t="shared" si="189"/>
        <v>-142.89996616018146</v>
      </c>
      <c r="BQ209" s="56">
        <f t="shared" si="207"/>
        <v>31.191907137281024</v>
      </c>
      <c r="BR209" s="59"/>
      <c r="BS209" s="59"/>
      <c r="BT209" s="59">
        <v>9772.3719999999994</v>
      </c>
      <c r="BU209" s="59">
        <v>-1.9944299999999999</v>
      </c>
      <c r="BV209" s="59">
        <v>-212.98699999999999</v>
      </c>
      <c r="BW209" s="61"/>
      <c r="BY209" s="59"/>
      <c r="BZ209" s="59"/>
      <c r="CA209" s="59"/>
      <c r="CC209" s="59"/>
    </row>
    <row r="210" spans="1:81" x14ac:dyDescent="0.25">
      <c r="A210">
        <f t="shared" si="190"/>
        <v>88000</v>
      </c>
      <c r="B210">
        <f t="shared" si="191"/>
        <v>88</v>
      </c>
      <c r="C210">
        <f t="shared" si="159"/>
        <v>1.2380177848382585</v>
      </c>
      <c r="D210">
        <f t="shared" si="160"/>
        <v>0.6304830311454962</v>
      </c>
      <c r="F210">
        <f t="shared" si="161"/>
        <v>3.3201226768643463E-3</v>
      </c>
      <c r="G210">
        <f t="shared" si="162"/>
        <v>1.9632784191619273E-2</v>
      </c>
      <c r="H210">
        <f t="shared" si="163"/>
        <v>-3.1219598658083809</v>
      </c>
      <c r="J210">
        <f t="shared" si="164"/>
        <v>15</v>
      </c>
      <c r="M210">
        <f t="shared" si="165"/>
        <v>1.697845422389873E-2</v>
      </c>
      <c r="N210">
        <f t="shared" si="166"/>
        <v>-1.5707963250000001</v>
      </c>
      <c r="O210">
        <f t="shared" si="167"/>
        <v>22.52716867748158</v>
      </c>
      <c r="P210">
        <f t="shared" si="168"/>
        <v>1.5263908921671419</v>
      </c>
      <c r="Q210">
        <f t="shared" si="169"/>
        <v>19.073783664878992</v>
      </c>
      <c r="R210">
        <f t="shared" si="170"/>
        <v>1.5183442962635176</v>
      </c>
      <c r="S210">
        <f t="shared" si="171"/>
        <v>0.8122102984388313</v>
      </c>
      <c r="T210">
        <f t="shared" si="172"/>
        <v>-0.62286526487656879</v>
      </c>
      <c r="U210">
        <f t="shared" si="173"/>
        <v>0.87239831962081549</v>
      </c>
      <c r="V210">
        <f t="shared" si="174"/>
        <v>-0.51070869523030238</v>
      </c>
      <c r="X210">
        <f t="shared" si="192"/>
        <v>-9.9320560516267182</v>
      </c>
      <c r="Y210">
        <f t="shared" si="175"/>
        <v>-123.24963506679877</v>
      </c>
      <c r="Z210">
        <f t="shared" si="193"/>
        <v>56.750364933201226</v>
      </c>
      <c r="AC210">
        <v>1</v>
      </c>
      <c r="AD210">
        <f t="shared" si="176"/>
        <v>22.5049623110928</v>
      </c>
      <c r="AE210">
        <f t="shared" si="177"/>
        <v>-1.4932140787883861E-3</v>
      </c>
      <c r="AF210">
        <f t="shared" si="178"/>
        <v>2.6650758768479998E-3</v>
      </c>
      <c r="AG210">
        <f t="shared" si="194"/>
        <v>6266.8481587729138</v>
      </c>
      <c r="AH210">
        <f t="shared" si="195"/>
        <v>-3886.4731733488024</v>
      </c>
      <c r="AJ210">
        <f t="shared" si="179"/>
        <v>22100</v>
      </c>
      <c r="AK210">
        <f t="shared" si="180"/>
        <v>15873.180864100561</v>
      </c>
      <c r="AL210">
        <v>1</v>
      </c>
      <c r="AM210">
        <f t="shared" si="181"/>
        <v>19.047551635173601</v>
      </c>
      <c r="AN210">
        <f t="shared" si="196"/>
        <v>891.80045845257894</v>
      </c>
      <c r="AO210">
        <f t="shared" si="197"/>
        <v>-1113.4344165464252</v>
      </c>
      <c r="AQ210">
        <f t="shared" si="182"/>
        <v>0.32282015689059623</v>
      </c>
      <c r="AR210">
        <f t="shared" si="183"/>
        <v>-56.816347612744941</v>
      </c>
      <c r="AT210">
        <f t="shared" si="156"/>
        <v>-218792.14589876888</v>
      </c>
      <c r="AU210">
        <f t="shared" si="157"/>
        <v>-357314.055304704</v>
      </c>
      <c r="AV210">
        <f t="shared" si="198"/>
        <v>-2.120228699612106</v>
      </c>
      <c r="AW210">
        <f t="shared" si="199"/>
        <v>-55507.937650015745</v>
      </c>
      <c r="AX210">
        <f t="shared" si="200"/>
        <v>-58568.227530714867</v>
      </c>
      <c r="AY210">
        <f t="shared" si="208"/>
        <v>-2.3293741981836718</v>
      </c>
      <c r="BA210">
        <f t="shared" si="184"/>
        <v>5.1922553300131362</v>
      </c>
      <c r="BB210">
        <f t="shared" si="201"/>
        <v>14.307120816405758</v>
      </c>
      <c r="BC210">
        <f t="shared" si="202"/>
        <v>0.20914549857156572</v>
      </c>
      <c r="BD210">
        <f t="shared" si="185"/>
        <v>-168.01684561399713</v>
      </c>
      <c r="BF210">
        <f t="shared" si="186"/>
        <v>-9.8934337108298038</v>
      </c>
      <c r="BG210">
        <f t="shared" si="187"/>
        <v>-130.76795315791097</v>
      </c>
      <c r="BH210">
        <f t="shared" si="203"/>
        <v>49.232046842089034</v>
      </c>
      <c r="BI210">
        <f t="shared" si="204"/>
        <v>49.232046842089034</v>
      </c>
      <c r="BJ210">
        <f t="shared" si="188"/>
        <v>0</v>
      </c>
      <c r="BK210">
        <f t="shared" si="205"/>
        <v>0</v>
      </c>
      <c r="BM210">
        <f t="shared" si="206"/>
        <v>-24.200554527235564</v>
      </c>
      <c r="BN210">
        <f t="shared" si="189"/>
        <v>-142.75110754391383</v>
      </c>
      <c r="BQ210" s="56">
        <f t="shared" si="207"/>
        <v>31.209081616690892</v>
      </c>
      <c r="BR210" s="59"/>
      <c r="BS210" s="59"/>
      <c r="BT210" s="59">
        <v>10000</v>
      </c>
      <c r="BU210" s="59">
        <v>-2.2209699999999999</v>
      </c>
      <c r="BV210" s="59">
        <v>-213.047</v>
      </c>
      <c r="BW210" s="61"/>
      <c r="BY210" s="59"/>
      <c r="BZ210" s="59"/>
      <c r="CA210" s="59"/>
      <c r="CC210" s="59"/>
    </row>
    <row r="211" spans="1:81" x14ac:dyDescent="0.25">
      <c r="A211">
        <f t="shared" si="190"/>
        <v>88500</v>
      </c>
      <c r="B211">
        <f t="shared" si="191"/>
        <v>88.5</v>
      </c>
      <c r="C211">
        <f t="shared" si="159"/>
        <v>1.2404670513584959</v>
      </c>
      <c r="D211">
        <f t="shared" si="160"/>
        <v>0.6331833323759265</v>
      </c>
      <c r="F211">
        <f t="shared" si="161"/>
        <v>3.282596770435452E-3</v>
      </c>
      <c r="G211">
        <f t="shared" si="162"/>
        <v>1.9521158237835262E-2</v>
      </c>
      <c r="H211">
        <f t="shared" si="163"/>
        <v>-3.1220714917621648</v>
      </c>
      <c r="J211">
        <f t="shared" si="164"/>
        <v>15</v>
      </c>
      <c r="M211">
        <f t="shared" si="165"/>
        <v>1.6882530753707214E-2</v>
      </c>
      <c r="N211">
        <f t="shared" si="166"/>
        <v>-1.5707963250000001</v>
      </c>
      <c r="O211">
        <f t="shared" si="167"/>
        <v>22.654912444453092</v>
      </c>
      <c r="P211">
        <f t="shared" si="168"/>
        <v>1.5266414434482347</v>
      </c>
      <c r="Q211">
        <f t="shared" si="169"/>
        <v>19.18186038862348</v>
      </c>
      <c r="R211">
        <f t="shared" si="170"/>
        <v>1.5186400967744298</v>
      </c>
      <c r="S211">
        <f t="shared" si="171"/>
        <v>0.8106399093744947</v>
      </c>
      <c r="T211">
        <f t="shared" si="172"/>
        <v>-0.62555219281289831</v>
      </c>
      <c r="U211">
        <f t="shared" si="173"/>
        <v>0.87121308838945966</v>
      </c>
      <c r="V211">
        <f t="shared" si="174"/>
        <v>-0.5131282723296805</v>
      </c>
      <c r="X211">
        <f t="shared" si="192"/>
        <v>-9.993258681932998</v>
      </c>
      <c r="Y211">
        <f t="shared" si="175"/>
        <v>-123.36259243384323</v>
      </c>
      <c r="Z211">
        <f t="shared" si="193"/>
        <v>56.637407566156767</v>
      </c>
      <c r="AC211">
        <v>1</v>
      </c>
      <c r="AD211">
        <f t="shared" si="176"/>
        <v>22.632831415133101</v>
      </c>
      <c r="AE211">
        <f t="shared" si="177"/>
        <v>-1.5102306261092892E-3</v>
      </c>
      <c r="AF211">
        <f t="shared" si="178"/>
        <v>2.6802183534210002E-3</v>
      </c>
      <c r="AG211">
        <f t="shared" si="194"/>
        <v>6249.8315771963835</v>
      </c>
      <c r="AH211">
        <f t="shared" si="195"/>
        <v>-3894.715161017788</v>
      </c>
      <c r="AJ211">
        <f t="shared" si="179"/>
        <v>22100</v>
      </c>
      <c r="AK211">
        <f t="shared" si="180"/>
        <v>15963.369391737497</v>
      </c>
      <c r="AL211">
        <v>1</v>
      </c>
      <c r="AM211">
        <f t="shared" si="181"/>
        <v>19.155776360373451</v>
      </c>
      <c r="AN211">
        <f t="shared" si="196"/>
        <v>891.14360011146709</v>
      </c>
      <c r="AO211">
        <f t="shared" si="197"/>
        <v>-1107.1781169758369</v>
      </c>
      <c r="AQ211">
        <f t="shared" si="182"/>
        <v>0.31918289179699966</v>
      </c>
      <c r="AR211">
        <f t="shared" si="183"/>
        <v>-56.495371848068942</v>
      </c>
      <c r="AT211">
        <f t="shared" si="156"/>
        <v>-218038.54194795788</v>
      </c>
      <c r="AU211">
        <f t="shared" si="157"/>
        <v>-354329.68538933218</v>
      </c>
      <c r="AV211">
        <f t="shared" si="198"/>
        <v>-2.1224298250676545</v>
      </c>
      <c r="AW211">
        <f t="shared" si="199"/>
        <v>-54819.222025597606</v>
      </c>
      <c r="AX211">
        <f t="shared" si="200"/>
        <v>-58227.85819933431</v>
      </c>
      <c r="AY211">
        <f t="shared" si="208"/>
        <v>-2.3260512637939121</v>
      </c>
      <c r="BA211">
        <f t="shared" si="184"/>
        <v>5.2022919404580543</v>
      </c>
      <c r="BB211">
        <f t="shared" si="201"/>
        <v>14.323894402688751</v>
      </c>
      <c r="BC211">
        <f t="shared" si="202"/>
        <v>0.2036214387262576</v>
      </c>
      <c r="BD211">
        <f t="shared" si="185"/>
        <v>-168.33335092927265</v>
      </c>
      <c r="BF211">
        <f t="shared" si="186"/>
        <v>-9.9582249933958025</v>
      </c>
      <c r="BG211">
        <f t="shared" si="187"/>
        <v>-130.93613830513527</v>
      </c>
      <c r="BH211">
        <f t="shared" si="203"/>
        <v>49.063861694864727</v>
      </c>
      <c r="BI211">
        <f t="shared" si="204"/>
        <v>49.063861694864727</v>
      </c>
      <c r="BJ211">
        <f t="shared" si="188"/>
        <v>0</v>
      </c>
      <c r="BK211">
        <f t="shared" si="205"/>
        <v>0</v>
      </c>
      <c r="BM211">
        <f t="shared" si="206"/>
        <v>-24.282119396084553</v>
      </c>
      <c r="BN211">
        <f t="shared" si="189"/>
        <v>-142.60278737586265</v>
      </c>
      <c r="BQ211" s="56">
        <f t="shared" si="207"/>
        <v>31.225855202973886</v>
      </c>
      <c r="BR211" s="59"/>
      <c r="BS211" s="59"/>
      <c r="BT211" s="59">
        <v>10232.93</v>
      </c>
      <c r="BU211" s="59">
        <v>-2.4867400000000002</v>
      </c>
      <c r="BV211" s="59">
        <v>-211.715</v>
      </c>
      <c r="BW211" s="61"/>
      <c r="BY211" s="59"/>
      <c r="BZ211" s="59"/>
      <c r="CA211" s="59"/>
      <c r="CC211" s="59"/>
    </row>
    <row r="212" spans="1:81" x14ac:dyDescent="0.25">
      <c r="A212">
        <f t="shared" si="190"/>
        <v>89000</v>
      </c>
      <c r="B212">
        <f t="shared" si="191"/>
        <v>89</v>
      </c>
      <c r="C212">
        <f t="shared" si="159"/>
        <v>1.2429253272154333</v>
      </c>
      <c r="D212">
        <f t="shared" si="160"/>
        <v>0.63587297176332558</v>
      </c>
      <c r="F212">
        <f t="shared" si="161"/>
        <v>3.2457041381464937E-3</v>
      </c>
      <c r="G212">
        <f t="shared" si="162"/>
        <v>1.941079835904571E-2</v>
      </c>
      <c r="H212">
        <f t="shared" si="163"/>
        <v>-3.1221818516409545</v>
      </c>
      <c r="J212">
        <f t="shared" si="164"/>
        <v>15</v>
      </c>
      <c r="M212">
        <f t="shared" si="165"/>
        <v>1.6787685075315598E-2</v>
      </c>
      <c r="N212">
        <f t="shared" si="166"/>
        <v>-1.5707963250000001</v>
      </c>
      <c r="O212">
        <f t="shared" si="167"/>
        <v>22.782657617659538</v>
      </c>
      <c r="P212">
        <f t="shared" si="168"/>
        <v>1.5268891850008199</v>
      </c>
      <c r="Q212">
        <f t="shared" si="169"/>
        <v>19.289938771934175</v>
      </c>
      <c r="R212">
        <f t="shared" si="170"/>
        <v>1.5189325826665818</v>
      </c>
      <c r="S212">
        <f t="shared" si="171"/>
        <v>0.8090697738617052</v>
      </c>
      <c r="T212">
        <f t="shared" si="172"/>
        <v>-0.62822873134216572</v>
      </c>
      <c r="U212">
        <f t="shared" si="173"/>
        <v>0.87002600056463297</v>
      </c>
      <c r="V212">
        <f t="shared" si="174"/>
        <v>-0.51554126984277648</v>
      </c>
      <c r="X212">
        <f t="shared" si="192"/>
        <v>-10.054210388962765</v>
      </c>
      <c r="Y212">
        <f t="shared" si="175"/>
        <v>-123.47546678629084</v>
      </c>
      <c r="Z212">
        <f t="shared" si="193"/>
        <v>56.524533213709162</v>
      </c>
      <c r="AC212">
        <v>1</v>
      </c>
      <c r="AD212">
        <f t="shared" si="176"/>
        <v>22.760700519173398</v>
      </c>
      <c r="AE212">
        <f t="shared" si="177"/>
        <v>-1.5273435844631721E-3</v>
      </c>
      <c r="AF212">
        <f t="shared" si="178"/>
        <v>2.6953608299940001E-3</v>
      </c>
      <c r="AG212">
        <f t="shared" si="194"/>
        <v>6232.8115288185563</v>
      </c>
      <c r="AH212">
        <f t="shared" si="195"/>
        <v>-3902.87066007876</v>
      </c>
      <c r="AJ212">
        <f t="shared" si="179"/>
        <v>22100</v>
      </c>
      <c r="AK212">
        <f t="shared" si="180"/>
        <v>16053.557919374431</v>
      </c>
      <c r="AL212">
        <v>1</v>
      </c>
      <c r="AM212">
        <f t="shared" si="181"/>
        <v>19.264001085573302</v>
      </c>
      <c r="AN212">
        <f t="shared" si="196"/>
        <v>890.49774162035044</v>
      </c>
      <c r="AO212">
        <f t="shared" si="197"/>
        <v>-1100.9915419005724</v>
      </c>
      <c r="AQ212">
        <f t="shared" si="182"/>
        <v>0.31560675398453525</v>
      </c>
      <c r="AR212">
        <f t="shared" si="183"/>
        <v>-56.178002209247275</v>
      </c>
      <c r="AT212">
        <f t="shared" si="156"/>
        <v>-217288.35914950314</v>
      </c>
      <c r="AU212">
        <f t="shared" si="157"/>
        <v>-351378.67217603966</v>
      </c>
      <c r="AV212">
        <f t="shared" si="198"/>
        <v>-2.1246268200067941</v>
      </c>
      <c r="AW212">
        <f t="shared" si="199"/>
        <v>-54142.336055038541</v>
      </c>
      <c r="AX212">
        <f t="shared" si="200"/>
        <v>-57892.003374135304</v>
      </c>
      <c r="AY212">
        <f t="shared" si="208"/>
        <v>-2.3227380678787197</v>
      </c>
      <c r="BA212">
        <f t="shared" si="184"/>
        <v>5.212110103652714</v>
      </c>
      <c r="BB212">
        <f t="shared" si="201"/>
        <v>14.340271628545961</v>
      </c>
      <c r="BC212">
        <f t="shared" si="202"/>
        <v>0.19811124787192558</v>
      </c>
      <c r="BD212">
        <f t="shared" si="185"/>
        <v>-168.64906160989821</v>
      </c>
      <c r="BF212">
        <f t="shared" si="186"/>
        <v>-10.0228238504833</v>
      </c>
      <c r="BG212">
        <f t="shared" si="187"/>
        <v>-131.10406715556408</v>
      </c>
      <c r="BH212">
        <f t="shared" si="203"/>
        <v>48.895932844435919</v>
      </c>
      <c r="BI212">
        <f t="shared" si="204"/>
        <v>48.895932844435919</v>
      </c>
      <c r="BJ212">
        <f t="shared" si="188"/>
        <v>0</v>
      </c>
      <c r="BK212">
        <f t="shared" si="205"/>
        <v>0</v>
      </c>
      <c r="BM212">
        <f t="shared" si="206"/>
        <v>-24.363095479029262</v>
      </c>
      <c r="BN212">
        <f t="shared" si="189"/>
        <v>-142.45500554566587</v>
      </c>
      <c r="BQ212" s="56">
        <f t="shared" si="207"/>
        <v>31.242232428831098</v>
      </c>
      <c r="BR212" s="59"/>
      <c r="BS212" s="59"/>
      <c r="BT212" s="59">
        <v>10471.285</v>
      </c>
      <c r="BU212" s="59">
        <v>-2.3517399999999999</v>
      </c>
      <c r="BV212" s="59">
        <v>-211.89099999999999</v>
      </c>
      <c r="BW212" s="61"/>
      <c r="BY212" s="59"/>
      <c r="BZ212" s="59"/>
      <c r="CA212" s="59"/>
      <c r="CC212" s="59"/>
    </row>
    <row r="213" spans="1:81" x14ac:dyDescent="0.25">
      <c r="A213">
        <f t="shared" si="190"/>
        <v>89500</v>
      </c>
      <c r="B213">
        <f t="shared" si="191"/>
        <v>89.5</v>
      </c>
      <c r="C213">
        <f t="shared" si="159"/>
        <v>1.245392559058581</v>
      </c>
      <c r="D213">
        <f t="shared" si="160"/>
        <v>0.63855197364436334</v>
      </c>
      <c r="F213">
        <f t="shared" si="161"/>
        <v>3.2094305963460148E-3</v>
      </c>
      <c r="G213">
        <f t="shared" si="162"/>
        <v>1.9301683072200655E-2</v>
      </c>
      <c r="H213">
        <f t="shared" si="163"/>
        <v>-3.1222909669277996</v>
      </c>
      <c r="J213">
        <f t="shared" si="164"/>
        <v>15</v>
      </c>
      <c r="M213">
        <f t="shared" si="165"/>
        <v>1.6693899125174171E-2</v>
      </c>
      <c r="N213">
        <f t="shared" si="166"/>
        <v>-1.5707963250000001</v>
      </c>
      <c r="O213">
        <f t="shared" si="167"/>
        <v>22.910404173578016</v>
      </c>
      <c r="P213">
        <f t="shared" si="168"/>
        <v>1.5271341637946847</v>
      </c>
      <c r="Q213">
        <f t="shared" si="169"/>
        <v>19.39801878707167</v>
      </c>
      <c r="R213">
        <f t="shared" si="170"/>
        <v>1.5192218092937293</v>
      </c>
      <c r="S213">
        <f t="shared" si="171"/>
        <v>0.80749995772318761</v>
      </c>
      <c r="T213">
        <f t="shared" si="172"/>
        <v>-0.63089490247966029</v>
      </c>
      <c r="U213">
        <f t="shared" si="173"/>
        <v>0.86883710511145584</v>
      </c>
      <c r="V213">
        <f t="shared" si="174"/>
        <v>-0.51794768658602475</v>
      </c>
      <c r="X213">
        <f t="shared" si="192"/>
        <v>-10.114914125820057</v>
      </c>
      <c r="Y213">
        <f t="shared" si="175"/>
        <v>-123.58825329150402</v>
      </c>
      <c r="Z213">
        <f t="shared" si="193"/>
        <v>56.411746708495983</v>
      </c>
      <c r="AC213">
        <v>1</v>
      </c>
      <c r="AD213">
        <f t="shared" si="176"/>
        <v>22.888569623213701</v>
      </c>
      <c r="AE213">
        <f t="shared" si="177"/>
        <v>-1.5445529538500348E-3</v>
      </c>
      <c r="AF213">
        <f t="shared" si="178"/>
        <v>2.710503306567E-3</v>
      </c>
      <c r="AG213">
        <f t="shared" si="194"/>
        <v>6215.788823132405</v>
      </c>
      <c r="AH213">
        <f t="shared" si="195"/>
        <v>-3910.9396994993685</v>
      </c>
      <c r="AJ213">
        <f t="shared" si="179"/>
        <v>22100</v>
      </c>
      <c r="AK213">
        <f t="shared" si="180"/>
        <v>16143.746447011366</v>
      </c>
      <c r="AL213">
        <v>1</v>
      </c>
      <c r="AM213">
        <f t="shared" si="181"/>
        <v>19.372225810773152</v>
      </c>
      <c r="AN213">
        <f t="shared" si="196"/>
        <v>889.862638952677</v>
      </c>
      <c r="AO213">
        <f t="shared" si="197"/>
        <v>-1094.8735353503926</v>
      </c>
      <c r="AQ213">
        <f t="shared" si="182"/>
        <v>0.31209038137444606</v>
      </c>
      <c r="AR213">
        <f t="shared" si="183"/>
        <v>-55.864178266025839</v>
      </c>
      <c r="AT213">
        <f t="shared" si="156"/>
        <v>-216541.54465615583</v>
      </c>
      <c r="AU213">
        <f t="shared" si="157"/>
        <v>-348460.50154178886</v>
      </c>
      <c r="AV213">
        <f t="shared" si="198"/>
        <v>-2.126819642320477</v>
      </c>
      <c r="AW213">
        <f t="shared" si="199"/>
        <v>-53477.016684795453</v>
      </c>
      <c r="AX213">
        <f t="shared" si="200"/>
        <v>-57560.570824477705</v>
      </c>
      <c r="AY213">
        <f t="shared" si="208"/>
        <v>-2.3194347341106831</v>
      </c>
      <c r="BA213">
        <f t="shared" si="184"/>
        <v>5.2217112071024188</v>
      </c>
      <c r="BB213">
        <f t="shared" si="201"/>
        <v>14.356256979650228</v>
      </c>
      <c r="BC213">
        <f t="shared" si="202"/>
        <v>0.19261509179020608</v>
      </c>
      <c r="BD213">
        <f t="shared" si="185"/>
        <v>-168.96396815728573</v>
      </c>
      <c r="BF213">
        <f t="shared" si="186"/>
        <v>-10.087232736778981</v>
      </c>
      <c r="BG213">
        <f t="shared" si="187"/>
        <v>-131.27173004710886</v>
      </c>
      <c r="BH213">
        <f t="shared" si="203"/>
        <v>48.728269952891139</v>
      </c>
      <c r="BI213">
        <f t="shared" si="204"/>
        <v>48.728269952891139</v>
      </c>
      <c r="BJ213">
        <f t="shared" si="188"/>
        <v>0</v>
      </c>
      <c r="BK213">
        <f t="shared" si="205"/>
        <v>0</v>
      </c>
      <c r="BM213">
        <f t="shared" si="206"/>
        <v>-24.443489716429209</v>
      </c>
      <c r="BN213">
        <f t="shared" si="189"/>
        <v>-142.30776188982313</v>
      </c>
      <c r="BQ213" s="56">
        <f t="shared" si="207"/>
        <v>31.258217779935364</v>
      </c>
      <c r="BR213" s="59"/>
      <c r="BS213" s="59"/>
      <c r="BT213" s="59">
        <v>10715.192999999999</v>
      </c>
      <c r="BU213" s="59">
        <v>-2.5136799999999999</v>
      </c>
      <c r="BV213" s="59">
        <v>-209.68</v>
      </c>
      <c r="BW213" s="61"/>
      <c r="BY213" s="59"/>
      <c r="BZ213" s="59"/>
      <c r="CA213" s="59"/>
      <c r="CC213" s="59"/>
    </row>
    <row r="214" spans="1:81" x14ac:dyDescent="0.25">
      <c r="A214">
        <f t="shared" si="190"/>
        <v>90000</v>
      </c>
      <c r="B214">
        <f t="shared" si="191"/>
        <v>90</v>
      </c>
      <c r="C214">
        <f t="shared" si="159"/>
        <v>1.2478686937657781</v>
      </c>
      <c r="D214">
        <f t="shared" si="160"/>
        <v>0.64122036277435768</v>
      </c>
      <c r="F214">
        <f t="shared" si="161"/>
        <v>3.1737623566541508E-3</v>
      </c>
      <c r="G214">
        <f t="shared" si="162"/>
        <v>1.919379137896433E-2</v>
      </c>
      <c r="H214">
        <f t="shared" si="163"/>
        <v>-3.1223988586210361</v>
      </c>
      <c r="J214">
        <f t="shared" si="164"/>
        <v>15</v>
      </c>
      <c r="M214">
        <f t="shared" si="165"/>
        <v>1.6601155241145426E-2</v>
      </c>
      <c r="N214">
        <f t="shared" si="166"/>
        <v>-1.5707963250000001</v>
      </c>
      <c r="O214">
        <f t="shared" si="167"/>
        <v>23.038152089207106</v>
      </c>
      <c r="P214">
        <f t="shared" si="168"/>
        <v>1.5273764257591587</v>
      </c>
      <c r="Q214">
        <f t="shared" si="169"/>
        <v>19.506100406910932</v>
      </c>
      <c r="R214">
        <f t="shared" si="170"/>
        <v>1.5195078307849954</v>
      </c>
      <c r="S214">
        <f t="shared" si="171"/>
        <v>0.80593052586251213</v>
      </c>
      <c r="T214">
        <f t="shared" si="172"/>
        <v>-0.63355072866002482</v>
      </c>
      <c r="U214">
        <f t="shared" si="173"/>
        <v>0.86764645065346579</v>
      </c>
      <c r="V214">
        <f t="shared" si="174"/>
        <v>-0.52034752168717069</v>
      </c>
      <c r="X214">
        <f t="shared" si="192"/>
        <v>-10.175372789211576</v>
      </c>
      <c r="Y214">
        <f t="shared" si="175"/>
        <v>-123.7009472367302</v>
      </c>
      <c r="Z214">
        <f t="shared" si="193"/>
        <v>56.299052763269799</v>
      </c>
      <c r="AC214">
        <v>1</v>
      </c>
      <c r="AD214">
        <f t="shared" si="176"/>
        <v>23.016438727253998</v>
      </c>
      <c r="AE214">
        <f t="shared" si="177"/>
        <v>-1.5618587342698771E-3</v>
      </c>
      <c r="AF214">
        <f t="shared" si="178"/>
        <v>2.72564578314E-3</v>
      </c>
      <c r="AG214">
        <f t="shared" si="194"/>
        <v>6198.7642610797357</v>
      </c>
      <c r="AH214">
        <f t="shared" si="195"/>
        <v>-3918.9223225264182</v>
      </c>
      <c r="AJ214">
        <f t="shared" si="179"/>
        <v>22100</v>
      </c>
      <c r="AK214">
        <f t="shared" si="180"/>
        <v>16233.934974648302</v>
      </c>
      <c r="AL214">
        <v>1</v>
      </c>
      <c r="AM214">
        <f t="shared" si="181"/>
        <v>19.480450535973002</v>
      </c>
      <c r="AN214">
        <f t="shared" si="196"/>
        <v>889.23805480565625</v>
      </c>
      <c r="AO214">
        <f t="shared" si="197"/>
        <v>-1088.8229666981324</v>
      </c>
      <c r="AQ214">
        <f t="shared" si="182"/>
        <v>0.30863244961575259</v>
      </c>
      <c r="AR214">
        <f t="shared" si="183"/>
        <v>-55.55384093083547</v>
      </c>
      <c r="AT214">
        <f t="shared" ref="AT214:AT277" si="209">-AR214*AH214+AG214*AQ214</f>
        <v>-215798.04752744531</v>
      </c>
      <c r="AU214">
        <f t="shared" ref="AU214:AU277" si="210">AQ214*AH214+AG214*AR214</f>
        <v>-345574.67032402667</v>
      </c>
      <c r="AV214">
        <f t="shared" si="198"/>
        <v>-2.1290082511171127</v>
      </c>
      <c r="AW214">
        <f t="shared" si="199"/>
        <v>-52823.00809007643</v>
      </c>
      <c r="AX214">
        <f t="shared" si="200"/>
        <v>-57233.47079814379</v>
      </c>
      <c r="AY214">
        <f t="shared" si="208"/>
        <v>-2.3161413828849069</v>
      </c>
      <c r="BA214">
        <f t="shared" si="184"/>
        <v>5.2310966574835822</v>
      </c>
      <c r="BB214">
        <f t="shared" si="201"/>
        <v>14.371854895383091</v>
      </c>
      <c r="BC214">
        <f t="shared" si="202"/>
        <v>0.18713313176779423</v>
      </c>
      <c r="BD214">
        <f t="shared" si="185"/>
        <v>-169.27806133038828</v>
      </c>
      <c r="BF214">
        <f t="shared" si="186"/>
        <v>-10.151454040869343</v>
      </c>
      <c r="BG214">
        <f t="shared" si="187"/>
        <v>-131.43911752346349</v>
      </c>
      <c r="BH214">
        <f t="shared" si="203"/>
        <v>48.560882476536506</v>
      </c>
      <c r="BI214">
        <f t="shared" si="204"/>
        <v>48.560882476536506</v>
      </c>
      <c r="BJ214">
        <f t="shared" si="188"/>
        <v>0</v>
      </c>
      <c r="BK214">
        <f t="shared" si="205"/>
        <v>0</v>
      </c>
      <c r="BM214">
        <f t="shared" si="206"/>
        <v>-24.523308936252434</v>
      </c>
      <c r="BN214">
        <f t="shared" si="189"/>
        <v>-142.16105619307521</v>
      </c>
      <c r="BQ214" s="56">
        <f t="shared" si="207"/>
        <v>31.273815695668226</v>
      </c>
      <c r="BR214" s="59"/>
      <c r="BS214" s="59"/>
      <c r="BT214" s="59">
        <v>10964.781999999999</v>
      </c>
      <c r="BU214" s="59">
        <v>-2.5043700000000002</v>
      </c>
      <c r="BV214" s="59">
        <v>-209.52500000000001</v>
      </c>
      <c r="BW214" s="61"/>
      <c r="BY214" s="59"/>
      <c r="BZ214" s="59"/>
      <c r="CA214" s="59"/>
      <c r="CC214" s="59"/>
    </row>
    <row r="215" spans="1:81" x14ac:dyDescent="0.25">
      <c r="A215">
        <f t="shared" si="190"/>
        <v>90500</v>
      </c>
      <c r="B215">
        <f t="shared" si="191"/>
        <v>90.5</v>
      </c>
      <c r="C215">
        <f t="shared" si="159"/>
        <v>1.2503536784447331</v>
      </c>
      <c r="D215">
        <f t="shared" si="160"/>
        <v>0.64387816431741229</v>
      </c>
      <c r="F215">
        <f t="shared" si="161"/>
        <v>3.1386860128046418E-3</v>
      </c>
      <c r="G215">
        <f t="shared" si="162"/>
        <v>1.9087102752083203E-2</v>
      </c>
      <c r="H215">
        <f t="shared" si="163"/>
        <v>-3.1225055472479171</v>
      </c>
      <c r="J215">
        <f t="shared" si="164"/>
        <v>15</v>
      </c>
      <c r="M215">
        <f t="shared" si="165"/>
        <v>1.6509436151415341E-2</v>
      </c>
      <c r="N215">
        <f t="shared" si="166"/>
        <v>-1.5707963250000001</v>
      </c>
      <c r="O215">
        <f t="shared" si="167"/>
        <v>23.165901342052518</v>
      </c>
      <c r="P215">
        <f t="shared" si="168"/>
        <v>1.5276160158117467</v>
      </c>
      <c r="Q215">
        <f t="shared" si="169"/>
        <v>19.614183604924406</v>
      </c>
      <c r="R215">
        <f t="shared" si="170"/>
        <v>1.5197907000785222</v>
      </c>
      <c r="S215">
        <f t="shared" si="171"/>
        <v>0.80436154226881984</v>
      </c>
      <c r="T215">
        <f t="shared" si="172"/>
        <v>-0.63619623272788428</v>
      </c>
      <c r="U215">
        <f t="shared" si="173"/>
        <v>0.86645408547087255</v>
      </c>
      <c r="V215">
        <f t="shared" si="174"/>
        <v>-0.52274077458196266</v>
      </c>
      <c r="X215">
        <f t="shared" si="192"/>
        <v>-10.235589220803615</v>
      </c>
      <c r="Y215">
        <f t="shared" si="175"/>
        <v>-123.81354402615335</v>
      </c>
      <c r="Z215">
        <f t="shared" si="193"/>
        <v>56.186455973846648</v>
      </c>
      <c r="AC215">
        <v>1</v>
      </c>
      <c r="AD215">
        <f t="shared" si="176"/>
        <v>23.144307831294302</v>
      </c>
      <c r="AE215">
        <f t="shared" si="177"/>
        <v>-1.5792609257226987E-3</v>
      </c>
      <c r="AF215">
        <f t="shared" si="178"/>
        <v>2.7407882597129999E-3</v>
      </c>
      <c r="AG215">
        <f t="shared" si="194"/>
        <v>6181.7386350454608</v>
      </c>
      <c r="AH215">
        <f t="shared" si="195"/>
        <v>-3926.8185863013955</v>
      </c>
      <c r="AJ215">
        <f t="shared" si="179"/>
        <v>22100</v>
      </c>
      <c r="AK215">
        <f t="shared" si="180"/>
        <v>16324.123502285236</v>
      </c>
      <c r="AL215">
        <v>1</v>
      </c>
      <c r="AM215">
        <f t="shared" si="181"/>
        <v>19.588675261172853</v>
      </c>
      <c r="AN215">
        <f t="shared" si="196"/>
        <v>888.62375837935576</v>
      </c>
      <c r="AO215">
        <f t="shared" si="197"/>
        <v>-1082.838729970892</v>
      </c>
      <c r="AQ215">
        <f t="shared" si="182"/>
        <v>0.30523167083816616</v>
      </c>
      <c r="AR215">
        <f t="shared" si="183"/>
        <v>-55.246932421708074</v>
      </c>
      <c r="AT215">
        <f t="shared" si="209"/>
        <v>-215057.81865744066</v>
      </c>
      <c r="AU215">
        <f t="shared" si="210"/>
        <v>-342720.6860171936</v>
      </c>
      <c r="AV215">
        <f t="shared" si="198"/>
        <v>-2.1311926066943365</v>
      </c>
      <c r="AW215">
        <f t="shared" si="199"/>
        <v>-52180.061437833683</v>
      </c>
      <c r="AX215">
        <f t="shared" si="200"/>
        <v>-56910.615939383293</v>
      </c>
      <c r="AY215">
        <f t="shared" si="208"/>
        <v>-2.3128581313559748</v>
      </c>
      <c r="BA215">
        <f t="shared" si="184"/>
        <v>5.2402678799860087</v>
      </c>
      <c r="BB215">
        <f t="shared" si="201"/>
        <v>14.387069769545118</v>
      </c>
      <c r="BC215">
        <f t="shared" si="202"/>
        <v>0.18166552466163832</v>
      </c>
      <c r="BD215">
        <f t="shared" si="185"/>
        <v>-169.5913321419647</v>
      </c>
      <c r="BF215">
        <f t="shared" si="186"/>
        <v>-10.215490086941994</v>
      </c>
      <c r="BG215">
        <f t="shared" si="187"/>
        <v>-131.60622033171484</v>
      </c>
      <c r="BH215">
        <f t="shared" si="203"/>
        <v>48.393779668285163</v>
      </c>
      <c r="BI215">
        <f t="shared" si="204"/>
        <v>48.393779668285163</v>
      </c>
      <c r="BJ215">
        <f t="shared" si="188"/>
        <v>0</v>
      </c>
      <c r="BK215">
        <f t="shared" si="205"/>
        <v>0</v>
      </c>
      <c r="BM215">
        <f t="shared" si="206"/>
        <v>-24.602559856487112</v>
      </c>
      <c r="BN215">
        <f t="shared" si="189"/>
        <v>-142.01488818975014</v>
      </c>
      <c r="BQ215" s="56">
        <f t="shared" si="207"/>
        <v>31.289030569830256</v>
      </c>
      <c r="BR215" s="59"/>
      <c r="BS215" s="59"/>
      <c r="BT215" s="59">
        <v>11220.184999999999</v>
      </c>
      <c r="BU215" s="59">
        <v>-2.7486899999999999</v>
      </c>
      <c r="BV215" s="59">
        <v>-207.815</v>
      </c>
      <c r="BW215" s="61"/>
      <c r="BY215" s="59"/>
      <c r="BZ215" s="59"/>
      <c r="CA215" s="59"/>
      <c r="CC215" s="59"/>
    </row>
    <row r="216" spans="1:81" x14ac:dyDescent="0.25">
      <c r="A216">
        <f t="shared" si="190"/>
        <v>91000</v>
      </c>
      <c r="B216">
        <f t="shared" si="191"/>
        <v>91</v>
      </c>
      <c r="C216">
        <f t="shared" si="159"/>
        <v>1.2528474604345012</v>
      </c>
      <c r="D216">
        <f t="shared" si="160"/>
        <v>0.64652540383665713</v>
      </c>
      <c r="F216">
        <f t="shared" si="161"/>
        <v>3.1041885279955161E-3</v>
      </c>
      <c r="G216">
        <f t="shared" si="162"/>
        <v>1.8981597122212729E-2</v>
      </c>
      <c r="H216">
        <f t="shared" si="163"/>
        <v>-3.1226110528777875</v>
      </c>
      <c r="J216">
        <f t="shared" si="164"/>
        <v>15</v>
      </c>
      <c r="M216">
        <f t="shared" si="165"/>
        <v>1.6418724963770202E-2</v>
      </c>
      <c r="N216">
        <f t="shared" si="166"/>
        <v>-1.5707963250000001</v>
      </c>
      <c r="O216">
        <f t="shared" si="167"/>
        <v>23.293651910113184</v>
      </c>
      <c r="P216">
        <f t="shared" si="168"/>
        <v>1.527852977885823</v>
      </c>
      <c r="Q216">
        <f t="shared" si="169"/>
        <v>19.722268355165664</v>
      </c>
      <c r="R216">
        <f t="shared" si="170"/>
        <v>1.5200704689540188</v>
      </c>
      <c r="S216">
        <f t="shared" si="171"/>
        <v>0.80279307002169487</v>
      </c>
      <c r="T216">
        <f t="shared" si="172"/>
        <v>-0.63883143792856623</v>
      </c>
      <c r="U216">
        <f t="shared" si="173"/>
        <v>0.86526005749890311</v>
      </c>
      <c r="V216">
        <f t="shared" si="174"/>
        <v>-0.52512744501084352</v>
      </c>
      <c r="X216">
        <f t="shared" si="192"/>
        <v>-10.29556620853981</v>
      </c>
      <c r="Y216">
        <f t="shared" si="175"/>
        <v>-123.92603917803461</v>
      </c>
      <c r="Z216">
        <f t="shared" si="193"/>
        <v>56.073960821965386</v>
      </c>
      <c r="AC216">
        <v>1</v>
      </c>
      <c r="AD216">
        <f t="shared" si="176"/>
        <v>23.272176935334599</v>
      </c>
      <c r="AE216">
        <f t="shared" si="177"/>
        <v>-1.5967595282085001E-3</v>
      </c>
      <c r="AF216">
        <f t="shared" si="178"/>
        <v>2.7559307362859998E-3</v>
      </c>
      <c r="AG216">
        <f t="shared" si="194"/>
        <v>6164.7127288538677</v>
      </c>
      <c r="AH216">
        <f t="shared" si="195"/>
        <v>-3934.6285614851295</v>
      </c>
      <c r="AJ216">
        <f t="shared" si="179"/>
        <v>22100</v>
      </c>
      <c r="AK216">
        <f t="shared" si="180"/>
        <v>16414.31202992217</v>
      </c>
      <c r="AL216">
        <v>1</v>
      </c>
      <c r="AM216">
        <f t="shared" si="181"/>
        <v>19.696899986372703</v>
      </c>
      <c r="AN216">
        <f t="shared" si="196"/>
        <v>888.01952516421318</v>
      </c>
      <c r="AO216">
        <f t="shared" si="197"/>
        <v>-1076.9197431835107</v>
      </c>
      <c r="AQ216">
        <f t="shared" si="182"/>
        <v>0.30188679245283018</v>
      </c>
      <c r="AR216">
        <f t="shared" si="183"/>
        <v>-54.943396226415096</v>
      </c>
      <c r="AT216">
        <f t="shared" si="209"/>
        <v>-214320.81070534029</v>
      </c>
      <c r="AU216">
        <f t="shared" si="210"/>
        <v>-339898.06647936278</v>
      </c>
      <c r="AV216">
        <f t="shared" si="198"/>
        <v>-2.1333726705115974</v>
      </c>
      <c r="AW216">
        <f t="shared" si="199"/>
        <v>-51547.934658773724</v>
      </c>
      <c r="AX216">
        <f t="shared" si="200"/>
        <v>-56591.921210167944</v>
      </c>
      <c r="AY216">
        <f t="shared" si="208"/>
        <v>-2.3095850934746123</v>
      </c>
      <c r="BA216">
        <f t="shared" si="184"/>
        <v>5.2492263176567322</v>
      </c>
      <c r="BB216">
        <f t="shared" si="201"/>
        <v>14.401905951040527</v>
      </c>
      <c r="BC216">
        <f t="shared" si="202"/>
        <v>0.17621242296301487</v>
      </c>
      <c r="BD216">
        <f t="shared" si="185"/>
        <v>-169.90377185490848</v>
      </c>
      <c r="BF216">
        <f t="shared" si="186"/>
        <v>-10.279343136446219</v>
      </c>
      <c r="BG216">
        <f t="shared" si="187"/>
        <v>-131.77302941998568</v>
      </c>
      <c r="BH216">
        <f t="shared" si="203"/>
        <v>48.226970580014324</v>
      </c>
      <c r="BI216">
        <f t="shared" si="204"/>
        <v>48.226970580014324</v>
      </c>
      <c r="BJ216">
        <f t="shared" si="188"/>
        <v>0</v>
      </c>
      <c r="BK216">
        <f t="shared" si="205"/>
        <v>0</v>
      </c>
      <c r="BM216">
        <f t="shared" si="206"/>
        <v>-24.681249087486748</v>
      </c>
      <c r="BN216">
        <f t="shared" si="189"/>
        <v>-141.86925756507722</v>
      </c>
      <c r="BQ216" s="56">
        <f t="shared" si="207"/>
        <v>31.303866751325664</v>
      </c>
      <c r="BR216" s="59"/>
      <c r="BS216" s="59"/>
      <c r="BT216" s="59">
        <v>11481.536</v>
      </c>
      <c r="BU216" s="59">
        <v>-2.86917</v>
      </c>
      <c r="BV216" s="59">
        <v>-207.916</v>
      </c>
      <c r="BW216" s="61"/>
      <c r="BY216" s="59"/>
      <c r="BZ216" s="59"/>
      <c r="CA216" s="59"/>
      <c r="CC216" s="59"/>
    </row>
    <row r="217" spans="1:81" x14ac:dyDescent="0.25">
      <c r="A217">
        <f t="shared" si="190"/>
        <v>91500</v>
      </c>
      <c r="B217">
        <f t="shared" si="191"/>
        <v>91.5</v>
      </c>
      <c r="C217">
        <f t="shared" si="159"/>
        <v>1.2553499873068952</v>
      </c>
      <c r="D217">
        <f t="shared" si="160"/>
        <v>0.64916210728459411</v>
      </c>
      <c r="F217">
        <f t="shared" si="161"/>
        <v>3.0702572227260831E-3</v>
      </c>
      <c r="G217">
        <f t="shared" si="162"/>
        <v>1.8877254865184864E-2</v>
      </c>
      <c r="H217">
        <f t="shared" si="163"/>
        <v>-3.1227153951348154</v>
      </c>
      <c r="J217">
        <f t="shared" si="164"/>
        <v>15</v>
      </c>
      <c r="M217">
        <f t="shared" si="165"/>
        <v>1.6329005155225011E-2</v>
      </c>
      <c r="N217">
        <f t="shared" si="166"/>
        <v>-1.5707963250000001</v>
      </c>
      <c r="O217">
        <f t="shared" si="167"/>
        <v>23.421403771867833</v>
      </c>
      <c r="P217">
        <f t="shared" si="168"/>
        <v>1.5280873549574199</v>
      </c>
      <c r="Q217">
        <f t="shared" si="169"/>
        <v>19.830354632253599</v>
      </c>
      <c r="R217">
        <f t="shared" si="170"/>
        <v>1.5203471880642483</v>
      </c>
      <c r="S217">
        <f t="shared" si="171"/>
        <v>0.80122517129617554</v>
      </c>
      <c r="T217">
        <f t="shared" si="172"/>
        <v>-0.64145636789891469</v>
      </c>
      <c r="U217">
        <f t="shared" si="173"/>
        <v>0.86406441432623871</v>
      </c>
      <c r="V217">
        <f t="shared" si="174"/>
        <v>-0.52750753301564013</v>
      </c>
      <c r="X217">
        <f t="shared" si="192"/>
        <v>-10.355306487920966</v>
      </c>
      <c r="Y217">
        <f t="shared" si="175"/>
        <v>-124.03842832194027</v>
      </c>
      <c r="Z217">
        <f t="shared" si="193"/>
        <v>55.961571678059727</v>
      </c>
      <c r="AC217">
        <v>1</v>
      </c>
      <c r="AD217">
        <f t="shared" si="176"/>
        <v>23.400046039374899</v>
      </c>
      <c r="AE217">
        <f t="shared" si="177"/>
        <v>-1.6143545417272814E-3</v>
      </c>
      <c r="AF217">
        <f t="shared" si="178"/>
        <v>2.7710732128590002E-3</v>
      </c>
      <c r="AG217">
        <f t="shared" si="194"/>
        <v>6147.6873177669504</v>
      </c>
      <c r="AH217">
        <f t="shared" si="195"/>
        <v>-3942.3523318913317</v>
      </c>
      <c r="AJ217">
        <f t="shared" si="179"/>
        <v>22100</v>
      </c>
      <c r="AK217">
        <f t="shared" si="180"/>
        <v>16504.500557559109</v>
      </c>
      <c r="AL217">
        <v>1</v>
      </c>
      <c r="AM217">
        <f t="shared" si="181"/>
        <v>19.805124711572553</v>
      </c>
      <c r="AN217">
        <f t="shared" si="196"/>
        <v>887.42513673659528</v>
      </c>
      <c r="AO217">
        <f t="shared" si="197"/>
        <v>-1071.064947693485</v>
      </c>
      <c r="AQ217">
        <f t="shared" si="182"/>
        <v>0.29859659599880561</v>
      </c>
      <c r="AR217">
        <f t="shared" si="183"/>
        <v>-54.64317706778143</v>
      </c>
      <c r="AT217">
        <f t="shared" si="209"/>
        <v>-213586.97802876882</v>
      </c>
      <c r="AU217">
        <f t="shared" si="210"/>
        <v>-337106.33964862447</v>
      </c>
      <c r="AV217">
        <f t="shared" si="198"/>
        <v>-2.1355484051635258</v>
      </c>
      <c r="AW217">
        <f t="shared" si="199"/>
        <v>-50926.392227994591</v>
      </c>
      <c r="AX217">
        <f t="shared" si="200"/>
        <v>-56277.303814510567</v>
      </c>
      <c r="AY217">
        <f t="shared" si="208"/>
        <v>-2.3063223800240658</v>
      </c>
      <c r="BA217">
        <f t="shared" si="184"/>
        <v>5.257973430745948</v>
      </c>
      <c r="BB217">
        <f t="shared" si="201"/>
        <v>14.416367744537435</v>
      </c>
      <c r="BC217">
        <f t="shared" si="202"/>
        <v>0.17077397486053991</v>
      </c>
      <c r="BD217">
        <f t="shared" si="185"/>
        <v>-170.21537197863728</v>
      </c>
      <c r="BF217">
        <f t="shared" si="186"/>
        <v>-10.343015389713804</v>
      </c>
      <c r="BG217">
        <f t="shared" si="187"/>
        <v>-131.93953593510687</v>
      </c>
      <c r="BH217">
        <f t="shared" si="203"/>
        <v>48.060464064893125</v>
      </c>
      <c r="BI217">
        <f t="shared" si="204"/>
        <v>48.060464064893125</v>
      </c>
      <c r="BJ217">
        <f t="shared" si="188"/>
        <v>0</v>
      </c>
      <c r="BK217">
        <f t="shared" si="205"/>
        <v>0</v>
      </c>
      <c r="BM217">
        <f t="shared" si="206"/>
        <v>-24.759383134251237</v>
      </c>
      <c r="BN217">
        <f t="shared" si="189"/>
        <v>-141.7241639564696</v>
      </c>
      <c r="BQ217" s="56">
        <f t="shared" si="207"/>
        <v>31.31832854482257</v>
      </c>
      <c r="BR217" s="59"/>
      <c r="BS217" s="59"/>
      <c r="BT217" s="59">
        <v>11748.976000000001</v>
      </c>
      <c r="BU217" s="59">
        <v>-3.0396299999999998</v>
      </c>
      <c r="BV217" s="59">
        <v>-206.25700000000001</v>
      </c>
      <c r="BW217" s="61"/>
      <c r="BY217" s="59"/>
      <c r="BZ217" s="59"/>
      <c r="CA217" s="59"/>
      <c r="CC217" s="59"/>
    </row>
    <row r="218" spans="1:81" x14ac:dyDescent="0.25">
      <c r="A218">
        <f t="shared" si="190"/>
        <v>92000</v>
      </c>
      <c r="B218">
        <f t="shared" si="191"/>
        <v>92</v>
      </c>
      <c r="C218">
        <f t="shared" si="159"/>
        <v>1.2578612068678334</v>
      </c>
      <c r="D218">
        <f t="shared" si="160"/>
        <v>0.65178830099354856</v>
      </c>
      <c r="F218">
        <f t="shared" si="161"/>
        <v>3.0368797630989514E-3</v>
      </c>
      <c r="G218">
        <f t="shared" si="162"/>
        <v>1.8774056789699171E-2</v>
      </c>
      <c r="H218">
        <f t="shared" si="163"/>
        <v>-3.122818593210301</v>
      </c>
      <c r="J218">
        <f t="shared" si="164"/>
        <v>15</v>
      </c>
      <c r="M218">
        <f t="shared" si="165"/>
        <v>1.6240260561990093E-2</v>
      </c>
      <c r="N218">
        <f t="shared" si="166"/>
        <v>-1.5707963250000001</v>
      </c>
      <c r="O218">
        <f t="shared" si="167"/>
        <v>23.549156906261977</v>
      </c>
      <c r="P218">
        <f t="shared" si="168"/>
        <v>1.5283191890711485</v>
      </c>
      <c r="Q218">
        <f t="shared" si="169"/>
        <v>19.938442411357105</v>
      </c>
      <c r="R218">
        <f t="shared" si="170"/>
        <v>1.5206209069654972</v>
      </c>
      <c r="S218">
        <f t="shared" si="171"/>
        <v>0.79965790736790077</v>
      </c>
      <c r="T218">
        <f t="shared" si="172"/>
        <v>-0.64407104665819781</v>
      </c>
      <c r="U218">
        <f t="shared" si="173"/>
        <v>0.86286720319353982</v>
      </c>
      <c r="V218">
        <f t="shared" si="174"/>
        <v>-0.52988103893625327</v>
      </c>
      <c r="X218">
        <f t="shared" si="192"/>
        <v>-10.414812743248309</v>
      </c>
      <c r="Y218">
        <f t="shared" si="175"/>
        <v>-124.15070719605242</v>
      </c>
      <c r="Z218">
        <f t="shared" si="193"/>
        <v>55.849292803947577</v>
      </c>
      <c r="AC218">
        <v>1</v>
      </c>
      <c r="AD218">
        <f t="shared" si="176"/>
        <v>23.5279151434152</v>
      </c>
      <c r="AE218">
        <f t="shared" si="177"/>
        <v>-1.632045966279042E-3</v>
      </c>
      <c r="AF218">
        <f t="shared" si="178"/>
        <v>2.7862156894320001E-3</v>
      </c>
      <c r="AG218">
        <f t="shared" si="194"/>
        <v>6130.6631684846534</v>
      </c>
      <c r="AH218">
        <f t="shared" si="195"/>
        <v>-3949.9899941287258</v>
      </c>
      <c r="AJ218">
        <f t="shared" si="179"/>
        <v>22100</v>
      </c>
      <c r="AK218">
        <f t="shared" si="180"/>
        <v>16594.689085196042</v>
      </c>
      <c r="AL218">
        <v>1</v>
      </c>
      <c r="AM218">
        <f t="shared" si="181"/>
        <v>19.9133494367724</v>
      </c>
      <c r="AN218">
        <f t="shared" si="196"/>
        <v>886.84038056206305</v>
      </c>
      <c r="AO218">
        <f t="shared" si="197"/>
        <v>-1065.2733075765386</v>
      </c>
      <c r="AQ218">
        <f t="shared" si="182"/>
        <v>0.29535989603331658</v>
      </c>
      <c r="AR218">
        <f t="shared" si="183"/>
        <v>-54.346220870130253</v>
      </c>
      <c r="AT218">
        <f t="shared" si="209"/>
        <v>-212856.27661966532</v>
      </c>
      <c r="AU218">
        <f t="shared" si="210"/>
        <v>-334345.04326883802</v>
      </c>
      <c r="AV218">
        <f t="shared" si="198"/>
        <v>-2.1377197743540624</v>
      </c>
      <c r="AW218">
        <f t="shared" si="199"/>
        <v>-50315.204953879809</v>
      </c>
      <c r="AX218">
        <f t="shared" si="200"/>
        <v>-55966.68312571189</v>
      </c>
      <c r="AY218">
        <f t="shared" si="208"/>
        <v>-2.30307009865624</v>
      </c>
      <c r="BA218">
        <f t="shared" si="184"/>
        <v>5.2665106960553523</v>
      </c>
      <c r="BB218">
        <f t="shared" si="201"/>
        <v>14.430459411104597</v>
      </c>
      <c r="BC218">
        <f t="shared" si="202"/>
        <v>0.16535032430217766</v>
      </c>
      <c r="BD218">
        <f t="shared" si="185"/>
        <v>-170.52612426554029</v>
      </c>
      <c r="BF218">
        <f t="shared" si="186"/>
        <v>-10.406508987541297</v>
      </c>
      <c r="BG218">
        <f t="shared" si="187"/>
        <v>-132.10573122031698</v>
      </c>
      <c r="BH218">
        <f t="shared" si="203"/>
        <v>47.894268779683017</v>
      </c>
      <c r="BI218">
        <f t="shared" si="204"/>
        <v>47.894268779683017</v>
      </c>
      <c r="BJ218">
        <f t="shared" si="188"/>
        <v>0</v>
      </c>
      <c r="BK218">
        <f t="shared" si="205"/>
        <v>0</v>
      </c>
      <c r="BM218">
        <f t="shared" si="206"/>
        <v>-24.83696839864589</v>
      </c>
      <c r="BN218">
        <f t="shared" si="189"/>
        <v>-141.57960695477672</v>
      </c>
      <c r="BQ218" s="56">
        <f t="shared" si="207"/>
        <v>31.332420211389731</v>
      </c>
      <c r="BR218" s="59"/>
      <c r="BS218" s="59"/>
      <c r="BT218" s="59">
        <v>12022.644</v>
      </c>
      <c r="BU218" s="59">
        <v>-3.2097500000000001</v>
      </c>
      <c r="BV218" s="59">
        <v>-205.79599999999999</v>
      </c>
      <c r="BW218" s="61"/>
      <c r="BY218" s="59"/>
      <c r="BZ218" s="59"/>
      <c r="CA218" s="59"/>
      <c r="CC218" s="59"/>
    </row>
    <row r="219" spans="1:81" x14ac:dyDescent="0.25">
      <c r="A219">
        <f t="shared" si="190"/>
        <v>92500</v>
      </c>
      <c r="B219">
        <f t="shared" si="191"/>
        <v>92.5</v>
      </c>
      <c r="C219">
        <f t="shared" si="159"/>
        <v>1.260381067158628</v>
      </c>
      <c r="D219">
        <f t="shared" si="160"/>
        <v>0.65440401166622619</v>
      </c>
      <c r="F219">
        <f t="shared" si="161"/>
        <v>3.0040441495668532E-3</v>
      </c>
      <c r="G219">
        <f t="shared" si="162"/>
        <v>1.8671984125421173E-2</v>
      </c>
      <c r="H219">
        <f t="shared" si="163"/>
        <v>-3.1229206658745792</v>
      </c>
      <c r="J219">
        <f t="shared" si="164"/>
        <v>15</v>
      </c>
      <c r="M219">
        <f t="shared" si="165"/>
        <v>1.6152475369763115E-2</v>
      </c>
      <c r="N219">
        <f t="shared" si="166"/>
        <v>-1.5707963250000001</v>
      </c>
      <c r="O219">
        <f t="shared" si="167"/>
        <v>23.67691129269533</v>
      </c>
      <c r="P219">
        <f t="shared" si="168"/>
        <v>1.5285485213652792</v>
      </c>
      <c r="Q219">
        <f t="shared" si="169"/>
        <v>20.046531668180283</v>
      </c>
      <c r="R219">
        <f t="shared" si="170"/>
        <v>1.5208916741470579</v>
      </c>
      <c r="S219">
        <f t="shared" si="171"/>
        <v>0.79809133861838555</v>
      </c>
      <c r="T219">
        <f t="shared" si="172"/>
        <v>-0.64667549859910978</v>
      </c>
      <c r="U219">
        <f t="shared" si="173"/>
        <v>0.86166847099205868</v>
      </c>
      <c r="V219">
        <f t="shared" si="174"/>
        <v>-0.53224796340734803</v>
      </c>
      <c r="X219">
        <f t="shared" si="192"/>
        <v>-10.474087608831415</v>
      </c>
      <c r="Y219">
        <f t="shared" si="175"/>
        <v>-124.26287164456068</v>
      </c>
      <c r="Z219">
        <f t="shared" si="193"/>
        <v>55.737128355439324</v>
      </c>
      <c r="AC219">
        <v>1</v>
      </c>
      <c r="AD219">
        <f t="shared" si="176"/>
        <v>23.6557842474555</v>
      </c>
      <c r="AE219">
        <f t="shared" si="177"/>
        <v>-1.649833801863782E-3</v>
      </c>
      <c r="AF219">
        <f t="shared" si="178"/>
        <v>2.801358166005E-3</v>
      </c>
      <c r="AG219">
        <f t="shared" si="194"/>
        <v>6113.6410391470763</v>
      </c>
      <c r="AH219">
        <f t="shared" si="195"/>
        <v>-3957.5416572515055</v>
      </c>
      <c r="AJ219">
        <f t="shared" si="179"/>
        <v>22100</v>
      </c>
      <c r="AK219">
        <f t="shared" si="180"/>
        <v>16684.877612832977</v>
      </c>
      <c r="AL219">
        <v>1</v>
      </c>
      <c r="AM219">
        <f t="shared" si="181"/>
        <v>20.021574161972254</v>
      </c>
      <c r="AN219">
        <f t="shared" si="196"/>
        <v>886.2650498060093</v>
      </c>
      <c r="AO219">
        <f t="shared" si="197"/>
        <v>-1059.5438090220723</v>
      </c>
      <c r="AQ219">
        <f t="shared" si="182"/>
        <v>0.29217553906386956</v>
      </c>
      <c r="AR219">
        <f t="shared" si="183"/>
        <v>-54.052474726815873</v>
      </c>
      <c r="AT219">
        <f t="shared" si="209"/>
        <v>-212128.66404265224</v>
      </c>
      <c r="AU219">
        <f t="shared" si="210"/>
        <v>-331613.72462439688</v>
      </c>
      <c r="AV219">
        <f t="shared" si="198"/>
        <v>-2.1398867428713135</v>
      </c>
      <c r="AW219">
        <f t="shared" si="199"/>
        <v>-49714.149774895537</v>
      </c>
      <c r="AX219">
        <f t="shared" si="200"/>
        <v>-55659.980616404187</v>
      </c>
      <c r="AY219">
        <f t="shared" si="208"/>
        <v>-2.2998283539276025</v>
      </c>
      <c r="BA219">
        <f t="shared" si="184"/>
        <v>5.274839606289305</v>
      </c>
      <c r="BB219">
        <f t="shared" si="201"/>
        <v>14.444185168825756</v>
      </c>
      <c r="BC219">
        <f t="shared" si="202"/>
        <v>0.15994161105628901</v>
      </c>
      <c r="BD219">
        <f t="shared" si="185"/>
        <v>-170.83602070748032</v>
      </c>
      <c r="BF219">
        <f t="shared" si="186"/>
        <v>-10.469826012734742</v>
      </c>
      <c r="BG219">
        <f t="shared" si="187"/>
        <v>-132.2716068129875</v>
      </c>
      <c r="BH219">
        <f t="shared" si="203"/>
        <v>47.7283931870125</v>
      </c>
      <c r="BI219">
        <f t="shared" si="204"/>
        <v>47.7283931870125</v>
      </c>
      <c r="BJ219">
        <f t="shared" si="188"/>
        <v>0</v>
      </c>
      <c r="BK219">
        <f t="shared" si="205"/>
        <v>0</v>
      </c>
      <c r="BM219">
        <f t="shared" si="206"/>
        <v>-24.9140111815605</v>
      </c>
      <c r="BN219">
        <f t="shared" si="189"/>
        <v>-141.43558610550718</v>
      </c>
      <c r="BQ219" s="56">
        <f t="shared" si="207"/>
        <v>31.346145969110893</v>
      </c>
      <c r="BR219" s="59"/>
      <c r="BS219" s="59"/>
      <c r="BT219" s="59">
        <v>12302.688</v>
      </c>
      <c r="BU219" s="59">
        <v>-3.2360000000000002</v>
      </c>
      <c r="BV219" s="59">
        <v>-205.58</v>
      </c>
      <c r="BW219" s="61"/>
      <c r="BY219" s="59"/>
      <c r="BZ219" s="59"/>
      <c r="CA219" s="59"/>
      <c r="CC219" s="59"/>
    </row>
    <row r="220" spans="1:81" x14ac:dyDescent="0.25">
      <c r="A220">
        <f t="shared" si="190"/>
        <v>93000</v>
      </c>
      <c r="B220">
        <f t="shared" si="191"/>
        <v>93</v>
      </c>
      <c r="C220">
        <f t="shared" si="159"/>
        <v>1.2629095164572082</v>
      </c>
      <c r="D220">
        <f t="shared" si="160"/>
        <v>0.65700926636637735</v>
      </c>
      <c r="F220">
        <f t="shared" si="161"/>
        <v>2.9717387061050323E-3</v>
      </c>
      <c r="G220">
        <f t="shared" si="162"/>
        <v>1.8571018511472175E-2</v>
      </c>
      <c r="H220">
        <f t="shared" si="163"/>
        <v>-3.1230216314885282</v>
      </c>
      <c r="J220">
        <f t="shared" si="164"/>
        <v>15</v>
      </c>
      <c r="M220">
        <f t="shared" si="165"/>
        <v>1.6065634104334283E-2</v>
      </c>
      <c r="N220">
        <f t="shared" si="166"/>
        <v>-1.5707963250000001</v>
      </c>
      <c r="O220">
        <f t="shared" si="167"/>
        <v>23.80466691100964</v>
      </c>
      <c r="P220">
        <f t="shared" si="168"/>
        <v>1.5287753920960201</v>
      </c>
      <c r="Q220">
        <f t="shared" si="169"/>
        <v>20.15462237894809</v>
      </c>
      <c r="R220">
        <f t="shared" si="170"/>
        <v>1.5211595370597697</v>
      </c>
      <c r="S220">
        <f t="shared" si="171"/>
        <v>0.79652552454042092</v>
      </c>
      <c r="T220">
        <f t="shared" si="172"/>
        <v>-0.64926974847886865</v>
      </c>
      <c r="U220">
        <f t="shared" si="173"/>
        <v>0.8604682642623388</v>
      </c>
      <c r="V220">
        <f t="shared" si="174"/>
        <v>-0.53460830735504439</v>
      </c>
      <c r="X220">
        <f t="shared" si="192"/>
        <v>-10.533133670161931</v>
      </c>
      <c r="Y220">
        <f t="shared" si="175"/>
        <v>-124.37491761513046</v>
      </c>
      <c r="Z220">
        <f t="shared" si="193"/>
        <v>55.625082384869543</v>
      </c>
      <c r="AC220">
        <v>1</v>
      </c>
      <c r="AD220">
        <f t="shared" si="176"/>
        <v>23.783653351495801</v>
      </c>
      <c r="AE220">
        <f t="shared" si="177"/>
        <v>-1.6677180484815021E-3</v>
      </c>
      <c r="AF220">
        <f t="shared" si="178"/>
        <v>2.8165006425779999E-3</v>
      </c>
      <c r="AG220">
        <f t="shared" si="194"/>
        <v>6096.6216793385593</v>
      </c>
      <c r="AH220">
        <f t="shared" si="195"/>
        <v>-3965.0074424178829</v>
      </c>
      <c r="AJ220">
        <f t="shared" si="179"/>
        <v>22100</v>
      </c>
      <c r="AK220">
        <f t="shared" si="180"/>
        <v>16775.066140469913</v>
      </c>
      <c r="AL220">
        <v>1</v>
      </c>
      <c r="AM220">
        <f t="shared" si="181"/>
        <v>20.1297988871721</v>
      </c>
      <c r="AN220">
        <f t="shared" si="196"/>
        <v>885.6989431513565</v>
      </c>
      <c r="AO220">
        <f t="shared" si="197"/>
        <v>-1053.87545974777</v>
      </c>
      <c r="AQ220">
        <f t="shared" si="182"/>
        <v>0.28904240252044977</v>
      </c>
      <c r="AR220">
        <f t="shared" si="183"/>
        <v>-53.76188686880365</v>
      </c>
      <c r="AT220">
        <f t="shared" si="209"/>
        <v>-211404.09937578047</v>
      </c>
      <c r="AU220">
        <f t="shared" si="210"/>
        <v>-328911.94028366328</v>
      </c>
      <c r="AV220">
        <f t="shared" si="198"/>
        <v>-2.1420492765631085</v>
      </c>
      <c r="AW220">
        <f t="shared" si="199"/>
        <v>-49123.009563955224</v>
      </c>
      <c r="AX220">
        <f t="shared" si="200"/>
        <v>-55357.119791268182</v>
      </c>
      <c r="AY220">
        <f t="shared" si="208"/>
        <v>-2.2965972473348915</v>
      </c>
      <c r="BA220">
        <f t="shared" si="184"/>
        <v>5.2829616694091879</v>
      </c>
      <c r="BB220">
        <f t="shared" si="201"/>
        <v>14.457549193392513</v>
      </c>
      <c r="BC220">
        <f t="shared" si="202"/>
        <v>0.15454797077178295</v>
      </c>
      <c r="BD220">
        <f t="shared" si="185"/>
        <v>-171.14505353234739</v>
      </c>
      <c r="BF220">
        <f t="shared" si="186"/>
        <v>-10.532968491617929</v>
      </c>
      <c r="BG220">
        <f t="shared" si="187"/>
        <v>-132.43715444237054</v>
      </c>
      <c r="BH220">
        <f t="shared" si="203"/>
        <v>47.562845557629458</v>
      </c>
      <c r="BI220">
        <f t="shared" si="204"/>
        <v>47.562845557629458</v>
      </c>
      <c r="BJ220">
        <f t="shared" si="188"/>
        <v>0</v>
      </c>
      <c r="BK220">
        <f t="shared" si="205"/>
        <v>0</v>
      </c>
      <c r="BM220">
        <f t="shared" si="206"/>
        <v>-24.990517685010442</v>
      </c>
      <c r="BN220">
        <f t="shared" si="189"/>
        <v>-141.29210091002318</v>
      </c>
      <c r="BQ220" s="56">
        <f t="shared" si="207"/>
        <v>31.359509993677651</v>
      </c>
      <c r="BR220" s="59"/>
      <c r="BS220" s="59"/>
      <c r="BT220" s="59">
        <v>12589.254000000001</v>
      </c>
      <c r="BU220" s="59">
        <v>-3.6465100000000001</v>
      </c>
      <c r="BV220" s="59">
        <v>-203.78</v>
      </c>
      <c r="BW220" s="61"/>
      <c r="BY220" s="59"/>
      <c r="BZ220" s="59"/>
      <c r="CA220" s="59"/>
      <c r="CC220" s="59"/>
    </row>
    <row r="221" spans="1:81" x14ac:dyDescent="0.25">
      <c r="A221">
        <f t="shared" si="190"/>
        <v>93500</v>
      </c>
      <c r="B221">
        <f t="shared" si="191"/>
        <v>93.5</v>
      </c>
      <c r="C221">
        <f t="shared" si="159"/>
        <v>1.2654465032792872</v>
      </c>
      <c r="D221">
        <f t="shared" si="160"/>
        <v>0.65960409250956831</v>
      </c>
      <c r="F221">
        <f t="shared" si="161"/>
        <v>2.9399520697908788E-3</v>
      </c>
      <c r="G221">
        <f t="shared" si="162"/>
        <v>1.8471141985295727E-2</v>
      </c>
      <c r="H221">
        <f t="shared" si="163"/>
        <v>-3.1231215080147043</v>
      </c>
      <c r="J221">
        <f t="shared" si="164"/>
        <v>15</v>
      </c>
      <c r="M221">
        <f t="shared" si="165"/>
        <v>1.5979721622492924E-2</v>
      </c>
      <c r="N221">
        <f t="shared" si="166"/>
        <v>-1.5707963250000001</v>
      </c>
      <c r="O221">
        <f t="shared" si="167"/>
        <v>23.932423741476896</v>
      </c>
      <c r="P221">
        <f t="shared" si="168"/>
        <v>1.5289998406610175</v>
      </c>
      <c r="Q221">
        <f t="shared" si="169"/>
        <v>20.262714520392493</v>
      </c>
      <c r="R221">
        <f t="shared" si="170"/>
        <v>1.5214245421436461</v>
      </c>
      <c r="S221">
        <f t="shared" si="171"/>
        <v>0.79496052374359216</v>
      </c>
      <c r="T221">
        <f t="shared" si="172"/>
        <v>-0.65185382141040948</v>
      </c>
      <c r="U221">
        <f t="shared" si="173"/>
        <v>0.85926662919299934</v>
      </c>
      <c r="V221">
        <f t="shared" si="174"/>
        <v>-0.53696207199361112</v>
      </c>
      <c r="X221">
        <f t="shared" si="192"/>
        <v>-10.591953465054393</v>
      </c>
      <c r="Y221">
        <f t="shared" si="175"/>
        <v>-124.48684115644616</v>
      </c>
      <c r="Z221">
        <f t="shared" si="193"/>
        <v>55.513158843553839</v>
      </c>
      <c r="AC221">
        <v>1</v>
      </c>
      <c r="AD221">
        <f t="shared" si="176"/>
        <v>23.911522455536101</v>
      </c>
      <c r="AE221">
        <f t="shared" si="177"/>
        <v>-1.6856987061322016E-3</v>
      </c>
      <c r="AF221">
        <f t="shared" si="178"/>
        <v>2.8316431191509998E-3</v>
      </c>
      <c r="AG221">
        <f t="shared" si="194"/>
        <v>6079.6058300936193</v>
      </c>
      <c r="AH221">
        <f t="shared" si="195"/>
        <v>-3972.3874825564744</v>
      </c>
      <c r="AJ221">
        <f t="shared" si="179"/>
        <v>22100</v>
      </c>
      <c r="AK221">
        <f t="shared" si="180"/>
        <v>16865.254668106845</v>
      </c>
      <c r="AL221">
        <v>1</v>
      </c>
      <c r="AM221">
        <f t="shared" si="181"/>
        <v>20.238023612371954</v>
      </c>
      <c r="AN221">
        <f t="shared" si="196"/>
        <v>885.1418646230137</v>
      </c>
      <c r="AO221">
        <f t="shared" si="197"/>
        <v>-1048.2672884326448</v>
      </c>
      <c r="AQ221">
        <f t="shared" si="182"/>
        <v>0.2859593937660852</v>
      </c>
      <c r="AR221">
        <f t="shared" si="183"/>
        <v>-53.474406634257939</v>
      </c>
      <c r="AT221">
        <f t="shared" si="209"/>
        <v>-210682.5431535508</v>
      </c>
      <c r="AU221">
        <f t="shared" si="210"/>
        <v>-326239.25585074734</v>
      </c>
      <c r="AV221">
        <f t="shared" si="198"/>
        <v>-2.1442073423132362</v>
      </c>
      <c r="AW221">
        <f t="shared" si="199"/>
        <v>-48541.572940030863</v>
      </c>
      <c r="AX221">
        <f t="shared" si="200"/>
        <v>-55058.026122305258</v>
      </c>
      <c r="AY221">
        <f t="shared" si="208"/>
        <v>-2.2933768773506351</v>
      </c>
      <c r="BA221">
        <f t="shared" si="184"/>
        <v>5.2908784079913778</v>
      </c>
      <c r="BB221">
        <f t="shared" si="201"/>
        <v>14.470555618676777</v>
      </c>
      <c r="BC221">
        <f t="shared" si="202"/>
        <v>0.14916953503739894</v>
      </c>
      <c r="BD221">
        <f t="shared" si="185"/>
        <v>-171.45321520066204</v>
      </c>
      <c r="BF221">
        <f t="shared" si="186"/>
        <v>-10.595938395504964</v>
      </c>
      <c r="BG221">
        <f t="shared" si="187"/>
        <v>-132.60236602736916</v>
      </c>
      <c r="BH221">
        <f t="shared" si="203"/>
        <v>47.397633972630842</v>
      </c>
      <c r="BI221">
        <f t="shared" si="204"/>
        <v>47.397633972630842</v>
      </c>
      <c r="BJ221">
        <f t="shared" si="188"/>
        <v>0</v>
      </c>
      <c r="BK221">
        <f t="shared" si="205"/>
        <v>0</v>
      </c>
      <c r="BM221">
        <f t="shared" si="206"/>
        <v>-25.066494014181743</v>
      </c>
      <c r="BN221">
        <f t="shared" si="189"/>
        <v>-141.14915082670711</v>
      </c>
      <c r="BQ221" s="56">
        <f t="shared" si="207"/>
        <v>31.372516418961915</v>
      </c>
      <c r="BR221" s="59"/>
      <c r="BS221" s="59"/>
      <c r="BT221" s="59">
        <v>12882.495999999999</v>
      </c>
      <c r="BU221" s="59">
        <v>-3.6234700000000002</v>
      </c>
      <c r="BV221" s="59">
        <v>-201.71899999999999</v>
      </c>
      <c r="BW221" s="61"/>
      <c r="BY221" s="59"/>
      <c r="BZ221" s="59"/>
      <c r="CA221" s="59"/>
      <c r="CC221" s="59"/>
    </row>
    <row r="222" spans="1:81" x14ac:dyDescent="0.25">
      <c r="A222">
        <f t="shared" si="190"/>
        <v>94000</v>
      </c>
      <c r="B222">
        <f t="shared" si="191"/>
        <v>94</v>
      </c>
      <c r="C222">
        <f t="shared" si="159"/>
        <v>1.267991976379468</v>
      </c>
      <c r="D222">
        <f t="shared" si="160"/>
        <v>0.6621885178540593</v>
      </c>
      <c r="F222">
        <f t="shared" si="161"/>
        <v>2.9086731807733981E-3</v>
      </c>
      <c r="G222">
        <f t="shared" si="162"/>
        <v>1.8372336971886293E-2</v>
      </c>
      <c r="H222">
        <f t="shared" si="163"/>
        <v>-3.123220313028114</v>
      </c>
      <c r="J222">
        <f t="shared" si="164"/>
        <v>15</v>
      </c>
      <c r="M222">
        <f t="shared" si="165"/>
        <v>1.5894723103224345E-2</v>
      </c>
      <c r="N222">
        <f t="shared" si="166"/>
        <v>-1.5707963250000001</v>
      </c>
      <c r="O222">
        <f t="shared" si="167"/>
        <v>24.060181764787917</v>
      </c>
      <c r="P222">
        <f t="shared" si="168"/>
        <v>1.5292219056221097</v>
      </c>
      <c r="Q222">
        <f t="shared" si="169"/>
        <v>20.370808069738995</v>
      </c>
      <c r="R222">
        <f t="shared" si="170"/>
        <v>1.5216867348546288</v>
      </c>
      <c r="S222">
        <f t="shared" si="171"/>
        <v>0.79339639395991213</v>
      </c>
      <c r="T222">
        <f t="shared" si="172"/>
        <v>-0.65442774285367389</v>
      </c>
      <c r="U222">
        <f t="shared" si="173"/>
        <v>0.85806361161960498</v>
      </c>
      <c r="V222">
        <f t="shared" si="174"/>
        <v>-0.53930925882216163</v>
      </c>
      <c r="X222">
        <f t="shared" si="192"/>
        <v>-10.650549484755036</v>
      </c>
      <c r="Y222">
        <f t="shared" si="175"/>
        <v>-124.59863841582623</v>
      </c>
      <c r="Z222">
        <f t="shared" si="193"/>
        <v>55.40136158417377</v>
      </c>
      <c r="AC222">
        <v>1</v>
      </c>
      <c r="AD222">
        <f t="shared" si="176"/>
        <v>24.039391559576401</v>
      </c>
      <c r="AE222">
        <f t="shared" si="177"/>
        <v>-1.7037757748158808E-3</v>
      </c>
      <c r="AF222">
        <f t="shared" si="178"/>
        <v>2.8467855957239998E-3</v>
      </c>
      <c r="AG222">
        <f t="shared" si="194"/>
        <v>6062.5942239047054</v>
      </c>
      <c r="AH222">
        <f t="shared" si="195"/>
        <v>-3979.6819220402981</v>
      </c>
      <c r="AJ222">
        <f t="shared" si="179"/>
        <v>22100</v>
      </c>
      <c r="AK222">
        <f t="shared" si="180"/>
        <v>16955.443195743781</v>
      </c>
      <c r="AL222">
        <v>1</v>
      </c>
      <c r="AM222">
        <f t="shared" si="181"/>
        <v>20.346248337571804</v>
      </c>
      <c r="AN222">
        <f t="shared" si="196"/>
        <v>884.59362341881342</v>
      </c>
      <c r="AO222">
        <f t="shared" si="197"/>
        <v>-1042.7183441678719</v>
      </c>
      <c r="AQ222">
        <f t="shared" si="182"/>
        <v>0.28292544914415052</v>
      </c>
      <c r="AR222">
        <f t="shared" si="183"/>
        <v>-53.1899844391003</v>
      </c>
      <c r="AT222">
        <f t="shared" si="209"/>
        <v>-209963.95731211526</v>
      </c>
      <c r="AU222">
        <f t="shared" si="210"/>
        <v>-323595.24572531471</v>
      </c>
      <c r="AV222">
        <f t="shared" si="198"/>
        <v>-2.1463609080183295</v>
      </c>
      <c r="AW222">
        <f t="shared" si="199"/>
        <v>-47969.634086706865</v>
      </c>
      <c r="AX222">
        <f t="shared" si="200"/>
        <v>-54762.626986553572</v>
      </c>
      <c r="AY222">
        <f t="shared" si="208"/>
        <v>-2.2901673394585127</v>
      </c>
      <c r="BA222">
        <f t="shared" si="184"/>
        <v>5.2985913585890678</v>
      </c>
      <c r="BB222">
        <f t="shared" si="201"/>
        <v>14.483208537283478</v>
      </c>
      <c r="BC222">
        <f t="shared" si="202"/>
        <v>0.14380643144018324</v>
      </c>
      <c r="BD222">
        <f t="shared" si="185"/>
        <v>-171.76049840222507</v>
      </c>
      <c r="BF222">
        <f t="shared" si="186"/>
        <v>-10.658737642138369</v>
      </c>
      <c r="BG222">
        <f t="shared" si="187"/>
        <v>-132.76723367432658</v>
      </c>
      <c r="BH222">
        <f t="shared" si="203"/>
        <v>47.232766325673424</v>
      </c>
      <c r="BI222">
        <f t="shared" si="204"/>
        <v>47.232766325673424</v>
      </c>
      <c r="BJ222">
        <f t="shared" si="188"/>
        <v>0</v>
      </c>
      <c r="BK222">
        <f t="shared" si="205"/>
        <v>0</v>
      </c>
      <c r="BM222">
        <f t="shared" si="206"/>
        <v>-25.141946179421847</v>
      </c>
      <c r="BN222">
        <f t="shared" si="189"/>
        <v>-141.00673527210151</v>
      </c>
      <c r="BQ222" s="56">
        <f t="shared" si="207"/>
        <v>31.385169337568616</v>
      </c>
      <c r="BR222" s="59"/>
      <c r="BS222" s="59"/>
      <c r="BT222" s="59">
        <v>13182.566999999999</v>
      </c>
      <c r="BU222" s="59">
        <v>-4.1132799999999996</v>
      </c>
      <c r="BV222" s="59">
        <v>-198.27600000000001</v>
      </c>
      <c r="BW222" s="61"/>
      <c r="BY222" s="59"/>
      <c r="BZ222" s="59"/>
      <c r="CA222" s="59"/>
      <c r="CC222" s="59"/>
    </row>
    <row r="223" spans="1:81" x14ac:dyDescent="0.25">
      <c r="A223">
        <f t="shared" si="190"/>
        <v>94500</v>
      </c>
      <c r="B223">
        <f t="shared" si="191"/>
        <v>94.5</v>
      </c>
      <c r="C223">
        <f t="shared" si="159"/>
        <v>1.2705458847522908</v>
      </c>
      <c r="D223">
        <f t="shared" si="160"/>
        <v>0.66476257049179188</v>
      </c>
      <c r="F223">
        <f t="shared" si="161"/>
        <v>2.8778912726158973E-3</v>
      </c>
      <c r="G223">
        <f t="shared" si="162"/>
        <v>1.8274586273366381E-2</v>
      </c>
      <c r="H223">
        <f t="shared" si="163"/>
        <v>-3.123318063726634</v>
      </c>
      <c r="J223">
        <f t="shared" si="164"/>
        <v>15</v>
      </c>
      <c r="M223">
        <f t="shared" si="165"/>
        <v>1.5810624039186118E-2</v>
      </c>
      <c r="N223">
        <f t="shared" si="166"/>
        <v>-1.5707963250000001</v>
      </c>
      <c r="O223">
        <f t="shared" si="167"/>
        <v>24.187940962041292</v>
      </c>
      <c r="P223">
        <f t="shared" si="168"/>
        <v>1.5294416247273621</v>
      </c>
      <c r="Q223">
        <f t="shared" si="169"/>
        <v>20.478903004693667</v>
      </c>
      <c r="R223">
        <f t="shared" si="170"/>
        <v>1.5219461596904937</v>
      </c>
      <c r="S223">
        <f t="shared" si="171"/>
        <v>0.7918331920495616</v>
      </c>
      <c r="T223">
        <f t="shared" si="172"/>
        <v>-0.65699153860699711</v>
      </c>
      <c r="U223">
        <f t="shared" si="173"/>
        <v>0.85685925702361665</v>
      </c>
      <c r="V223">
        <f t="shared" si="174"/>
        <v>-0.54164986962135331</v>
      </c>
      <c r="X223">
        <f t="shared" si="192"/>
        <v>-10.708924175019899</v>
      </c>
      <c r="Y223">
        <f t="shared" si="175"/>
        <v>-124.71030563690697</v>
      </c>
      <c r="Z223">
        <f t="shared" si="193"/>
        <v>55.289694363093034</v>
      </c>
      <c r="AC223">
        <v>1</v>
      </c>
      <c r="AD223">
        <f t="shared" si="176"/>
        <v>24.167260663616702</v>
      </c>
      <c r="AE223">
        <f t="shared" si="177"/>
        <v>-1.7219492545325395E-3</v>
      </c>
      <c r="AF223">
        <f t="shared" si="178"/>
        <v>2.8619280722970001E-3</v>
      </c>
      <c r="AG223">
        <f t="shared" si="194"/>
        <v>6045.5875847317348</v>
      </c>
      <c r="AH223">
        <f t="shared" si="195"/>
        <v>-3986.8909163681733</v>
      </c>
      <c r="AJ223">
        <f t="shared" si="179"/>
        <v>22100</v>
      </c>
      <c r="AK223">
        <f t="shared" si="180"/>
        <v>17045.631723380717</v>
      </c>
      <c r="AL223">
        <v>1</v>
      </c>
      <c r="AM223">
        <f t="shared" si="181"/>
        <v>20.454473062771651</v>
      </c>
      <c r="AN223">
        <f t="shared" si="196"/>
        <v>884.05403374664945</v>
      </c>
      <c r="AO223">
        <f t="shared" si="197"/>
        <v>-1037.2276959247426</v>
      </c>
      <c r="AQ223">
        <f t="shared" si="182"/>
        <v>0.27993953306085884</v>
      </c>
      <c r="AR223">
        <f t="shared" si="183"/>
        <v>-52.908571748502325</v>
      </c>
      <c r="AT223">
        <f t="shared" si="209"/>
        <v>-209248.30513656937</v>
      </c>
      <c r="AU223">
        <f t="shared" si="210"/>
        <v>-320979.49287012656</v>
      </c>
      <c r="AV223">
        <f t="shared" si="198"/>
        <v>-2.1485099425653837</v>
      </c>
      <c r="AW223">
        <f t="shared" si="199"/>
        <v>-47406.992577384692</v>
      </c>
      <c r="AX223">
        <f t="shared" si="200"/>
        <v>-54470.851606141267</v>
      </c>
      <c r="AY223">
        <f t="shared" si="208"/>
        <v>-2.2869687261885598</v>
      </c>
      <c r="BA223">
        <f t="shared" si="184"/>
        <v>5.3061020710984561</v>
      </c>
      <c r="BB223">
        <f t="shared" si="201"/>
        <v>14.495512001084709</v>
      </c>
      <c r="BC223">
        <f t="shared" si="202"/>
        <v>0.1384587836231761</v>
      </c>
      <c r="BD223">
        <f t="shared" si="185"/>
        <v>-172.06689605281204</v>
      </c>
      <c r="BF223">
        <f t="shared" si="186"/>
        <v>-10.721368097093313</v>
      </c>
      <c r="BG223">
        <f t="shared" si="187"/>
        <v>-132.93174967483444</v>
      </c>
      <c r="BH223">
        <f t="shared" si="203"/>
        <v>47.068250325165565</v>
      </c>
      <c r="BI223">
        <f t="shared" si="204"/>
        <v>47.068250325165565</v>
      </c>
      <c r="BJ223">
        <f t="shared" si="188"/>
        <v>0</v>
      </c>
      <c r="BK223">
        <f t="shared" si="205"/>
        <v>0</v>
      </c>
      <c r="BM223">
        <f t="shared" si="206"/>
        <v>-25.216880098178027</v>
      </c>
      <c r="BN223">
        <f t="shared" si="189"/>
        <v>-140.86485362202242</v>
      </c>
      <c r="BQ223" s="56">
        <f t="shared" si="207"/>
        <v>31.397472801369844</v>
      </c>
      <c r="BR223" s="59"/>
      <c r="BS223" s="59"/>
      <c r="BT223" s="59">
        <v>13489.629000000001</v>
      </c>
      <c r="BU223" s="59">
        <v>-3.8779599999999999</v>
      </c>
      <c r="BV223" s="59">
        <v>-197.578</v>
      </c>
      <c r="BW223" s="61"/>
      <c r="BY223" s="59"/>
      <c r="BZ223" s="59"/>
      <c r="CA223" s="59"/>
      <c r="CC223" s="59"/>
    </row>
    <row r="224" spans="1:81" x14ac:dyDescent="0.25">
      <c r="A224">
        <f t="shared" si="190"/>
        <v>95000</v>
      </c>
      <c r="B224">
        <f t="shared" si="191"/>
        <v>95</v>
      </c>
      <c r="C224">
        <f t="shared" si="159"/>
        <v>1.2731081776332256</v>
      </c>
      <c r="D224">
        <f t="shared" si="160"/>
        <v>0.66732627883948348</v>
      </c>
      <c r="F224">
        <f t="shared" si="161"/>
        <v>2.8475958629961174E-3</v>
      </c>
      <c r="G224">
        <f t="shared" si="162"/>
        <v>1.8177873058899181E-2</v>
      </c>
      <c r="H224">
        <f t="shared" si="163"/>
        <v>-3.1234147769411011</v>
      </c>
      <c r="J224">
        <f t="shared" si="164"/>
        <v>15</v>
      </c>
      <c r="M224">
        <f t="shared" si="165"/>
        <v>1.5727410228453562E-2</v>
      </c>
      <c r="N224">
        <f t="shared" si="166"/>
        <v>-1.5707963250000001</v>
      </c>
      <c r="O224">
        <f t="shared" si="167"/>
        <v>24.315701314732692</v>
      </c>
      <c r="P224">
        <f t="shared" si="168"/>
        <v>1.5296590349324084</v>
      </c>
      <c r="Q224">
        <f t="shared" si="169"/>
        <v>20.586999303430506</v>
      </c>
      <c r="R224">
        <f t="shared" si="170"/>
        <v>1.522202860215947</v>
      </c>
      <c r="S224">
        <f t="shared" si="171"/>
        <v>0.7902709740067354</v>
      </c>
      <c r="T224">
        <f t="shared" si="172"/>
        <v>-0.65954523479859151</v>
      </c>
      <c r="U224">
        <f t="shared" si="173"/>
        <v>0.85565361053142563</v>
      </c>
      <c r="V224">
        <f t="shared" si="174"/>
        <v>-0.54398390645009065</v>
      </c>
      <c r="X224">
        <f t="shared" si="192"/>
        <v>-10.767079937162977</v>
      </c>
      <c r="Y224">
        <f t="shared" si="175"/>
        <v>-124.82183915739361</v>
      </c>
      <c r="Z224">
        <f t="shared" si="193"/>
        <v>55.178160842606388</v>
      </c>
      <c r="AC224">
        <v>1</v>
      </c>
      <c r="AD224">
        <f t="shared" si="176"/>
        <v>24.295129767656999</v>
      </c>
      <c r="AE224">
        <f t="shared" si="177"/>
        <v>-1.7402191452821781E-3</v>
      </c>
      <c r="AF224">
        <f t="shared" si="178"/>
        <v>2.87707054887E-3</v>
      </c>
      <c r="AG224">
        <f t="shared" si="194"/>
        <v>6028.5866280133596</v>
      </c>
      <c r="AH224">
        <f t="shared" si="195"/>
        <v>-3994.014631853297</v>
      </c>
      <c r="AJ224">
        <f t="shared" si="179"/>
        <v>22100</v>
      </c>
      <c r="AK224">
        <f t="shared" si="180"/>
        <v>17135.820251017652</v>
      </c>
      <c r="AL224">
        <v>1</v>
      </c>
      <c r="AM224">
        <f t="shared" si="181"/>
        <v>20.562697787971505</v>
      </c>
      <c r="AN224">
        <f t="shared" si="196"/>
        <v>883.52291466756071</v>
      </c>
      <c r="AO224">
        <f t="shared" si="197"/>
        <v>-1031.7944320391352</v>
      </c>
      <c r="AQ224">
        <f t="shared" si="182"/>
        <v>0.27700063710146533</v>
      </c>
      <c r="AR224">
        <f t="shared" si="183"/>
        <v>-52.630121049278415</v>
      </c>
      <c r="AT224">
        <f t="shared" si="209"/>
        <v>-208535.5512102471</v>
      </c>
      <c r="AU224">
        <f t="shared" si="210"/>
        <v>-318391.58858602023</v>
      </c>
      <c r="AV224">
        <f t="shared" si="198"/>
        <v>-2.1506544158098801</v>
      </c>
      <c r="AW224">
        <f t="shared" si="199"/>
        <v>-46853.453206862148</v>
      </c>
      <c r="AX224">
        <f t="shared" si="200"/>
        <v>-54182.630990575861</v>
      </c>
      <c r="AY224">
        <f t="shared" si="208"/>
        <v>-2.2837811271522472</v>
      </c>
      <c r="BA224">
        <f t="shared" si="184"/>
        <v>5.3134121081294721</v>
      </c>
      <c r="BB224">
        <f t="shared" si="201"/>
        <v>14.507470021735866</v>
      </c>
      <c r="BC224">
        <f t="shared" si="202"/>
        <v>0.13312671134236709</v>
      </c>
      <c r="BD224">
        <f t="shared" si="185"/>
        <v>-172.37240129091018</v>
      </c>
      <c r="BF224">
        <f t="shared" si="186"/>
        <v>-10.783831575149023</v>
      </c>
      <c r="BG224">
        <f t="shared" si="187"/>
        <v>-133.09590650355801</v>
      </c>
      <c r="BH224">
        <f t="shared" si="203"/>
        <v>46.904093496441988</v>
      </c>
      <c r="BI224">
        <f t="shared" si="204"/>
        <v>46.904093496441988</v>
      </c>
      <c r="BJ224">
        <f t="shared" si="188"/>
        <v>0</v>
      </c>
      <c r="BK224">
        <f t="shared" si="205"/>
        <v>0</v>
      </c>
      <c r="BM224">
        <f t="shared" si="206"/>
        <v>-25.291301596884889</v>
      </c>
      <c r="BN224">
        <f t="shared" si="189"/>
        <v>-140.72350521264784</v>
      </c>
      <c r="BQ224" s="56">
        <f t="shared" si="207"/>
        <v>31.409430822021001</v>
      </c>
      <c r="BR224" s="59"/>
      <c r="BS224" s="59"/>
      <c r="BT224" s="59">
        <v>13803.843000000001</v>
      </c>
      <c r="BU224" s="59">
        <v>-4.0306600000000001</v>
      </c>
      <c r="BV224" s="59">
        <v>-195.64599999999999</v>
      </c>
      <c r="BW224" s="61"/>
      <c r="BY224" s="59"/>
      <c r="BZ224" s="59"/>
      <c r="CA224" s="59"/>
      <c r="CC224" s="59"/>
    </row>
    <row r="225" spans="1:81" x14ac:dyDescent="0.25">
      <c r="A225">
        <f t="shared" si="190"/>
        <v>95500</v>
      </c>
      <c r="B225">
        <f t="shared" si="191"/>
        <v>95.5</v>
      </c>
      <c r="C225">
        <f t="shared" si="159"/>
        <v>1.275678804499605</v>
      </c>
      <c r="D225">
        <f t="shared" si="160"/>
        <v>0.66987967162983064</v>
      </c>
      <c r="F225">
        <f t="shared" si="161"/>
        <v>2.8177767447487285E-3</v>
      </c>
      <c r="G225">
        <f t="shared" si="162"/>
        <v>1.8082180854923992E-2</v>
      </c>
      <c r="H225">
        <f t="shared" si="163"/>
        <v>-3.1235104691450761</v>
      </c>
      <c r="J225">
        <f t="shared" si="164"/>
        <v>15</v>
      </c>
      <c r="M225">
        <f t="shared" si="165"/>
        <v>1.5645067766524485E-2</v>
      </c>
      <c r="N225">
        <f t="shared" si="166"/>
        <v>-1.5707963250000001</v>
      </c>
      <c r="O225">
        <f t="shared" si="167"/>
        <v>24.443462804744495</v>
      </c>
      <c r="P225">
        <f t="shared" si="168"/>
        <v>1.5298741724211247</v>
      </c>
      <c r="Q225">
        <f t="shared" si="169"/>
        <v>20.695096944579273</v>
      </c>
      <c r="R225">
        <f t="shared" si="170"/>
        <v>1.5224568790869328</v>
      </c>
      <c r="S225">
        <f t="shared" si="171"/>
        <v>0.78870979496558635</v>
      </c>
      <c r="T225">
        <f t="shared" si="172"/>
        <v>-0.66208885787812843</v>
      </c>
      <c r="U225">
        <f t="shared" si="173"/>
        <v>0.85444671691346763</v>
      </c>
      <c r="V225">
        <f t="shared" si="174"/>
        <v>-0.54631137164223309</v>
      </c>
      <c r="X225">
        <f t="shared" si="192"/>
        <v>-10.825019129075704</v>
      </c>
      <c r="Y225">
        <f t="shared" si="175"/>
        <v>-124.93323540687518</v>
      </c>
      <c r="Z225">
        <f t="shared" si="193"/>
        <v>55.066764593124816</v>
      </c>
      <c r="AC225">
        <v>1</v>
      </c>
      <c r="AD225">
        <f t="shared" si="176"/>
        <v>24.422998871697303</v>
      </c>
      <c r="AE225">
        <f t="shared" si="177"/>
        <v>-1.7585854470647962E-3</v>
      </c>
      <c r="AF225">
        <f t="shared" si="178"/>
        <v>2.892213025443E-3</v>
      </c>
      <c r="AG225">
        <f t="shared" si="194"/>
        <v>6011.5920606799518</v>
      </c>
      <c r="AH225">
        <f t="shared" si="195"/>
        <v>-4001.0532453188043</v>
      </c>
      <c r="AJ225">
        <f t="shared" si="179"/>
        <v>22100</v>
      </c>
      <c r="AK225">
        <f t="shared" si="180"/>
        <v>17226.008778654588</v>
      </c>
      <c r="AL225">
        <v>1</v>
      </c>
      <c r="AM225">
        <f t="shared" si="181"/>
        <v>20.670922513171352</v>
      </c>
      <c r="AN225">
        <f t="shared" si="196"/>
        <v>883.00008994451923</v>
      </c>
      <c r="AO225">
        <f t="shared" si="197"/>
        <v>-1026.4176597119056</v>
      </c>
      <c r="AQ225">
        <f t="shared" si="182"/>
        <v>0.2741077791787731</v>
      </c>
      <c r="AR225">
        <f t="shared" si="183"/>
        <v>-52.354585823145662</v>
      </c>
      <c r="AT225">
        <f t="shared" si="209"/>
        <v>-207825.66136593709</v>
      </c>
      <c r="AU225">
        <f t="shared" si="210"/>
        <v>-315831.13229405996</v>
      </c>
      <c r="AV225">
        <f t="shared" si="198"/>
        <v>-2.1527942985544941</v>
      </c>
      <c r="AW225">
        <f t="shared" si="199"/>
        <v>-46308.8258290226</v>
      </c>
      <c r="AX225">
        <f t="shared" si="200"/>
        <v>-53897.897881173987</v>
      </c>
      <c r="AY225">
        <f t="shared" si="208"/>
        <v>-2.2806046290774336</v>
      </c>
      <c r="BA225">
        <f t="shared" si="184"/>
        <v>5.3205230443814786</v>
      </c>
      <c r="BB225">
        <f t="shared" si="201"/>
        <v>14.519086571174757</v>
      </c>
      <c r="BC225">
        <f t="shared" si="202"/>
        <v>0.12781033052293944</v>
      </c>
      <c r="BD225">
        <f t="shared" si="185"/>
        <v>-172.67700747449575</v>
      </c>
      <c r="BF225">
        <f t="shared" si="186"/>
        <v>-10.84612984162813</v>
      </c>
      <c r="BG225">
        <f t="shared" si="187"/>
        <v>-133.25969681607671</v>
      </c>
      <c r="BH225">
        <f t="shared" si="203"/>
        <v>46.740303183923288</v>
      </c>
      <c r="BI225">
        <f t="shared" si="204"/>
        <v>46.740303183923288</v>
      </c>
      <c r="BJ225">
        <f t="shared" si="188"/>
        <v>0</v>
      </c>
      <c r="BK225">
        <f t="shared" si="205"/>
        <v>0</v>
      </c>
      <c r="BM225">
        <f t="shared" si="206"/>
        <v>-25.365216412802887</v>
      </c>
      <c r="BN225">
        <f t="shared" si="189"/>
        <v>-140.58268934158099</v>
      </c>
      <c r="BQ225" s="56">
        <f t="shared" si="207"/>
        <v>31.421047371459892</v>
      </c>
      <c r="BR225" s="59"/>
      <c r="BS225" s="59"/>
      <c r="BT225" s="59">
        <v>14125.375</v>
      </c>
      <c r="BU225" s="59">
        <v>-4.0179099999999996</v>
      </c>
      <c r="BV225" s="59">
        <v>-192.58199999999999</v>
      </c>
      <c r="BW225" s="61"/>
      <c r="BY225" s="59"/>
      <c r="BZ225" s="59"/>
      <c r="CA225" s="59"/>
      <c r="CC225" s="59"/>
    </row>
    <row r="226" spans="1:81" x14ac:dyDescent="0.25">
      <c r="A226">
        <f t="shared" si="190"/>
        <v>96000</v>
      </c>
      <c r="B226">
        <f t="shared" si="191"/>
        <v>96</v>
      </c>
      <c r="C226">
        <f t="shared" si="159"/>
        <v>1.2782577150715067</v>
      </c>
      <c r="D226">
        <f t="shared" si="160"/>
        <v>0.67242277790282157</v>
      </c>
      <c r="F226">
        <f t="shared" si="161"/>
        <v>2.7884239772358742E-3</v>
      </c>
      <c r="G226">
        <f t="shared" si="162"/>
        <v>1.7987493535702455E-2</v>
      </c>
      <c r="H226">
        <f t="shared" si="163"/>
        <v>-3.1236051564642979</v>
      </c>
      <c r="J226">
        <f t="shared" si="164"/>
        <v>15</v>
      </c>
      <c r="M226">
        <f t="shared" si="165"/>
        <v>1.5563583038573836E-2</v>
      </c>
      <c r="N226">
        <f t="shared" si="166"/>
        <v>-1.5707963250000001</v>
      </c>
      <c r="O226">
        <f t="shared" si="167"/>
        <v>24.571225414335725</v>
      </c>
      <c r="P226">
        <f t="shared" si="168"/>
        <v>1.5300870726256597</v>
      </c>
      <c r="Q226">
        <f t="shared" si="169"/>
        <v>20.80319590721362</v>
      </c>
      <c r="R226">
        <f t="shared" si="170"/>
        <v>1.5227082580741909</v>
      </c>
      <c r="S226">
        <f t="shared" si="171"/>
        <v>0.7871497092062647</v>
      </c>
      <c r="T226">
        <f t="shared" si="172"/>
        <v>-0.66462243460841786</v>
      </c>
      <c r="U226">
        <f t="shared" si="173"/>
        <v>0.85323862058341671</v>
      </c>
      <c r="V226">
        <f t="shared" si="174"/>
        <v>-0.54863226780330865</v>
      </c>
      <c r="X226">
        <f t="shared" si="192"/>
        <v>-10.882744066218367</v>
      </c>
      <c r="Y226">
        <f t="shared" si="175"/>
        <v>-125.0444909047019</v>
      </c>
      <c r="Z226">
        <f t="shared" si="193"/>
        <v>54.955509095298098</v>
      </c>
      <c r="AC226">
        <v>1</v>
      </c>
      <c r="AD226">
        <f t="shared" si="176"/>
        <v>24.550867975737599</v>
      </c>
      <c r="AE226">
        <f t="shared" si="177"/>
        <v>-1.7770481598803937E-3</v>
      </c>
      <c r="AF226">
        <f t="shared" si="178"/>
        <v>2.9073555020159999E-3</v>
      </c>
      <c r="AG226">
        <f t="shared" si="194"/>
        <v>5994.6045811682307</v>
      </c>
      <c r="AH226">
        <f t="shared" si="195"/>
        <v>-4008.0069438001101</v>
      </c>
      <c r="AJ226">
        <f t="shared" si="179"/>
        <v>22100</v>
      </c>
      <c r="AK226">
        <f t="shared" si="180"/>
        <v>17316.19730629152</v>
      </c>
      <c r="AL226">
        <v>1</v>
      </c>
      <c r="AM226">
        <f t="shared" si="181"/>
        <v>20.779147238371202</v>
      </c>
      <c r="AN226">
        <f t="shared" si="196"/>
        <v>882.48538789667555</v>
      </c>
      <c r="AO226">
        <f t="shared" si="197"/>
        <v>-1021.0965045246239</v>
      </c>
      <c r="AQ226">
        <f t="shared" si="182"/>
        <v>0.27126000271260003</v>
      </c>
      <c r="AR226">
        <f t="shared" si="183"/>
        <v>-52.081920520819203</v>
      </c>
      <c r="AT226">
        <f t="shared" si="209"/>
        <v>-207118.60263894015</v>
      </c>
      <c r="AU226">
        <f t="shared" si="210"/>
        <v>-313297.73132458981</v>
      </c>
      <c r="AV226">
        <f t="shared" si="198"/>
        <v>-2.1549295625283706</v>
      </c>
      <c r="AW226">
        <f t="shared" si="199"/>
        <v>-45772.925200382313</v>
      </c>
      <c r="AX226">
        <f t="shared" si="200"/>
        <v>-53616.586697539235</v>
      </c>
      <c r="AY226">
        <f t="shared" si="208"/>
        <v>-2.2774393158432109</v>
      </c>
      <c r="BA226">
        <f t="shared" si="184"/>
        <v>5.3274364660242046</v>
      </c>
      <c r="BB226">
        <f t="shared" si="201"/>
        <v>14.530365582104402</v>
      </c>
      <c r="BC226">
        <f t="shared" si="202"/>
        <v>0.12250975331484026</v>
      </c>
      <c r="BD226">
        <f t="shared" si="185"/>
        <v>-172.98070817785009</v>
      </c>
      <c r="BF226">
        <f t="shared" si="186"/>
        <v>-10.90826461370475</v>
      </c>
      <c r="BG226">
        <f t="shared" si="187"/>
        <v>-133.42311344673999</v>
      </c>
      <c r="BH226">
        <f t="shared" si="203"/>
        <v>46.57688655326001</v>
      </c>
      <c r="BI226">
        <f t="shared" si="204"/>
        <v>46.57688655326001</v>
      </c>
      <c r="BJ226">
        <f t="shared" si="188"/>
        <v>0</v>
      </c>
      <c r="BK226">
        <f t="shared" si="205"/>
        <v>0</v>
      </c>
      <c r="BM226">
        <f t="shared" si="206"/>
        <v>-25.43863019580915</v>
      </c>
      <c r="BN226">
        <f t="shared" si="189"/>
        <v>-140.44240526888987</v>
      </c>
      <c r="BQ226" s="56">
        <f t="shared" si="207"/>
        <v>31.43232638238954</v>
      </c>
      <c r="BR226" s="59"/>
      <c r="BS226" s="59"/>
      <c r="BT226" s="59">
        <v>14454.397999999999</v>
      </c>
      <c r="BU226" s="59">
        <v>-3.9652699999999999</v>
      </c>
      <c r="BV226" s="59">
        <v>-192.25399999999999</v>
      </c>
      <c r="BW226" s="61"/>
      <c r="BY226" s="59"/>
      <c r="BZ226" s="59"/>
      <c r="CA226" s="59"/>
      <c r="CC226" s="59"/>
    </row>
    <row r="227" spans="1:81" x14ac:dyDescent="0.25">
      <c r="A227">
        <f t="shared" si="190"/>
        <v>96500</v>
      </c>
      <c r="B227">
        <f t="shared" si="191"/>
        <v>96.5</v>
      </c>
      <c r="C227">
        <f t="shared" si="159"/>
        <v>1.2808448593125767</v>
      </c>
      <c r="D227">
        <f t="shared" si="160"/>
        <v>0.67495562699715606</v>
      </c>
      <c r="F227">
        <f t="shared" si="161"/>
        <v>2.7595278780320736E-3</v>
      </c>
      <c r="G227">
        <f t="shared" si="162"/>
        <v>1.7893795314164178E-2</v>
      </c>
      <c r="H227">
        <f t="shared" si="163"/>
        <v>-3.123698854685836</v>
      </c>
      <c r="J227">
        <f t="shared" si="164"/>
        <v>15</v>
      </c>
      <c r="M227">
        <f t="shared" si="165"/>
        <v>1.5482942711949103E-2</v>
      </c>
      <c r="N227">
        <f t="shared" si="166"/>
        <v>-1.5707963250000001</v>
      </c>
      <c r="O227">
        <f t="shared" si="167"/>
        <v>24.698989126132357</v>
      </c>
      <c r="P227">
        <f t="shared" si="168"/>
        <v>1.5302977702458453</v>
      </c>
      <c r="Q227">
        <f t="shared" si="169"/>
        <v>20.911296170839677</v>
      </c>
      <c r="R227">
        <f t="shared" si="170"/>
        <v>1.5229570380860804</v>
      </c>
      <c r="S227">
        <f t="shared" si="171"/>
        <v>0.78559077016104661</v>
      </c>
      <c r="T227">
        <f t="shared" si="172"/>
        <v>-0.66714599205718617</v>
      </c>
      <c r="U227">
        <f t="shared" si="173"/>
        <v>0.85202936559745523</v>
      </c>
      <c r="V227">
        <f t="shared" si="174"/>
        <v>-0.55094659780723354</v>
      </c>
      <c r="X227">
        <f t="shared" si="192"/>
        <v>-10.94025702258466</v>
      </c>
      <c r="Y227">
        <f t="shared" si="175"/>
        <v>-125.15560225792203</v>
      </c>
      <c r="Z227">
        <f t="shared" si="193"/>
        <v>54.844397742077973</v>
      </c>
      <c r="AC227">
        <v>1</v>
      </c>
      <c r="AD227">
        <f t="shared" si="176"/>
        <v>24.6787370797779</v>
      </c>
      <c r="AE227">
        <f t="shared" si="177"/>
        <v>-1.7956072837289703E-3</v>
      </c>
      <c r="AF227">
        <f t="shared" si="178"/>
        <v>2.9224979785889998E-3</v>
      </c>
      <c r="AG227">
        <f t="shared" si="194"/>
        <v>5977.6248794375542</v>
      </c>
      <c r="AH227">
        <f t="shared" si="195"/>
        <v>-4014.8759242538713</v>
      </c>
      <c r="AJ227">
        <f t="shared" si="179"/>
        <v>22100</v>
      </c>
      <c r="AK227">
        <f t="shared" si="180"/>
        <v>17406.385833928456</v>
      </c>
      <c r="AL227">
        <v>1</v>
      </c>
      <c r="AM227">
        <f t="shared" si="181"/>
        <v>20.887371963571052</v>
      </c>
      <c r="AN227">
        <f t="shared" si="196"/>
        <v>881.97864125884894</v>
      </c>
      <c r="AO227">
        <f t="shared" si="197"/>
        <v>-1015.8301099701184</v>
      </c>
      <c r="AQ227">
        <f t="shared" si="182"/>
        <v>0.26845637583892618</v>
      </c>
      <c r="AR227">
        <f t="shared" si="183"/>
        <v>-51.812080536912752</v>
      </c>
      <c r="AT227">
        <f t="shared" si="209"/>
        <v>-206414.34322189519</v>
      </c>
      <c r="AU227">
        <f t="shared" si="210"/>
        <v>-310791.00071294006</v>
      </c>
      <c r="AV227">
        <f t="shared" si="198"/>
        <v>-2.1570601803669427</v>
      </c>
      <c r="AW227">
        <f t="shared" si="199"/>
        <v>-45245.570829255783</v>
      </c>
      <c r="AX227">
        <f t="shared" si="200"/>
        <v>-53338.63348600173</v>
      </c>
      <c r="AY227">
        <f t="shared" si="208"/>
        <v>-2.2742852685146526</v>
      </c>
      <c r="BA227">
        <f t="shared" si="184"/>
        <v>5.3341539700842429</v>
      </c>
      <c r="BB227">
        <f t="shared" si="201"/>
        <v>14.541310948460273</v>
      </c>
      <c r="BC227">
        <f t="shared" si="202"/>
        <v>0.11722508814770993</v>
      </c>
      <c r="BD227">
        <f t="shared" si="185"/>
        <v>-173.28349718841244</v>
      </c>
      <c r="BF227">
        <f t="shared" si="186"/>
        <v>-10.970237561682048</v>
      </c>
      <c r="BG227">
        <f t="shared" si="187"/>
        <v>-133.58614940653572</v>
      </c>
      <c r="BH227">
        <f t="shared" si="203"/>
        <v>46.413850593464275</v>
      </c>
      <c r="BI227">
        <f t="shared" si="204"/>
        <v>46.413850593464275</v>
      </c>
      <c r="BJ227">
        <f t="shared" si="188"/>
        <v>0</v>
      </c>
      <c r="BK227">
        <f t="shared" si="205"/>
        <v>0</v>
      </c>
      <c r="BM227">
        <f t="shared" si="206"/>
        <v>-25.511548510142319</v>
      </c>
      <c r="BN227">
        <f t="shared" si="189"/>
        <v>-140.30265221812328</v>
      </c>
      <c r="BQ227" s="56">
        <f t="shared" si="207"/>
        <v>31.443271748745406</v>
      </c>
      <c r="BR227" s="59"/>
      <c r="BS227" s="59"/>
      <c r="BT227" s="59">
        <v>14791.084000000001</v>
      </c>
      <c r="BU227" s="59">
        <v>-3.9583900000000001</v>
      </c>
      <c r="BV227" s="59">
        <v>-191.02600000000001</v>
      </c>
      <c r="BW227" s="61"/>
      <c r="BY227" s="59"/>
      <c r="BZ227" s="59"/>
      <c r="CA227" s="59"/>
      <c r="CC227" s="59"/>
    </row>
    <row r="228" spans="1:81" x14ac:dyDescent="0.25">
      <c r="A228">
        <f t="shared" si="190"/>
        <v>97000</v>
      </c>
      <c r="B228">
        <f t="shared" si="191"/>
        <v>97</v>
      </c>
      <c r="C228">
        <f t="shared" si="159"/>
        <v>1.2834401874308046</v>
      </c>
      <c r="D228">
        <f t="shared" si="160"/>
        <v>0.67747824854177652</v>
      </c>
      <c r="F228">
        <f t="shared" si="161"/>
        <v>2.7310790149104617E-3</v>
      </c>
      <c r="G228">
        <f t="shared" si="162"/>
        <v>1.780107073304062E-2</v>
      </c>
      <c r="H228">
        <f t="shared" si="163"/>
        <v>-3.1237915792669595</v>
      </c>
      <c r="J228">
        <f t="shared" si="164"/>
        <v>15</v>
      </c>
      <c r="M228">
        <f t="shared" si="165"/>
        <v>1.5403133728897818E-2</v>
      </c>
      <c r="N228">
        <f t="shared" si="166"/>
        <v>-1.5707963250000001</v>
      </c>
      <c r="O228">
        <f t="shared" si="167"/>
        <v>24.826753923117845</v>
      </c>
      <c r="P228">
        <f t="shared" si="168"/>
        <v>1.5305062992680081</v>
      </c>
      <c r="Q228">
        <f t="shared" si="169"/>
        <v>21.019397715384894</v>
      </c>
      <c r="R228">
        <f t="shared" si="170"/>
        <v>1.5232032591907059</v>
      </c>
      <c r="S228">
        <f t="shared" si="171"/>
        <v>0.78403303042054784</v>
      </c>
      <c r="T228">
        <f t="shared" si="172"/>
        <v>-0.66965955758895312</v>
      </c>
      <c r="U228">
        <f t="shared" si="173"/>
        <v>0.8508189956536244</v>
      </c>
      <c r="V228">
        <f t="shared" si="174"/>
        <v>-0.55325436479303736</v>
      </c>
      <c r="X228">
        <f t="shared" si="192"/>
        <v>-10.997560231640101</v>
      </c>
      <c r="Y228">
        <f t="shared" si="175"/>
        <v>-125.26656615927679</v>
      </c>
      <c r="Z228">
        <f t="shared" si="193"/>
        <v>54.733433840723208</v>
      </c>
      <c r="AC228">
        <v>1</v>
      </c>
      <c r="AD228">
        <f t="shared" si="176"/>
        <v>24.8066061838182</v>
      </c>
      <c r="AE228">
        <f t="shared" si="177"/>
        <v>-1.8142628186105273E-3</v>
      </c>
      <c r="AF228">
        <f t="shared" si="178"/>
        <v>2.9376404551620001E-3</v>
      </c>
      <c r="AG228">
        <f t="shared" si="194"/>
        <v>5960.6536369877649</v>
      </c>
      <c r="AH228">
        <f t="shared" si="195"/>
        <v>-4021.6603932733506</v>
      </c>
      <c r="AJ228">
        <f t="shared" si="179"/>
        <v>22100</v>
      </c>
      <c r="AK228">
        <f t="shared" si="180"/>
        <v>17496.574361565392</v>
      </c>
      <c r="AL228">
        <v>1</v>
      </c>
      <c r="AM228">
        <f t="shared" si="181"/>
        <v>20.995596688770902</v>
      </c>
      <c r="AN228">
        <f t="shared" si="196"/>
        <v>881.47968704604193</v>
      </c>
      <c r="AO228">
        <f t="shared" si="197"/>
        <v>-1010.6176369972985</v>
      </c>
      <c r="AQ228">
        <f t="shared" si="182"/>
        <v>0.26569599064750116</v>
      </c>
      <c r="AR228">
        <f t="shared" si="183"/>
        <v>-51.545022185615217</v>
      </c>
      <c r="AT228">
        <f t="shared" si="209"/>
        <v>-205712.8524212988</v>
      </c>
      <c r="AU228">
        <f t="shared" si="210"/>
        <v>-308310.56300154096</v>
      </c>
      <c r="AV228">
        <f t="shared" si="198"/>
        <v>-2.159186125592282</v>
      </c>
      <c r="AW228">
        <f t="shared" si="199"/>
        <v>-44726.586830309527</v>
      </c>
      <c r="AX228">
        <f t="shared" si="200"/>
        <v>-53063.975869936185</v>
      </c>
      <c r="AY228">
        <f t="shared" si="208"/>
        <v>-2.2711425653774651</v>
      </c>
      <c r="BA228">
        <f t="shared" si="184"/>
        <v>5.3406771638373574</v>
      </c>
      <c r="BB228">
        <f t="shared" si="201"/>
        <v>14.551926525862683</v>
      </c>
      <c r="BC228">
        <f t="shared" si="202"/>
        <v>0.1119564397851831</v>
      </c>
      <c r="BD228">
        <f t="shared" si="185"/>
        <v>-173.58536850366869</v>
      </c>
      <c r="BF228">
        <f t="shared" si="186"/>
        <v>-11.032050310240084</v>
      </c>
      <c r="BG228">
        <f t="shared" si="187"/>
        <v>-133.74879788097289</v>
      </c>
      <c r="BH228">
        <f t="shared" si="203"/>
        <v>46.251202119027113</v>
      </c>
      <c r="BI228">
        <f t="shared" si="204"/>
        <v>46.251202119027113</v>
      </c>
      <c r="BJ228">
        <f t="shared" si="188"/>
        <v>0</v>
      </c>
      <c r="BK228">
        <f t="shared" si="205"/>
        <v>0</v>
      </c>
      <c r="BM228">
        <f t="shared" si="206"/>
        <v>-25.583976836102771</v>
      </c>
      <c r="BN228">
        <f t="shared" si="189"/>
        <v>-140.1634293773042</v>
      </c>
      <c r="BQ228" s="56">
        <f t="shared" si="207"/>
        <v>31.453887326147822</v>
      </c>
      <c r="BR228" s="59"/>
      <c r="BS228" s="59"/>
      <c r="BT228" s="59">
        <v>15135.611999999999</v>
      </c>
      <c r="BU228" s="59">
        <v>-3.8792200000000001</v>
      </c>
      <c r="BV228" s="59">
        <v>-189.453</v>
      </c>
      <c r="BW228" s="61"/>
      <c r="BY228" s="59"/>
      <c r="BZ228" s="59"/>
      <c r="CA228" s="59"/>
      <c r="CC228" s="59"/>
    </row>
    <row r="229" spans="1:81" x14ac:dyDescent="0.25">
      <c r="A229">
        <f t="shared" si="190"/>
        <v>97500</v>
      </c>
      <c r="B229">
        <f t="shared" si="191"/>
        <v>97.5</v>
      </c>
      <c r="C229">
        <f t="shared" si="159"/>
        <v>1.2860436498792416</v>
      </c>
      <c r="D229">
        <f t="shared" si="160"/>
        <v>0.67999067244750577</v>
      </c>
      <c r="F229">
        <f t="shared" si="161"/>
        <v>2.7030681981179403E-3</v>
      </c>
      <c r="G229">
        <f t="shared" si="162"/>
        <v>1.7709304656276698E-2</v>
      </c>
      <c r="H229">
        <f t="shared" si="163"/>
        <v>-3.1238833453437236</v>
      </c>
      <c r="J229">
        <f t="shared" si="164"/>
        <v>15</v>
      </c>
      <c r="M229">
        <f t="shared" si="165"/>
        <v>1.5324143299518854E-2</v>
      </c>
      <c r="N229">
        <f t="shared" si="166"/>
        <v>-1.5707963250000001</v>
      </c>
      <c r="O229">
        <f t="shared" si="167"/>
        <v>24.954519788623987</v>
      </c>
      <c r="P229">
        <f t="shared" si="168"/>
        <v>1.5307126929832047</v>
      </c>
      <c r="Q229">
        <f t="shared" si="169"/>
        <v>21.127500521187322</v>
      </c>
      <c r="R229">
        <f t="shared" si="170"/>
        <v>1.5234469606373635</v>
      </c>
      <c r="S229">
        <f t="shared" si="171"/>
        <v>0.7824765417400189</v>
      </c>
      <c r="T229">
        <f t="shared" si="172"/>
        <v>-0.67216315885700673</v>
      </c>
      <c r="U229">
        <f t="shared" si="173"/>
        <v>0.84960755409124622</v>
      </c>
      <c r="V229">
        <f t="shared" si="174"/>
        <v>-0.55555557216159634</v>
      </c>
      <c r="X229">
        <f t="shared" si="192"/>
        <v>-11.054655887235118</v>
      </c>
      <c r="Y229">
        <f t="shared" si="175"/>
        <v>-125.3773793852508</v>
      </c>
      <c r="Z229">
        <f t="shared" si="193"/>
        <v>54.622620614749195</v>
      </c>
      <c r="AC229">
        <v>1</v>
      </c>
      <c r="AD229">
        <f t="shared" si="176"/>
        <v>24.934475287858501</v>
      </c>
      <c r="AE229">
        <f t="shared" si="177"/>
        <v>-1.8330147645250639E-3</v>
      </c>
      <c r="AF229">
        <f t="shared" si="178"/>
        <v>2.9527829317350001E-3</v>
      </c>
      <c r="AG229">
        <f t="shared" si="194"/>
        <v>5943.6915268786197</v>
      </c>
      <c r="AH229">
        <f t="shared" si="195"/>
        <v>-4028.3605668100454</v>
      </c>
      <c r="AJ229">
        <f t="shared" si="179"/>
        <v>22100</v>
      </c>
      <c r="AK229">
        <f t="shared" si="180"/>
        <v>17586.762889202328</v>
      </c>
      <c r="AL229">
        <v>1</v>
      </c>
      <c r="AM229">
        <f t="shared" si="181"/>
        <v>21.103821413970753</v>
      </c>
      <c r="AN229">
        <f t="shared" si="196"/>
        <v>880.98836642277558</v>
      </c>
      <c r="AO229">
        <f t="shared" si="197"/>
        <v>-1005.458263569754</v>
      </c>
      <c r="AQ229">
        <f t="shared" si="182"/>
        <v>0.26297796244674698</v>
      </c>
      <c r="AR229">
        <f t="shared" si="183"/>
        <v>-51.280702677115656</v>
      </c>
      <c r="AT229">
        <f t="shared" si="209"/>
        <v>-205014.10061565251</v>
      </c>
      <c r="AU229">
        <f t="shared" si="210"/>
        <v>-305856.04804821458</v>
      </c>
      <c r="AV229">
        <f t="shared" si="198"/>
        <v>-2.1613073725939507</v>
      </c>
      <c r="AW229">
        <f t="shared" si="199"/>
        <v>-44215.801784285686</v>
      </c>
      <c r="AX229">
        <f t="shared" si="200"/>
        <v>-52792.553001879387</v>
      </c>
      <c r="AY229">
        <f t="shared" si="208"/>
        <v>-2.2680112819725613</v>
      </c>
      <c r="BA229">
        <f t="shared" si="184"/>
        <v>5.3470076642069442</v>
      </c>
      <c r="BB229">
        <f t="shared" si="201"/>
        <v>14.56221613205506</v>
      </c>
      <c r="BC229">
        <f t="shared" si="202"/>
        <v>0.10670390937861063</v>
      </c>
      <c r="BD229">
        <f t="shared" si="185"/>
        <v>-173.88631632807329</v>
      </c>
      <c r="BF229">
        <f t="shared" si="186"/>
        <v>-11.093704439654568</v>
      </c>
      <c r="BG229">
        <f t="shared" si="187"/>
        <v>-133.91105222797401</v>
      </c>
      <c r="BH229">
        <f t="shared" si="203"/>
        <v>46.088947772025989</v>
      </c>
      <c r="BI229">
        <f t="shared" si="204"/>
        <v>46.088947772025989</v>
      </c>
      <c r="BJ229">
        <f t="shared" si="188"/>
        <v>0</v>
      </c>
      <c r="BK229">
        <f t="shared" si="205"/>
        <v>0</v>
      </c>
      <c r="BM229">
        <f t="shared" si="206"/>
        <v>-25.655920571709629</v>
      </c>
      <c r="BN229">
        <f t="shared" si="189"/>
        <v>-140.02473589990072</v>
      </c>
      <c r="BQ229" s="56">
        <f t="shared" si="207"/>
        <v>31.464176932340195</v>
      </c>
      <c r="BR229" s="59"/>
      <c r="BS229" s="59"/>
      <c r="BT229" s="59">
        <v>15488.165999999999</v>
      </c>
      <c r="BU229" s="59">
        <v>-3.9822899999999999</v>
      </c>
      <c r="BV229" s="59">
        <v>-188.48099999999999</v>
      </c>
      <c r="BW229" s="61"/>
      <c r="BY229" s="59"/>
      <c r="BZ229" s="59"/>
      <c r="CA229" s="59"/>
      <c r="CC229" s="59"/>
    </row>
    <row r="230" spans="1:81" x14ac:dyDescent="0.25">
      <c r="A230">
        <f t="shared" si="190"/>
        <v>98000</v>
      </c>
      <c r="B230">
        <f t="shared" si="191"/>
        <v>98</v>
      </c>
      <c r="C230">
        <f t="shared" si="159"/>
        <v>1.2886551973566713</v>
      </c>
      <c r="D230">
        <f t="shared" si="160"/>
        <v>0.6824929288987952</v>
      </c>
      <c r="F230">
        <f t="shared" si="161"/>
        <v>2.6754864729273812E-3</v>
      </c>
      <c r="G230">
        <f t="shared" si="162"/>
        <v>1.7618482260710035E-2</v>
      </c>
      <c r="H230">
        <f t="shared" si="163"/>
        <v>-3.12397416773929</v>
      </c>
      <c r="J230">
        <f t="shared" si="164"/>
        <v>15</v>
      </c>
      <c r="M230">
        <f t="shared" si="165"/>
        <v>1.5245958894929475E-2</v>
      </c>
      <c r="N230">
        <f t="shared" si="166"/>
        <v>-1.5707963250000001</v>
      </c>
      <c r="O230">
        <f t="shared" si="167"/>
        <v>25.082286706322076</v>
      </c>
      <c r="P230">
        <f t="shared" si="168"/>
        <v>1.5309169840049013</v>
      </c>
      <c r="Q230">
        <f t="shared" si="169"/>
        <v>21.235604568985138</v>
      </c>
      <c r="R230">
        <f t="shared" si="170"/>
        <v>1.5236881808773357</v>
      </c>
      <c r="S230">
        <f t="shared" si="171"/>
        <v>0.78092135504571647</v>
      </c>
      <c r="T230">
        <f t="shared" si="172"/>
        <v>-0.6746568237954772</v>
      </c>
      <c r="U230">
        <f t="shared" si="173"/>
        <v>0.84839508389042284</v>
      </c>
      <c r="V230">
        <f t="shared" si="174"/>
        <v>-0.55785022357237501</v>
      </c>
      <c r="X230">
        <f t="shared" si="192"/>
        <v>-11.111546144493726</v>
      </c>
      <c r="Y230">
        <f t="shared" si="175"/>
        <v>-125.48803879417655</v>
      </c>
      <c r="Z230">
        <f t="shared" si="193"/>
        <v>54.511961205823454</v>
      </c>
      <c r="AC230">
        <v>1</v>
      </c>
      <c r="AD230">
        <f t="shared" si="176"/>
        <v>25.062344391898801</v>
      </c>
      <c r="AE230">
        <f t="shared" si="177"/>
        <v>-1.8518631214725799E-3</v>
      </c>
      <c r="AF230">
        <f t="shared" si="178"/>
        <v>2.967925408308E-3</v>
      </c>
      <c r="AG230">
        <f t="shared" si="194"/>
        <v>5926.7392137507268</v>
      </c>
      <c r="AH230">
        <f t="shared" si="195"/>
        <v>-4034.9766699013999</v>
      </c>
      <c r="AJ230">
        <f t="shared" si="179"/>
        <v>22100</v>
      </c>
      <c r="AK230">
        <f t="shared" si="180"/>
        <v>17676.951416839263</v>
      </c>
      <c r="AL230">
        <v>1</v>
      </c>
      <c r="AM230">
        <f t="shared" si="181"/>
        <v>21.212046139170603</v>
      </c>
      <c r="AN230">
        <f t="shared" si="196"/>
        <v>880.50452457705239</v>
      </c>
      <c r="AO230">
        <f t="shared" si="197"/>
        <v>-1000.3511842376482</v>
      </c>
      <c r="AQ230">
        <f t="shared" si="182"/>
        <v>0.26030142905484549</v>
      </c>
      <c r="AR230">
        <f t="shared" si="183"/>
        <v>-51.019080094749718</v>
      </c>
      <c r="AT230">
        <f t="shared" si="209"/>
        <v>-204318.05921517129</v>
      </c>
      <c r="AU230">
        <f t="shared" si="210"/>
        <v>-303427.09284042061</v>
      </c>
      <c r="AV230">
        <f t="shared" si="198"/>
        <v>-2.1634238966103521</v>
      </c>
      <c r="AW230">
        <f t="shared" si="199"/>
        <v>-43713.048602686409</v>
      </c>
      <c r="AX230">
        <f t="shared" si="200"/>
        <v>-52524.305517372195</v>
      </c>
      <c r="AY230">
        <f t="shared" si="208"/>
        <v>-2.2648914911305544</v>
      </c>
      <c r="BA230">
        <f t="shared" si="184"/>
        <v>5.3531470971688542</v>
      </c>
      <c r="BB230">
        <f t="shared" si="201"/>
        <v>14.572183547328684</v>
      </c>
      <c r="BC230">
        <f t="shared" si="202"/>
        <v>0.10146759452020238</v>
      </c>
      <c r="BD230">
        <f t="shared" si="185"/>
        <v>-174.18633507000456</v>
      </c>
      <c r="BF230">
        <f t="shared" si="186"/>
        <v>-11.155201486987261</v>
      </c>
      <c r="BG230">
        <f t="shared" si="187"/>
        <v>-134.07290597578034</v>
      </c>
      <c r="BH230">
        <f t="shared" si="203"/>
        <v>45.927094024219656</v>
      </c>
      <c r="BI230">
        <f t="shared" si="204"/>
        <v>45.927094024219656</v>
      </c>
      <c r="BJ230">
        <f t="shared" si="188"/>
        <v>0</v>
      </c>
      <c r="BK230">
        <f t="shared" si="205"/>
        <v>0</v>
      </c>
      <c r="BM230">
        <f t="shared" si="206"/>
        <v>-25.727385034315947</v>
      </c>
      <c r="BN230">
        <f t="shared" si="189"/>
        <v>-139.88657090577578</v>
      </c>
      <c r="BQ230" s="56">
        <f t="shared" si="207"/>
        <v>31.474144347613823</v>
      </c>
      <c r="BR230" s="59"/>
      <c r="BS230" s="59"/>
      <c r="BT230" s="59">
        <v>15848.932000000001</v>
      </c>
      <c r="BU230" s="59">
        <v>-3.9450400000000001</v>
      </c>
      <c r="BV230" s="59">
        <v>-186.14400000000001</v>
      </c>
      <c r="BW230" s="61"/>
      <c r="BY230" s="59"/>
      <c r="BZ230" s="59"/>
      <c r="CA230" s="59"/>
      <c r="CC230" s="59"/>
    </row>
    <row r="231" spans="1:81" x14ac:dyDescent="0.25">
      <c r="A231">
        <f t="shared" si="190"/>
        <v>98500</v>
      </c>
      <c r="B231">
        <f t="shared" si="191"/>
        <v>98.5</v>
      </c>
      <c r="C231">
        <f t="shared" si="159"/>
        <v>1.2912747808082292</v>
      </c>
      <c r="D231">
        <f t="shared" si="160"/>
        <v>0.68498504834558116</v>
      </c>
      <c r="F231">
        <f t="shared" si="161"/>
        <v>2.6483251124555865E-3</v>
      </c>
      <c r="G231">
        <f t="shared" si="162"/>
        <v>1.7528589028008121E-2</v>
      </c>
      <c r="H231">
        <f t="shared" si="163"/>
        <v>-3.1240640609719921</v>
      </c>
      <c r="J231">
        <f t="shared" si="164"/>
        <v>15</v>
      </c>
      <c r="M231">
        <f t="shared" si="165"/>
        <v>1.5168568240640492E-2</v>
      </c>
      <c r="N231">
        <f t="shared" si="166"/>
        <v>-1.5707963250000001</v>
      </c>
      <c r="O231">
        <f t="shared" si="167"/>
        <v>25.21005466021429</v>
      </c>
      <c r="P231">
        <f t="shared" si="168"/>
        <v>1.531119204286117</v>
      </c>
      <c r="Q231">
        <f t="shared" si="169"/>
        <v>21.343709839906548</v>
      </c>
      <c r="R231">
        <f t="shared" si="170"/>
        <v>1.5239269575840548</v>
      </c>
      <c r="S231">
        <f t="shared" si="171"/>
        <v>0.7793675204413465</v>
      </c>
      <c r="T231">
        <f t="shared" si="172"/>
        <v>-0.67714058061151039</v>
      </c>
      <c r="U231">
        <f t="shared" si="173"/>
        <v>0.84718162767160787</v>
      </c>
      <c r="V231">
        <f t="shared" si="174"/>
        <v>-0.56013832294017474</v>
      </c>
      <c r="X231">
        <f t="shared" si="192"/>
        <v>-11.168233120678472</v>
      </c>
      <c r="Y231">
        <f t="shared" si="175"/>
        <v>-125.59854132439047</v>
      </c>
      <c r="Z231">
        <f t="shared" si="193"/>
        <v>54.401458675609533</v>
      </c>
      <c r="AC231">
        <v>1</v>
      </c>
      <c r="AD231">
        <f t="shared" si="176"/>
        <v>25.190213495939098</v>
      </c>
      <c r="AE231">
        <f t="shared" si="177"/>
        <v>-1.8708078894530758E-3</v>
      </c>
      <c r="AF231">
        <f t="shared" si="178"/>
        <v>2.9830678848809999E-3</v>
      </c>
      <c r="AG231">
        <f t="shared" si="194"/>
        <v>5909.7973538479555</v>
      </c>
      <c r="AH231">
        <f t="shared" si="195"/>
        <v>-4041.5089364044443</v>
      </c>
      <c r="AJ231">
        <f t="shared" si="179"/>
        <v>22100</v>
      </c>
      <c r="AK231">
        <f t="shared" si="180"/>
        <v>17767.139944476199</v>
      </c>
      <c r="AL231">
        <v>1</v>
      </c>
      <c r="AM231">
        <f t="shared" si="181"/>
        <v>21.320270864370453</v>
      </c>
      <c r="AN231">
        <f t="shared" si="196"/>
        <v>880.02801059876037</v>
      </c>
      <c r="AO231">
        <f t="shared" si="197"/>
        <v>-995.2956097224436</v>
      </c>
      <c r="AQ231">
        <f t="shared" si="182"/>
        <v>0.25766555011594949</v>
      </c>
      <c r="AR231">
        <f t="shared" si="183"/>
        <v>-50.760113372842049</v>
      </c>
      <c r="AT231">
        <f t="shared" si="209"/>
        <v>-203624.70062299087</v>
      </c>
      <c r="AU231">
        <f t="shared" si="210"/>
        <v>-301023.34131524136</v>
      </c>
      <c r="AV231">
        <f t="shared" si="198"/>
        <v>-2.1655356737105524</v>
      </c>
      <c r="AW231">
        <f t="shared" si="199"/>
        <v>-43218.164397219749</v>
      </c>
      <c r="AX231">
        <f t="shared" si="200"/>
        <v>-52259.175490454167</v>
      </c>
      <c r="AY231">
        <f t="shared" si="208"/>
        <v>-2.2617832630061772</v>
      </c>
      <c r="BA231">
        <f t="shared" si="184"/>
        <v>5.359097097162838</v>
      </c>
      <c r="BB231">
        <f t="shared" si="201"/>
        <v>14.581832514934622</v>
      </c>
      <c r="BC231">
        <f t="shared" si="202"/>
        <v>9.6247589295624714E-2</v>
      </c>
      <c r="BD231">
        <f t="shared" si="185"/>
        <v>-174.48541933875086</v>
      </c>
      <c r="BF231">
        <f t="shared" si="186"/>
        <v>-11.216542947248698</v>
      </c>
      <c r="BG231">
        <f t="shared" si="187"/>
        <v>-134.23435282086666</v>
      </c>
      <c r="BH231">
        <f t="shared" si="203"/>
        <v>45.765647179133339</v>
      </c>
      <c r="BI231">
        <f t="shared" si="204"/>
        <v>45.765647179133339</v>
      </c>
      <c r="BJ231">
        <f t="shared" si="188"/>
        <v>0</v>
      </c>
      <c r="BK231">
        <f t="shared" si="205"/>
        <v>0</v>
      </c>
      <c r="BM231">
        <f t="shared" si="206"/>
        <v>-25.798375462183319</v>
      </c>
      <c r="BN231">
        <f t="shared" si="189"/>
        <v>-139.74893348211583</v>
      </c>
      <c r="BQ231" s="56">
        <f t="shared" si="207"/>
        <v>31.48379331521976</v>
      </c>
      <c r="BR231" s="59"/>
      <c r="BS231" s="59"/>
      <c r="BT231" s="59">
        <v>16218.101000000001</v>
      </c>
      <c r="BU231" s="59">
        <v>-3.9639700000000002</v>
      </c>
      <c r="BV231" s="59">
        <v>-185.626</v>
      </c>
      <c r="BW231" s="61"/>
      <c r="BY231" s="59"/>
      <c r="BZ231" s="59"/>
      <c r="CA231" s="59"/>
      <c r="CC231" s="59"/>
    </row>
    <row r="232" spans="1:81" x14ac:dyDescent="0.25">
      <c r="A232">
        <f t="shared" si="190"/>
        <v>99000</v>
      </c>
      <c r="B232">
        <f t="shared" si="191"/>
        <v>99</v>
      </c>
      <c r="C232">
        <f t="shared" si="159"/>
        <v>1.2939023514259713</v>
      </c>
      <c r="D232">
        <f t="shared" si="160"/>
        <v>0.68746706149525072</v>
      </c>
      <c r="F232">
        <f t="shared" si="161"/>
        <v>2.6215756107361974E-3</v>
      </c>
      <c r="G232">
        <f t="shared" si="162"/>
        <v>1.7439610736854079E-2</v>
      </c>
      <c r="H232">
        <f t="shared" si="163"/>
        <v>-3.1241530392631462</v>
      </c>
      <c r="J232">
        <f t="shared" si="164"/>
        <v>15</v>
      </c>
      <c r="M232">
        <f t="shared" si="165"/>
        <v>1.5091959310132205E-2</v>
      </c>
      <c r="N232">
        <f t="shared" si="166"/>
        <v>-1.5707963250000001</v>
      </c>
      <c r="O232">
        <f t="shared" si="167"/>
        <v>25.337823634625362</v>
      </c>
      <c r="P232">
        <f t="shared" si="168"/>
        <v>1.5313193851360485</v>
      </c>
      <c r="Q232">
        <f t="shared" si="169"/>
        <v>21.451816315459958</v>
      </c>
      <c r="R232">
        <f t="shared" si="170"/>
        <v>1.5241633276726587</v>
      </c>
      <c r="S232">
        <f t="shared" si="171"/>
        <v>0.7778150872145756</v>
      </c>
      <c r="T232">
        <f t="shared" si="172"/>
        <v>-0.67961445777753926</v>
      </c>
      <c r="U232">
        <f t="shared" si="173"/>
        <v>0.84596722769525001</v>
      </c>
      <c r="V232">
        <f t="shared" si="174"/>
        <v>-0.5624198744318919</v>
      </c>
      <c r="X232">
        <f t="shared" si="192"/>
        <v>-11.224718896032467</v>
      </c>
      <c r="Y232">
        <f t="shared" si="175"/>
        <v>-125.70888399243979</v>
      </c>
      <c r="Z232">
        <f t="shared" si="193"/>
        <v>54.291116007560206</v>
      </c>
      <c r="AC232">
        <v>1</v>
      </c>
      <c r="AD232">
        <f t="shared" si="176"/>
        <v>25.318082599979398</v>
      </c>
      <c r="AE232">
        <f t="shared" si="177"/>
        <v>-1.8898490684665511E-3</v>
      </c>
      <c r="AF232">
        <f t="shared" si="178"/>
        <v>2.9982103614539998E-3</v>
      </c>
      <c r="AG232">
        <f t="shared" si="194"/>
        <v>5892.8665950413242</v>
      </c>
      <c r="AH232">
        <f t="shared" si="195"/>
        <v>-4047.9576087352229</v>
      </c>
      <c r="AJ232">
        <f t="shared" si="179"/>
        <v>22100</v>
      </c>
      <c r="AK232">
        <f t="shared" si="180"/>
        <v>17857.328472113131</v>
      </c>
      <c r="AL232">
        <v>1</v>
      </c>
      <c r="AM232">
        <f t="shared" si="181"/>
        <v>21.428495589570304</v>
      </c>
      <c r="AN232">
        <f t="shared" si="196"/>
        <v>879.55867736233756</v>
      </c>
      <c r="AO232">
        <f t="shared" si="197"/>
        <v>-990.29076651401022</v>
      </c>
      <c r="AQ232">
        <f t="shared" si="182"/>
        <v>0.25506950644050502</v>
      </c>
      <c r="AR232">
        <f t="shared" si="183"/>
        <v>-50.503762275219998</v>
      </c>
      <c r="AT232">
        <f t="shared" si="209"/>
        <v>-202933.99819781477</v>
      </c>
      <c r="AU232">
        <f t="shared" si="210"/>
        <v>-298644.44418490428</v>
      </c>
      <c r="AV232">
        <f t="shared" si="198"/>
        <v>-2.1676426807765639</v>
      </c>
      <c r="AW232">
        <f t="shared" si="199"/>
        <v>-42730.990353816444</v>
      </c>
      <c r="AX232">
        <f t="shared" si="200"/>
        <v>-51997.106390742585</v>
      </c>
      <c r="AY232">
        <f t="shared" si="208"/>
        <v>-2.2586866651126352</v>
      </c>
      <c r="BA232">
        <f t="shared" si="184"/>
        <v>5.3648593065109074</v>
      </c>
      <c r="BB232">
        <f t="shared" si="201"/>
        <v>14.591166741483381</v>
      </c>
      <c r="BC232">
        <f t="shared" si="202"/>
        <v>9.1043984336071304E-2</v>
      </c>
      <c r="BD232">
        <f t="shared" si="185"/>
        <v>-174.78356394152729</v>
      </c>
      <c r="BF232">
        <f t="shared" si="186"/>
        <v>-11.277730274533834</v>
      </c>
      <c r="BG232">
        <f t="shared" si="187"/>
        <v>-134.39538662586583</v>
      </c>
      <c r="BH232">
        <f t="shared" si="203"/>
        <v>45.604613374134175</v>
      </c>
      <c r="BI232">
        <f t="shared" si="204"/>
        <v>45.604613374134175</v>
      </c>
      <c r="BJ232">
        <f t="shared" si="188"/>
        <v>0</v>
      </c>
      <c r="BK232">
        <f t="shared" si="205"/>
        <v>0</v>
      </c>
      <c r="BM232">
        <f t="shared" si="206"/>
        <v>-25.868897016017218</v>
      </c>
      <c r="BN232">
        <f t="shared" si="189"/>
        <v>-139.61182268433853</v>
      </c>
      <c r="BQ232" s="56">
        <f t="shared" si="207"/>
        <v>31.493127541768516</v>
      </c>
      <c r="BR232" s="59"/>
      <c r="BS232" s="59"/>
      <c r="BT232" s="59">
        <v>16595.868999999999</v>
      </c>
      <c r="BU232" s="59">
        <v>-3.91065</v>
      </c>
      <c r="BV232" s="59">
        <v>-184.43100000000001</v>
      </c>
      <c r="BW232" s="61"/>
      <c r="BY232" s="59"/>
      <c r="BZ232" s="59"/>
      <c r="CA232" s="59"/>
      <c r="CC232" s="59"/>
    </row>
    <row r="233" spans="1:81" x14ac:dyDescent="0.25">
      <c r="A233">
        <f t="shared" si="190"/>
        <v>99500</v>
      </c>
      <c r="B233">
        <f t="shared" si="191"/>
        <v>99.5</v>
      </c>
      <c r="C233">
        <f t="shared" si="159"/>
        <v>1.2965378606493962</v>
      </c>
      <c r="D233">
        <f t="shared" si="160"/>
        <v>0.68993899930471492</v>
      </c>
      <c r="F233">
        <f t="shared" si="161"/>
        <v>2.595229676037271E-3</v>
      </c>
      <c r="G233">
        <f t="shared" si="162"/>
        <v>1.7351533455372135E-2</v>
      </c>
      <c r="H233">
        <f t="shared" si="163"/>
        <v>-3.1242411165446282</v>
      </c>
      <c r="J233">
        <f t="shared" si="164"/>
        <v>15</v>
      </c>
      <c r="M233">
        <f t="shared" si="165"/>
        <v>1.5016120318624003E-2</v>
      </c>
      <c r="N233">
        <f t="shared" si="166"/>
        <v>-1.5707963250000001</v>
      </c>
      <c r="O233">
        <f t="shared" si="167"/>
        <v>25.465593614194486</v>
      </c>
      <c r="P233">
        <f t="shared" si="168"/>
        <v>1.5315175572361961</v>
      </c>
      <c r="Q233">
        <f t="shared" si="169"/>
        <v>21.559923977524445</v>
      </c>
      <c r="R233">
        <f t="shared" si="170"/>
        <v>1.5243973273189617</v>
      </c>
      <c r="S233">
        <f t="shared" si="171"/>
        <v>0.77626410384360667</v>
      </c>
      <c r="T233">
        <f t="shared" si="172"/>
        <v>-0.68207848402365523</v>
      </c>
      <c r="U233">
        <f t="shared" si="173"/>
        <v>0.84475192586150716</v>
      </c>
      <c r="V233">
        <f t="shared" si="174"/>
        <v>-0.56469488246328636</v>
      </c>
      <c r="X233">
        <f t="shared" si="192"/>
        <v>-11.281005514599148</v>
      </c>
      <c r="Y233">
        <f t="shared" si="175"/>
        <v>-125.81906389133724</v>
      </c>
      <c r="Z233">
        <f t="shared" si="193"/>
        <v>54.180936108662763</v>
      </c>
      <c r="AC233">
        <v>1</v>
      </c>
      <c r="AD233">
        <f t="shared" si="176"/>
        <v>25.445951704019702</v>
      </c>
      <c r="AE233">
        <f t="shared" si="177"/>
        <v>-1.9089866585130062E-3</v>
      </c>
      <c r="AF233">
        <f t="shared" si="178"/>
        <v>3.0133528380269997E-3</v>
      </c>
      <c r="AG233">
        <f t="shared" si="194"/>
        <v>5875.9475768542552</v>
      </c>
      <c r="AH233">
        <f t="shared" si="195"/>
        <v>-4054.3229376138306</v>
      </c>
      <c r="AJ233">
        <f t="shared" si="179"/>
        <v>22100</v>
      </c>
      <c r="AK233">
        <f t="shared" si="180"/>
        <v>17947.516999750067</v>
      </c>
      <c r="AL233">
        <v>1</v>
      </c>
      <c r="AM233">
        <f t="shared" si="181"/>
        <v>21.536720314770154</v>
      </c>
      <c r="AN233">
        <f t="shared" si="196"/>
        <v>879.09638141353275</v>
      </c>
      <c r="AO233">
        <f t="shared" si="197"/>
        <v>-985.33589647969325</v>
      </c>
      <c r="AQ233">
        <f t="shared" si="182"/>
        <v>0.25251249936871878</v>
      </c>
      <c r="AR233">
        <f t="shared" si="183"/>
        <v>-50.249987374375031</v>
      </c>
      <c r="AT233">
        <f t="shared" si="209"/>
        <v>-202245.92621794305</v>
      </c>
      <c r="AU233">
        <f t="shared" si="210"/>
        <v>-296290.05876764073</v>
      </c>
      <c r="AV233">
        <f t="shared" si="198"/>
        <v>-2.1697448954860712</v>
      </c>
      <c r="AW233">
        <f t="shared" si="199"/>
        <v>-42251.371611035676</v>
      </c>
      <c r="AX233">
        <f t="shared" si="200"/>
        <v>-51738.043042030753</v>
      </c>
      <c r="AY233">
        <f t="shared" si="208"/>
        <v>-2.2556017623558913</v>
      </c>
      <c r="BA233">
        <f t="shared" si="184"/>
        <v>5.3704353748427787</v>
      </c>
      <c r="BB233">
        <f t="shared" si="201"/>
        <v>14.600189897332971</v>
      </c>
      <c r="BC233">
        <f t="shared" si="202"/>
        <v>8.5856866869820081E-2</v>
      </c>
      <c r="BD233">
        <f t="shared" si="185"/>
        <v>-175.08076388052169</v>
      </c>
      <c r="BF233">
        <f t="shared" si="186"/>
        <v>-11.338764883131251</v>
      </c>
      <c r="BG233">
        <f t="shared" si="187"/>
        <v>-134.55600141750293</v>
      </c>
      <c r="BH233">
        <f t="shared" si="203"/>
        <v>45.443998582497073</v>
      </c>
      <c r="BI233">
        <f t="shared" si="204"/>
        <v>45.443998582497073</v>
      </c>
      <c r="BJ233">
        <f t="shared" si="188"/>
        <v>0</v>
      </c>
      <c r="BK233">
        <f t="shared" si="205"/>
        <v>0</v>
      </c>
      <c r="BM233">
        <f t="shared" si="206"/>
        <v>-25.938954780464222</v>
      </c>
      <c r="BN233">
        <f t="shared" si="189"/>
        <v>-139.47523753698124</v>
      </c>
      <c r="BQ233" s="56">
        <f t="shared" si="207"/>
        <v>31.502150697618106</v>
      </c>
      <c r="BR233" s="59"/>
      <c r="BS233" s="59"/>
      <c r="BT233" s="59">
        <v>16982.437000000002</v>
      </c>
      <c r="BU233" s="59">
        <v>-3.9488799999999999</v>
      </c>
      <c r="BV233" s="59">
        <v>-182.72200000000001</v>
      </c>
      <c r="BW233" s="61"/>
      <c r="BY233" s="59"/>
      <c r="BZ233" s="59"/>
      <c r="CA233" s="59"/>
      <c r="CC233" s="59"/>
    </row>
    <row r="234" spans="1:81" x14ac:dyDescent="0.25">
      <c r="A234">
        <f t="shared" si="190"/>
        <v>100000</v>
      </c>
      <c r="B234">
        <f t="shared" si="191"/>
        <v>100</v>
      </c>
      <c r="C234">
        <f t="shared" si="159"/>
        <v>1.2991812601659198</v>
      </c>
      <c r="D234">
        <f t="shared" si="160"/>
        <v>0.69240089297259233</v>
      </c>
      <c r="F234">
        <f t="shared" si="161"/>
        <v>2.5692792244136771E-3</v>
      </c>
      <c r="G234">
        <f t="shared" si="162"/>
        <v>1.7264343533784227E-2</v>
      </c>
      <c r="H234">
        <f t="shared" si="163"/>
        <v>-3.1243283064662162</v>
      </c>
      <c r="J234">
        <f t="shared" si="164"/>
        <v>15</v>
      </c>
      <c r="M234">
        <f t="shared" si="165"/>
        <v>1.4941039717030884E-2</v>
      </c>
      <c r="N234">
        <f t="shared" si="166"/>
        <v>-1.5707963250000001</v>
      </c>
      <c r="O234">
        <f t="shared" si="167"/>
        <v>25.593364583867487</v>
      </c>
      <c r="P234">
        <f t="shared" si="168"/>
        <v>1.5317137506560075</v>
      </c>
      <c r="Q234">
        <f t="shared" si="169"/>
        <v>21.668032808340541</v>
      </c>
      <c r="R234">
        <f t="shared" si="170"/>
        <v>1.5246289919778564</v>
      </c>
      <c r="S234">
        <f t="shared" si="171"/>
        <v>0.77471461800381403</v>
      </c>
      <c r="T234">
        <f t="shared" si="172"/>
        <v>-0.68453268833007752</v>
      </c>
      <c r="U234">
        <f t="shared" si="173"/>
        <v>0.84353576371002914</v>
      </c>
      <c r="V234">
        <f t="shared" si="174"/>
        <v>-0.56696335169575873</v>
      </c>
      <c r="X234">
        <f t="shared" si="192"/>
        <v>-11.337094985020554</v>
      </c>
      <c r="Y234">
        <f t="shared" si="175"/>
        <v>-125.92907818886299</v>
      </c>
      <c r="Z234">
        <f t="shared" si="193"/>
        <v>54.070921811137012</v>
      </c>
      <c r="AC234">
        <v>1</v>
      </c>
      <c r="AD234">
        <f t="shared" si="176"/>
        <v>25.573820808059999</v>
      </c>
      <c r="AE234">
        <f t="shared" si="177"/>
        <v>-1.9282206595924408E-3</v>
      </c>
      <c r="AF234">
        <f t="shared" si="178"/>
        <v>3.0284953146000001E-3</v>
      </c>
      <c r="AG234">
        <f t="shared" si="194"/>
        <v>5859.0409304892391</v>
      </c>
      <c r="AH234">
        <f t="shared" si="195"/>
        <v>-4060.6051818149535</v>
      </c>
      <c r="AJ234">
        <f t="shared" si="179"/>
        <v>22100</v>
      </c>
      <c r="AK234">
        <f t="shared" si="180"/>
        <v>18037.705527386999</v>
      </c>
      <c r="AL234">
        <v>1</v>
      </c>
      <c r="AM234">
        <f t="shared" si="181"/>
        <v>21.644945039970001</v>
      </c>
      <c r="AN234">
        <f t="shared" si="196"/>
        <v>878.64098286009244</v>
      </c>
      <c r="AO234">
        <f t="shared" si="197"/>
        <v>-980.43025648492574</v>
      </c>
      <c r="AQ234">
        <f t="shared" si="182"/>
        <v>0.24999375015624609</v>
      </c>
      <c r="AR234">
        <f t="shared" si="183"/>
        <v>-49.998750031249216</v>
      </c>
      <c r="AT234">
        <f t="shared" si="209"/>
        <v>-201560.45984662918</v>
      </c>
      <c r="AU234">
        <f t="shared" si="210"/>
        <v>-293959.84882369509</v>
      </c>
      <c r="AV234">
        <f t="shared" si="198"/>
        <v>-2.1718422962955861</v>
      </c>
      <c r="AW234">
        <f t="shared" si="199"/>
        <v>-41779.157142686046</v>
      </c>
      <c r="AX234">
        <f t="shared" si="200"/>
        <v>-51481.931582343495</v>
      </c>
      <c r="AY234">
        <f t="shared" si="208"/>
        <v>-2.2525286170688874</v>
      </c>
      <c r="BA234">
        <f t="shared" si="184"/>
        <v>5.3758269585286351</v>
      </c>
      <c r="BB234">
        <f t="shared" si="201"/>
        <v>14.608905616965782</v>
      </c>
      <c r="BC234">
        <f t="shared" si="202"/>
        <v>8.068632077330129E-2</v>
      </c>
      <c r="BD234">
        <f t="shared" si="185"/>
        <v>-175.37701434996856</v>
      </c>
      <c r="BF234">
        <f t="shared" si="186"/>
        <v>-11.399648148606538</v>
      </c>
      <c r="BG234">
        <f t="shared" si="187"/>
        <v>-134.71619138453804</v>
      </c>
      <c r="BH234">
        <f t="shared" si="203"/>
        <v>45.283808615461965</v>
      </c>
      <c r="BI234">
        <f t="shared" si="204"/>
        <v>45.283808615461965</v>
      </c>
      <c r="BJ234">
        <f t="shared" si="188"/>
        <v>0</v>
      </c>
      <c r="BK234">
        <f t="shared" si="205"/>
        <v>0</v>
      </c>
      <c r="BM234">
        <f t="shared" si="206"/>
        <v>-26.008553765572323</v>
      </c>
      <c r="BN234">
        <f t="shared" si="189"/>
        <v>-139.33917703456947</v>
      </c>
      <c r="BQ234" s="56">
        <f t="shared" si="207"/>
        <v>31.51086641725092</v>
      </c>
      <c r="BR234" s="59"/>
      <c r="BS234" s="59"/>
      <c r="BT234" s="59">
        <v>17378.008000000002</v>
      </c>
      <c r="BU234" s="59">
        <v>-3.8028900000000001</v>
      </c>
      <c r="BV234" s="59">
        <v>-181.726</v>
      </c>
      <c r="BW234" s="61"/>
      <c r="BY234" s="59"/>
      <c r="BZ234" s="59"/>
      <c r="CA234" s="59"/>
      <c r="CC234" s="59"/>
    </row>
    <row r="235" spans="1:81" x14ac:dyDescent="0.25">
      <c r="A235">
        <f>A234+5000</f>
        <v>105000</v>
      </c>
      <c r="B235">
        <f t="shared" si="191"/>
        <v>105</v>
      </c>
      <c r="C235">
        <f t="shared" si="159"/>
        <v>1.3260387706661725</v>
      </c>
      <c r="D235">
        <f t="shared" si="160"/>
        <v>0.71647442326969213</v>
      </c>
      <c r="F235">
        <f t="shared" si="161"/>
        <v>2.3298845419168638E-3</v>
      </c>
      <c r="G235">
        <f t="shared" si="162"/>
        <v>1.6438434226437013E-2</v>
      </c>
      <c r="H235">
        <f t="shared" si="163"/>
        <v>-3.1251542157735632</v>
      </c>
      <c r="J235">
        <f t="shared" si="164"/>
        <v>15</v>
      </c>
      <c r="M235">
        <f t="shared" si="165"/>
        <v>1.4229561635267507E-2</v>
      </c>
      <c r="N235">
        <f t="shared" si="166"/>
        <v>-1.5707963250000001</v>
      </c>
      <c r="O235">
        <f t="shared" si="167"/>
        <v>26.871125629043632</v>
      </c>
      <c r="P235">
        <f t="shared" si="168"/>
        <v>1.5335730641861844</v>
      </c>
      <c r="Q235">
        <f t="shared" si="169"/>
        <v>22.749181732012087</v>
      </c>
      <c r="R235">
        <f t="shared" si="170"/>
        <v>1.5268245331014598</v>
      </c>
      <c r="S235">
        <f t="shared" si="171"/>
        <v>0.75931205192053797</v>
      </c>
      <c r="T235">
        <f t="shared" si="172"/>
        <v>-0.70854106461909994</v>
      </c>
      <c r="U235">
        <f t="shared" si="173"/>
        <v>0.83133570558061054</v>
      </c>
      <c r="V235">
        <f t="shared" si="174"/>
        <v>-0.58928960482634962</v>
      </c>
      <c r="X235">
        <f t="shared" si="192"/>
        <v>-11.887564628169532</v>
      </c>
      <c r="Y235">
        <f t="shared" si="175"/>
        <v>-127.01954027652241</v>
      </c>
      <c r="Z235">
        <f t="shared" si="193"/>
        <v>52.980459723477594</v>
      </c>
      <c r="AC235">
        <v>1</v>
      </c>
      <c r="AD235">
        <f t="shared" si="176"/>
        <v>26.852511848462999</v>
      </c>
      <c r="AE235">
        <f t="shared" si="177"/>
        <v>-2.1258632772006665E-3</v>
      </c>
      <c r="AF235">
        <f t="shared" si="178"/>
        <v>3.1799200803300002E-3</v>
      </c>
      <c r="AG235">
        <f t="shared" si="194"/>
        <v>5690.7878919725081</v>
      </c>
      <c r="AH235">
        <f t="shared" si="195"/>
        <v>-4118.9201825862565</v>
      </c>
      <c r="AJ235">
        <f t="shared" si="179"/>
        <v>22100</v>
      </c>
      <c r="AK235">
        <f t="shared" si="180"/>
        <v>18939.590803756353</v>
      </c>
      <c r="AL235">
        <v>1</v>
      </c>
      <c r="AM235">
        <f t="shared" si="181"/>
        <v>22.727192291968503</v>
      </c>
      <c r="AN235">
        <f t="shared" si="196"/>
        <v>874.4379237486819</v>
      </c>
      <c r="AO235">
        <f t="shared" si="197"/>
        <v>-933.9280366696313</v>
      </c>
      <c r="AQ235">
        <f t="shared" si="182"/>
        <v>0.22675222784063853</v>
      </c>
      <c r="AR235">
        <f t="shared" si="183"/>
        <v>-47.617967846534093</v>
      </c>
      <c r="AT235">
        <f t="shared" si="209"/>
        <v>-194844.20998415939</v>
      </c>
      <c r="AU235">
        <f t="shared" si="210"/>
        <v>-271917.72918909165</v>
      </c>
      <c r="AV235">
        <f t="shared" si="198"/>
        <v>-2.1925473254607972</v>
      </c>
      <c r="AW235">
        <f t="shared" si="199"/>
        <v>-37433.548287565784</v>
      </c>
      <c r="AX235">
        <f t="shared" si="200"/>
        <v>-49072.1876031793</v>
      </c>
      <c r="AY235">
        <f t="shared" si="208"/>
        <v>-2.2224557667640634</v>
      </c>
      <c r="BA235">
        <f t="shared" si="184"/>
        <v>5.4199642640654373</v>
      </c>
      <c r="BB235">
        <f t="shared" si="201"/>
        <v>14.679928461504453</v>
      </c>
      <c r="BC235">
        <f t="shared" si="202"/>
        <v>2.9908441303266198E-2</v>
      </c>
      <c r="BD235">
        <f t="shared" si="185"/>
        <v>-178.28637253955</v>
      </c>
      <c r="BF235">
        <f t="shared" si="186"/>
        <v>-12.000433915132342</v>
      </c>
      <c r="BG235">
        <f t="shared" si="187"/>
        <v>-136.29355900616486</v>
      </c>
      <c r="BH235">
        <f t="shared" si="203"/>
        <v>43.706440993835145</v>
      </c>
      <c r="BI235">
        <f t="shared" si="204"/>
        <v>43.706440993835145</v>
      </c>
      <c r="BJ235">
        <f t="shared" si="188"/>
        <v>0</v>
      </c>
      <c r="BK235">
        <f t="shared" si="205"/>
        <v>0</v>
      </c>
      <c r="BM235">
        <f t="shared" si="206"/>
        <v>-26.680362376636793</v>
      </c>
      <c r="BN235">
        <f t="shared" si="189"/>
        <v>-138.00718646661488</v>
      </c>
      <c r="BQ235" s="56">
        <f t="shared" si="207"/>
        <v>31.581889261789588</v>
      </c>
      <c r="BR235" s="59"/>
      <c r="BS235" s="59"/>
      <c r="BT235" s="59">
        <v>17782.794000000002</v>
      </c>
      <c r="BU235" s="59">
        <v>-3.8474200000000001</v>
      </c>
      <c r="BV235" s="59">
        <v>-180.351</v>
      </c>
      <c r="BW235" s="61"/>
      <c r="BY235" s="59"/>
      <c r="BZ235" s="59"/>
      <c r="CA235" s="59"/>
      <c r="CC235" s="59"/>
    </row>
    <row r="236" spans="1:81" x14ac:dyDescent="0.25">
      <c r="A236">
        <f t="shared" ref="A236:A299" si="211">A235+5000</f>
        <v>110000</v>
      </c>
      <c r="B236">
        <f t="shared" si="191"/>
        <v>110</v>
      </c>
      <c r="C236">
        <f t="shared" si="159"/>
        <v>1.353634018332589</v>
      </c>
      <c r="D236">
        <f t="shared" si="160"/>
        <v>0.7395793695090408</v>
      </c>
      <c r="F236">
        <f t="shared" si="161"/>
        <v>2.1224742734478842E-3</v>
      </c>
      <c r="G236">
        <f t="shared" si="162"/>
        <v>1.5688091887192765E-2</v>
      </c>
      <c r="H236">
        <f t="shared" si="163"/>
        <v>-3.1259045581128073</v>
      </c>
      <c r="J236">
        <f t="shared" si="164"/>
        <v>15</v>
      </c>
      <c r="M236">
        <f t="shared" si="165"/>
        <v>1.3582763379118986E-2</v>
      </c>
      <c r="N236">
        <f t="shared" si="166"/>
        <v>-1.5707963250000001</v>
      </c>
      <c r="O236">
        <f t="shared" si="167"/>
        <v>28.148971135274955</v>
      </c>
      <c r="P236">
        <f t="shared" si="168"/>
        <v>1.5352635730176574</v>
      </c>
      <c r="Q236">
        <f t="shared" si="169"/>
        <v>23.830430365350512</v>
      </c>
      <c r="R236">
        <f t="shared" si="170"/>
        <v>1.5288208483063199</v>
      </c>
      <c r="S236">
        <f t="shared" si="171"/>
        <v>0.74410598398177974</v>
      </c>
      <c r="T236">
        <f t="shared" si="172"/>
        <v>-0.73160070888597495</v>
      </c>
      <c r="U236">
        <f t="shared" si="173"/>
        <v>0.81909263502813767</v>
      </c>
      <c r="V236">
        <f t="shared" si="174"/>
        <v>-0.61096880742409176</v>
      </c>
      <c r="X236">
        <f t="shared" si="192"/>
        <v>-12.420293632355317</v>
      </c>
      <c r="Y236">
        <f t="shared" si="175"/>
        <v>-128.09082347011923</v>
      </c>
      <c r="Z236">
        <f t="shared" si="193"/>
        <v>51.909176529880767</v>
      </c>
      <c r="AC236">
        <v>1</v>
      </c>
      <c r="AD236">
        <f t="shared" si="176"/>
        <v>28.131202888866003</v>
      </c>
      <c r="AE236">
        <f t="shared" si="177"/>
        <v>-2.3331469981068532E-3</v>
      </c>
      <c r="AF236">
        <f t="shared" si="178"/>
        <v>3.3313448460600002E-3</v>
      </c>
      <c r="AG236">
        <f t="shared" si="194"/>
        <v>5524.4058093193926</v>
      </c>
      <c r="AH236">
        <f t="shared" si="195"/>
        <v>-4169.2624066717372</v>
      </c>
      <c r="AJ236">
        <f t="shared" si="179"/>
        <v>22100</v>
      </c>
      <c r="AK236">
        <f t="shared" si="180"/>
        <v>19841.476080125703</v>
      </c>
      <c r="AL236">
        <v>1</v>
      </c>
      <c r="AM236">
        <f t="shared" si="181"/>
        <v>23.809439543967002</v>
      </c>
      <c r="AN236">
        <f t="shared" si="196"/>
        <v>870.7935299860726</v>
      </c>
      <c r="AO236">
        <f t="shared" si="197"/>
        <v>-891.62982735530738</v>
      </c>
      <c r="AQ236">
        <f t="shared" si="182"/>
        <v>0.20660730150203507</v>
      </c>
      <c r="AR236">
        <f t="shared" si="183"/>
        <v>-45.45360633044772</v>
      </c>
      <c r="AT236">
        <f t="shared" si="209"/>
        <v>-188366.62954452654</v>
      </c>
      <c r="AU236">
        <f t="shared" si="210"/>
        <v>-251965.56692153844</v>
      </c>
      <c r="AV236">
        <f t="shared" si="198"/>
        <v>-2.2127524647551686</v>
      </c>
      <c r="AW236">
        <f t="shared" si="199"/>
        <v>-33686.804756381352</v>
      </c>
      <c r="AX236">
        <f t="shared" si="200"/>
        <v>-46906.814327086031</v>
      </c>
      <c r="AY236">
        <f t="shared" si="208"/>
        <v>-2.1936094313802537</v>
      </c>
      <c r="BA236">
        <f t="shared" si="184"/>
        <v>5.4475046606854285</v>
      </c>
      <c r="BB236">
        <f t="shared" si="201"/>
        <v>14.723952209698027</v>
      </c>
      <c r="BC236">
        <f t="shared" si="202"/>
        <v>-1.9143033374914964E-2</v>
      </c>
      <c r="BD236">
        <f t="shared" si="185"/>
        <v>-181.09681502071399</v>
      </c>
      <c r="BF236">
        <f t="shared" si="186"/>
        <v>-12.587348709332529</v>
      </c>
      <c r="BG236">
        <f t="shared" si="187"/>
        <v>-137.82317702970263</v>
      </c>
      <c r="BH236">
        <f t="shared" si="203"/>
        <v>42.176822970297366</v>
      </c>
      <c r="BI236">
        <f t="shared" si="204"/>
        <v>42.176822970297366</v>
      </c>
      <c r="BJ236">
        <f t="shared" si="188"/>
        <v>0</v>
      </c>
      <c r="BK236">
        <f t="shared" si="205"/>
        <v>0</v>
      </c>
      <c r="BM236">
        <f t="shared" si="206"/>
        <v>-27.31130091903055</v>
      </c>
      <c r="BN236">
        <f t="shared" si="189"/>
        <v>-136.72636200898864</v>
      </c>
      <c r="BQ236" s="56">
        <f t="shared" si="207"/>
        <v>31.625913009983165</v>
      </c>
      <c r="BR236" s="59"/>
      <c r="BS236" s="59"/>
      <c r="BT236" s="59">
        <v>18197.008999999998</v>
      </c>
      <c r="BU236" s="59">
        <v>-3.8303199999999999</v>
      </c>
      <c r="BV236" s="59">
        <v>-179.43</v>
      </c>
      <c r="BY236" s="59"/>
      <c r="BZ236" s="59"/>
      <c r="CA236" s="59"/>
      <c r="CC236" s="59"/>
    </row>
    <row r="237" spans="1:81" x14ac:dyDescent="0.25">
      <c r="A237">
        <f t="shared" si="211"/>
        <v>115000</v>
      </c>
      <c r="B237">
        <f t="shared" si="191"/>
        <v>115</v>
      </c>
      <c r="C237">
        <f t="shared" si="159"/>
        <v>1.3819228088422457</v>
      </c>
      <c r="D237">
        <f t="shared" si="160"/>
        <v>0.76174981076317039</v>
      </c>
      <c r="F237">
        <f t="shared" si="161"/>
        <v>1.9415912768144155E-3</v>
      </c>
      <c r="G237">
        <f t="shared" si="162"/>
        <v>1.5003380921527644E-2</v>
      </c>
      <c r="H237">
        <f t="shared" si="163"/>
        <v>-3.1265892690784725</v>
      </c>
      <c r="J237">
        <f t="shared" si="164"/>
        <v>15</v>
      </c>
      <c r="M237">
        <f t="shared" si="165"/>
        <v>1.2992208449592074E-2</v>
      </c>
      <c r="N237">
        <f t="shared" si="166"/>
        <v>-1.5707963250000001</v>
      </c>
      <c r="O237">
        <f t="shared" si="167"/>
        <v>29.426890099547613</v>
      </c>
      <c r="P237">
        <f t="shared" si="168"/>
        <v>1.5368072587907287</v>
      </c>
      <c r="Q237">
        <f t="shared" si="169"/>
        <v>24.911765725223965</v>
      </c>
      <c r="R237">
        <f t="shared" si="170"/>
        <v>1.5306438636991573</v>
      </c>
      <c r="S237">
        <f t="shared" si="171"/>
        <v>0.72913192640591706</v>
      </c>
      <c r="T237">
        <f t="shared" si="172"/>
        <v>-0.75374365615415673</v>
      </c>
      <c r="U237">
        <f t="shared" si="173"/>
        <v>0.80684217853600937</v>
      </c>
      <c r="V237">
        <f t="shared" si="174"/>
        <v>-0.63200918301958675</v>
      </c>
      <c r="X237">
        <f t="shared" si="192"/>
        <v>-12.936811544435734</v>
      </c>
      <c r="Y237">
        <f t="shared" si="175"/>
        <v>-129.14110618378501</v>
      </c>
      <c r="Z237">
        <f t="shared" si="193"/>
        <v>50.858893816214987</v>
      </c>
      <c r="AC237">
        <v>1</v>
      </c>
      <c r="AD237">
        <f t="shared" si="176"/>
        <v>29.409893929269</v>
      </c>
      <c r="AE237">
        <f t="shared" si="177"/>
        <v>-2.5500718223110033E-3</v>
      </c>
      <c r="AF237">
        <f t="shared" si="178"/>
        <v>3.4827696117899999E-3</v>
      </c>
      <c r="AG237">
        <f t="shared" si="194"/>
        <v>5360.3940702253267</v>
      </c>
      <c r="AH237">
        <f t="shared" si="195"/>
        <v>-4211.989740953647</v>
      </c>
      <c r="AJ237">
        <f t="shared" si="179"/>
        <v>22100</v>
      </c>
      <c r="AK237">
        <f t="shared" si="180"/>
        <v>20743.36135649505</v>
      </c>
      <c r="AL237">
        <v>1</v>
      </c>
      <c r="AM237">
        <f t="shared" si="181"/>
        <v>24.891686795965501</v>
      </c>
      <c r="AN237">
        <f t="shared" si="196"/>
        <v>867.61305568364173</v>
      </c>
      <c r="AO237">
        <f t="shared" si="197"/>
        <v>-852.99108567273754</v>
      </c>
      <c r="AQ237">
        <f t="shared" si="182"/>
        <v>0.18903234343396155</v>
      </c>
      <c r="AR237">
        <f t="shared" si="183"/>
        <v>-43.477438989811155</v>
      </c>
      <c r="AT237">
        <f t="shared" si="209"/>
        <v>-182113.23913519847</v>
      </c>
      <c r="AU237">
        <f t="shared" si="210"/>
        <v>-233852.40844081939</v>
      </c>
      <c r="AV237">
        <f t="shared" si="198"/>
        <v>-2.2324467791278941</v>
      </c>
      <c r="AW237">
        <f t="shared" si="199"/>
        <v>-30436.544998539244</v>
      </c>
      <c r="AX237">
        <f t="shared" si="200"/>
        <v>-44948.666197401857</v>
      </c>
      <c r="AY237">
        <f t="shared" si="208"/>
        <v>-2.1660147726949153</v>
      </c>
      <c r="BA237">
        <f t="shared" si="184"/>
        <v>5.4601359752669474</v>
      </c>
      <c r="BB237">
        <f t="shared" si="201"/>
        <v>14.744069163885198</v>
      </c>
      <c r="BC237">
        <f t="shared" si="202"/>
        <v>-6.6432006432978863E-2</v>
      </c>
      <c r="BD237">
        <f t="shared" si="185"/>
        <v>-183.80627359754493</v>
      </c>
      <c r="BF237">
        <f t="shared" si="186"/>
        <v>-13.161273712729287</v>
      </c>
      <c r="BG237">
        <f t="shared" si="187"/>
        <v>-139.30159393984147</v>
      </c>
      <c r="BH237">
        <f t="shared" si="203"/>
        <v>40.698406060158533</v>
      </c>
      <c r="BI237">
        <f t="shared" si="204"/>
        <v>40.698406060158533</v>
      </c>
      <c r="BJ237">
        <f t="shared" si="188"/>
        <v>0</v>
      </c>
      <c r="BK237">
        <f t="shared" si="205"/>
        <v>0</v>
      </c>
      <c r="BM237">
        <f t="shared" si="206"/>
        <v>-27.905342876614483</v>
      </c>
      <c r="BN237">
        <f t="shared" si="189"/>
        <v>-135.49532034229657</v>
      </c>
      <c r="BQ237" s="56">
        <f t="shared" si="207"/>
        <v>31.646029964170339</v>
      </c>
      <c r="BR237" s="59"/>
      <c r="BS237" s="59"/>
      <c r="BT237" s="59">
        <v>18620.870999999999</v>
      </c>
      <c r="BU237" s="59">
        <v>-3.77474</v>
      </c>
      <c r="BV237" s="59">
        <v>-178.09100000000001</v>
      </c>
      <c r="BY237" s="59"/>
      <c r="BZ237" s="59"/>
      <c r="CA237" s="59"/>
      <c r="CC237" s="59"/>
    </row>
    <row r="238" spans="1:81" x14ac:dyDescent="0.25">
      <c r="A238">
        <f t="shared" si="211"/>
        <v>120000</v>
      </c>
      <c r="B238">
        <f t="shared" si="191"/>
        <v>120</v>
      </c>
      <c r="C238">
        <f t="shared" si="159"/>
        <v>1.4108634247663672</v>
      </c>
      <c r="D238">
        <f t="shared" si="160"/>
        <v>0.78302080518755224</v>
      </c>
      <c r="F238">
        <f t="shared" si="161"/>
        <v>1.7828951010375751E-3</v>
      </c>
      <c r="G238">
        <f t="shared" si="162"/>
        <v>1.4376037164902071E-2</v>
      </c>
      <c r="H238">
        <f t="shared" si="163"/>
        <v>-3.127216612835098</v>
      </c>
      <c r="J238">
        <f t="shared" si="164"/>
        <v>15</v>
      </c>
      <c r="M238">
        <f t="shared" si="165"/>
        <v>1.2450866430859069E-2</v>
      </c>
      <c r="N238">
        <f t="shared" si="166"/>
        <v>-1.5707963250000001</v>
      </c>
      <c r="O238">
        <f t="shared" si="167"/>
        <v>30.704873350020158</v>
      </c>
      <c r="P238">
        <f t="shared" si="168"/>
        <v>1.5382224466346655</v>
      </c>
      <c r="Q238">
        <f t="shared" si="169"/>
        <v>25.993176987970973</v>
      </c>
      <c r="R238">
        <f t="shared" si="170"/>
        <v>1.5323151960475021</v>
      </c>
      <c r="S238">
        <f t="shared" si="171"/>
        <v>0.71441890292065624</v>
      </c>
      <c r="T238">
        <f t="shared" si="172"/>
        <v>-0.77500304570959089</v>
      </c>
      <c r="U238">
        <f t="shared" si="173"/>
        <v>0.7946164682850122</v>
      </c>
      <c r="V238">
        <f t="shared" si="174"/>
        <v>-0.65242074039160547</v>
      </c>
      <c r="X238">
        <f t="shared" si="192"/>
        <v>-13.43842454610968</v>
      </c>
      <c r="Y238">
        <f t="shared" si="175"/>
        <v>-130.16903693481186</v>
      </c>
      <c r="Z238">
        <f t="shared" si="193"/>
        <v>49.830963065188143</v>
      </c>
      <c r="AC238">
        <v>1</v>
      </c>
      <c r="AD238">
        <f t="shared" si="176"/>
        <v>30.688584969672004</v>
      </c>
      <c r="AE238">
        <f t="shared" si="177"/>
        <v>-2.7766377498131141E-3</v>
      </c>
      <c r="AF238">
        <f t="shared" si="178"/>
        <v>3.6341943775199999E-3</v>
      </c>
      <c r="AG238">
        <f t="shared" si="194"/>
        <v>5199.1776182927033</v>
      </c>
      <c r="AH238">
        <f t="shared" si="195"/>
        <v>-4247.4978604388116</v>
      </c>
      <c r="AJ238">
        <f t="shared" si="179"/>
        <v>22100</v>
      </c>
      <c r="AK238">
        <f t="shared" si="180"/>
        <v>21645.246632864404</v>
      </c>
      <c r="AL238">
        <v>1</v>
      </c>
      <c r="AM238">
        <f t="shared" si="181"/>
        <v>25.973934047964004</v>
      </c>
      <c r="AN238">
        <f t="shared" si="196"/>
        <v>864.8210115533501</v>
      </c>
      <c r="AO238">
        <f t="shared" si="197"/>
        <v>-817.55728451582763</v>
      </c>
      <c r="AQ238">
        <f t="shared" si="182"/>
        <v>0.1736080970816479</v>
      </c>
      <c r="AR238">
        <f t="shared" si="183"/>
        <v>-41.66594329959549</v>
      </c>
      <c r="AT238">
        <f t="shared" si="209"/>
        <v>-176073.38568549539</v>
      </c>
      <c r="AU238">
        <f t="shared" si="210"/>
        <v>-217366.03986921883</v>
      </c>
      <c r="AV238">
        <f t="shared" si="198"/>
        <v>-2.2516243047924696</v>
      </c>
      <c r="AW238">
        <f t="shared" si="199"/>
        <v>-27601.159361778762</v>
      </c>
      <c r="AX238">
        <f t="shared" si="200"/>
        <v>-43167.778201559762</v>
      </c>
      <c r="AY238">
        <f t="shared" si="208"/>
        <v>-2.1396785200425548</v>
      </c>
      <c r="BA238">
        <f t="shared" si="184"/>
        <v>5.459511741597411</v>
      </c>
      <c r="BB238">
        <f t="shared" si="201"/>
        <v>14.743076087018903</v>
      </c>
      <c r="BC238">
        <f t="shared" si="202"/>
        <v>-0.11194578474991479</v>
      </c>
      <c r="BD238">
        <f t="shared" si="185"/>
        <v>-186.41402100777918</v>
      </c>
      <c r="BF238">
        <f t="shared" si="186"/>
        <v>-13.722883399823306</v>
      </c>
      <c r="BG238">
        <f t="shared" si="187"/>
        <v>-140.72654729171933</v>
      </c>
      <c r="BH238">
        <f t="shared" si="203"/>
        <v>39.273452708280672</v>
      </c>
      <c r="BI238">
        <f t="shared" si="204"/>
        <v>39.273452708280672</v>
      </c>
      <c r="BJ238">
        <f t="shared" si="188"/>
        <v>0</v>
      </c>
      <c r="BK238">
        <f t="shared" si="205"/>
        <v>0</v>
      </c>
      <c r="BM238">
        <f t="shared" si="206"/>
        <v>-28.465959486842213</v>
      </c>
      <c r="BN238">
        <f t="shared" si="189"/>
        <v>-134.31252628394017</v>
      </c>
      <c r="BQ238" s="56">
        <f t="shared" si="207"/>
        <v>31.645036887304041</v>
      </c>
      <c r="BR238" s="59"/>
      <c r="BS238" s="59"/>
      <c r="BT238" s="59">
        <v>19054.607</v>
      </c>
      <c r="BU238" s="59">
        <v>-3.7312500000000002</v>
      </c>
      <c r="BV238" s="59">
        <v>-176.916</v>
      </c>
      <c r="BY238" s="59"/>
      <c r="BZ238" s="59"/>
      <c r="CA238" s="59"/>
      <c r="CC238" s="59"/>
    </row>
    <row r="239" spans="1:81" x14ac:dyDescent="0.25">
      <c r="A239">
        <f t="shared" si="211"/>
        <v>125000</v>
      </c>
      <c r="B239">
        <f t="shared" si="191"/>
        <v>125</v>
      </c>
      <c r="C239">
        <f t="shared" si="159"/>
        <v>1.4404165775296935</v>
      </c>
      <c r="D239">
        <f t="shared" si="160"/>
        <v>0.80342788492801243</v>
      </c>
      <c r="F239">
        <f t="shared" si="161"/>
        <v>1.6428984626121422E-3</v>
      </c>
      <c r="G239">
        <f t="shared" si="162"/>
        <v>1.379913008612367E-2</v>
      </c>
      <c r="H239">
        <f t="shared" si="163"/>
        <v>-3.1277935199138764</v>
      </c>
      <c r="J239">
        <f t="shared" si="164"/>
        <v>15</v>
      </c>
      <c r="M239">
        <f t="shared" si="165"/>
        <v>1.1952831773624707E-2</v>
      </c>
      <c r="N239">
        <f t="shared" si="166"/>
        <v>-1.5707963250000001</v>
      </c>
      <c r="O239">
        <f t="shared" si="167"/>
        <v>31.98291318038925</v>
      </c>
      <c r="P239">
        <f t="shared" si="168"/>
        <v>1.5395245348711502</v>
      </c>
      <c r="Q239">
        <f t="shared" si="169"/>
        <v>27.074655058494109</v>
      </c>
      <c r="R239">
        <f t="shared" si="170"/>
        <v>1.5338530120177403</v>
      </c>
      <c r="S239">
        <f t="shared" si="171"/>
        <v>0.69999014888938305</v>
      </c>
      <c r="T239">
        <f t="shared" si="172"/>
        <v>-0.79541262440489047</v>
      </c>
      <c r="U239">
        <f t="shared" si="173"/>
        <v>0.78244426305545567</v>
      </c>
      <c r="V239">
        <f t="shared" si="174"/>
        <v>-0.67221499548257468</v>
      </c>
      <c r="X239">
        <f t="shared" si="192"/>
        <v>-13.926256188260524</v>
      </c>
      <c r="Y239">
        <f t="shared" si="175"/>
        <v>-131.17364720636169</v>
      </c>
      <c r="Z239">
        <f t="shared" si="193"/>
        <v>48.826352793638307</v>
      </c>
      <c r="AC239">
        <v>1</v>
      </c>
      <c r="AD239">
        <f t="shared" si="176"/>
        <v>31.967276010075</v>
      </c>
      <c r="AE239">
        <f t="shared" si="177"/>
        <v>-3.0128447806131893E-3</v>
      </c>
      <c r="AF239">
        <f t="shared" si="178"/>
        <v>3.78561914325E-3</v>
      </c>
      <c r="AG239">
        <f t="shared" si="194"/>
        <v>5041.1120723905015</v>
      </c>
      <c r="AH239">
        <f t="shared" si="195"/>
        <v>-4276.2062381928336</v>
      </c>
      <c r="AJ239">
        <f t="shared" si="179"/>
        <v>22100</v>
      </c>
      <c r="AK239">
        <f t="shared" si="180"/>
        <v>22547.131909233754</v>
      </c>
      <c r="AL239">
        <v>1</v>
      </c>
      <c r="AM239">
        <f t="shared" si="181"/>
        <v>27.056181299962507</v>
      </c>
      <c r="AN239">
        <f t="shared" si="196"/>
        <v>862.35665435040016</v>
      </c>
      <c r="AO239">
        <f t="shared" si="197"/>
        <v>-784.94607609977197</v>
      </c>
      <c r="AQ239">
        <f t="shared" si="182"/>
        <v>0.15999744004095934</v>
      </c>
      <c r="AR239">
        <f t="shared" si="183"/>
        <v>-39.999360010239833</v>
      </c>
      <c r="AT239">
        <f t="shared" si="209"/>
        <v>-170238.94777296649</v>
      </c>
      <c r="AU239">
        <f t="shared" si="210"/>
        <v>-202325.43868671192</v>
      </c>
      <c r="AV239">
        <f t="shared" si="198"/>
        <v>-2.2702831355343465</v>
      </c>
      <c r="AW239">
        <f t="shared" si="199"/>
        <v>-25114.959630706078</v>
      </c>
      <c r="AX239">
        <f t="shared" si="200"/>
        <v>-41539.723428702979</v>
      </c>
      <c r="AY239">
        <f t="shared" si="208"/>
        <v>-2.114592072235308</v>
      </c>
      <c r="BA239">
        <f t="shared" si="184"/>
        <v>5.4472189383256202</v>
      </c>
      <c r="BB239">
        <f t="shared" si="201"/>
        <v>14.723496621658104</v>
      </c>
      <c r="BC239">
        <f t="shared" si="202"/>
        <v>-0.15569106329903848</v>
      </c>
      <c r="BD239">
        <f t="shared" si="185"/>
        <v>-188.92044084513213</v>
      </c>
      <c r="BF239">
        <f t="shared" si="186"/>
        <v>-14.272701513920818</v>
      </c>
      <c r="BG239">
        <f t="shared" si="187"/>
        <v>-142.09678192724394</v>
      </c>
      <c r="BH239">
        <f t="shared" si="203"/>
        <v>37.903218072756061</v>
      </c>
      <c r="BI239">
        <f t="shared" si="204"/>
        <v>37.903218072756061</v>
      </c>
      <c r="BJ239">
        <f t="shared" si="188"/>
        <v>0</v>
      </c>
      <c r="BK239">
        <f t="shared" si="205"/>
        <v>0</v>
      </c>
      <c r="BM239">
        <f t="shared" si="206"/>
        <v>-28.996198135578922</v>
      </c>
      <c r="BN239">
        <f t="shared" si="189"/>
        <v>-133.17634108211183</v>
      </c>
      <c r="BQ239" s="56">
        <f t="shared" si="207"/>
        <v>31.625457421943239</v>
      </c>
      <c r="BR239" s="59"/>
      <c r="BS239" s="59"/>
      <c r="BT239" s="59">
        <v>19498.446</v>
      </c>
      <c r="BU239" s="59">
        <v>-3.7243200000000001</v>
      </c>
      <c r="BV239" s="59">
        <v>-175.511</v>
      </c>
      <c r="BY239" s="59"/>
      <c r="BZ239" s="59"/>
      <c r="CA239" s="59"/>
      <c r="CC239" s="59"/>
    </row>
    <row r="240" spans="1:81" x14ac:dyDescent="0.25">
      <c r="A240">
        <f t="shared" si="211"/>
        <v>130000</v>
      </c>
      <c r="B240">
        <f t="shared" si="191"/>
        <v>130</v>
      </c>
      <c r="C240">
        <f t="shared" si="159"/>
        <v>1.4705453376333077</v>
      </c>
      <c r="D240">
        <f t="shared" si="160"/>
        <v>0.82300663760933779</v>
      </c>
      <c r="F240">
        <f t="shared" si="161"/>
        <v>1.5187735520958577E-3</v>
      </c>
      <c r="G240">
        <f t="shared" si="162"/>
        <v>1.3266803838196879E-2</v>
      </c>
      <c r="H240">
        <f t="shared" si="163"/>
        <v>-3.1283258461618035</v>
      </c>
      <c r="J240">
        <f t="shared" si="164"/>
        <v>15</v>
      </c>
      <c r="M240">
        <f t="shared" si="165"/>
        <v>1.1493107474639141E-2</v>
      </c>
      <c r="N240">
        <f t="shared" si="166"/>
        <v>-1.5707963250000001</v>
      </c>
      <c r="O240">
        <f t="shared" si="167"/>
        <v>33.261003068480484</v>
      </c>
      <c r="P240">
        <f t="shared" si="168"/>
        <v>1.5407265567295947</v>
      </c>
      <c r="Q240">
        <f t="shared" si="169"/>
        <v>28.156192238543451</v>
      </c>
      <c r="R240">
        <f t="shared" si="170"/>
        <v>1.5352726897931643</v>
      </c>
      <c r="S240">
        <f t="shared" si="171"/>
        <v>0.68586378581020213</v>
      </c>
      <c r="T240">
        <f t="shared" si="172"/>
        <v>-0.8150063315524374</v>
      </c>
      <c r="U240">
        <f t="shared" si="173"/>
        <v>0.77035110170805654</v>
      </c>
      <c r="V240">
        <f t="shared" si="174"/>
        <v>-0.69140471395650782</v>
      </c>
      <c r="X240">
        <f t="shared" si="192"/>
        <v>-14.401279687109039</v>
      </c>
      <c r="Y240">
        <f t="shared" si="175"/>
        <v>-132.15428163704078</v>
      </c>
      <c r="Z240">
        <f t="shared" si="193"/>
        <v>47.845718362959218</v>
      </c>
      <c r="AC240">
        <v>1</v>
      </c>
      <c r="AD240">
        <f t="shared" si="176"/>
        <v>33.245967050478001</v>
      </c>
      <c r="AE240">
        <f t="shared" si="177"/>
        <v>-3.2586929147112248E-3</v>
      </c>
      <c r="AF240">
        <f t="shared" si="178"/>
        <v>3.9370439089800001E-3</v>
      </c>
      <c r="AG240">
        <f t="shared" si="194"/>
        <v>4886.4892470393424</v>
      </c>
      <c r="AH240">
        <f t="shared" si="195"/>
        <v>-4298.5468992455844</v>
      </c>
      <c r="AJ240">
        <f t="shared" si="179"/>
        <v>22100</v>
      </c>
      <c r="AK240">
        <f t="shared" si="180"/>
        <v>23449.017185603101</v>
      </c>
      <c r="AL240">
        <v>1</v>
      </c>
      <c r="AM240">
        <f t="shared" si="181"/>
        <v>28.138428551961002</v>
      </c>
      <c r="AN240">
        <f t="shared" si="196"/>
        <v>860.17066199669011</v>
      </c>
      <c r="AO240">
        <f t="shared" si="197"/>
        <v>-754.83352948375932</v>
      </c>
      <c r="AQ240">
        <f t="shared" si="182"/>
        <v>0.14792680581648202</v>
      </c>
      <c r="AR240">
        <f t="shared" si="183"/>
        <v>-38.460969512285324</v>
      </c>
      <c r="AT240">
        <f t="shared" si="209"/>
        <v>-164603.43849304193</v>
      </c>
      <c r="AU240">
        <f t="shared" si="210"/>
        <v>-188574.98426494794</v>
      </c>
      <c r="AV240">
        <f t="shared" si="198"/>
        <v>-2.2884246759356399</v>
      </c>
      <c r="AW240">
        <f t="shared" si="199"/>
        <v>-22924.601157918551</v>
      </c>
      <c r="AX240">
        <f t="shared" si="200"/>
        <v>-40044.399595225332</v>
      </c>
      <c r="AY240">
        <f t="shared" si="208"/>
        <v>-2.0907343829114433</v>
      </c>
      <c r="BA240">
        <f t="shared" si="184"/>
        <v>5.4247545330457845</v>
      </c>
      <c r="BB240">
        <f t="shared" si="201"/>
        <v>14.687601827902313</v>
      </c>
      <c r="BC240">
        <f t="shared" si="202"/>
        <v>-0.19769029302419661</v>
      </c>
      <c r="BD240">
        <f t="shared" si="185"/>
        <v>-191.32681945393378</v>
      </c>
      <c r="BF240">
        <f t="shared" si="186"/>
        <v>-14.811144105064875</v>
      </c>
      <c r="BG240">
        <f t="shared" si="187"/>
        <v>-143.41188068535848</v>
      </c>
      <c r="BH240">
        <f t="shared" si="203"/>
        <v>36.588119314641517</v>
      </c>
      <c r="BI240">
        <f t="shared" si="204"/>
        <v>36.588119314641517</v>
      </c>
      <c r="BJ240">
        <f t="shared" si="188"/>
        <v>0</v>
      </c>
      <c r="BK240">
        <f t="shared" si="205"/>
        <v>0</v>
      </c>
      <c r="BM240">
        <f t="shared" si="206"/>
        <v>-29.498745932967189</v>
      </c>
      <c r="BN240">
        <f t="shared" si="189"/>
        <v>-132.0850612314247</v>
      </c>
      <c r="BQ240" s="56">
        <f t="shared" si="207"/>
        <v>31.589562628187448</v>
      </c>
      <c r="BR240" s="59"/>
      <c r="BS240" s="59"/>
      <c r="BT240" s="59">
        <v>19952.623</v>
      </c>
      <c r="BU240" s="59">
        <v>-3.67421</v>
      </c>
      <c r="BV240" s="59">
        <v>-174.244</v>
      </c>
      <c r="BY240" s="59"/>
      <c r="BZ240" s="59"/>
      <c r="CA240" s="59"/>
      <c r="CC240" s="59"/>
    </row>
    <row r="241" spans="1:81" x14ac:dyDescent="0.25">
      <c r="A241">
        <f t="shared" si="211"/>
        <v>135000</v>
      </c>
      <c r="B241">
        <f t="shared" si="191"/>
        <v>135</v>
      </c>
      <c r="C241">
        <f t="shared" si="159"/>
        <v>1.5012150488792719</v>
      </c>
      <c r="D241">
        <f t="shared" si="160"/>
        <v>0.84179236517498457</v>
      </c>
      <c r="F241">
        <f t="shared" si="161"/>
        <v>1.4082077885424608E-3</v>
      </c>
      <c r="G241">
        <f t="shared" si="162"/>
        <v>1.2774076463342759E-2</v>
      </c>
      <c r="H241">
        <f t="shared" si="163"/>
        <v>-3.1288185735366576</v>
      </c>
      <c r="J241">
        <f t="shared" si="164"/>
        <v>15</v>
      </c>
      <c r="M241">
        <f t="shared" si="165"/>
        <v>1.1067436827430284E-2</v>
      </c>
      <c r="N241">
        <f t="shared" si="166"/>
        <v>-1.5707963250000001</v>
      </c>
      <c r="O241">
        <f t="shared" si="167"/>
        <v>34.539137457270627</v>
      </c>
      <c r="P241">
        <f t="shared" si="168"/>
        <v>1.5418396175136839</v>
      </c>
      <c r="Q241">
        <f t="shared" si="169"/>
        <v>29.237781968543793</v>
      </c>
      <c r="R241">
        <f t="shared" si="170"/>
        <v>1.5365873341210186</v>
      </c>
      <c r="S241">
        <f t="shared" si="171"/>
        <v>0.67205345768376856</v>
      </c>
      <c r="T241">
        <f t="shared" si="172"/>
        <v>-0.83381795731242314</v>
      </c>
      <c r="U241">
        <f t="shared" si="173"/>
        <v>0.75835948015293941</v>
      </c>
      <c r="V241">
        <f t="shared" si="174"/>
        <v>-0.71000367552672583</v>
      </c>
      <c r="X241">
        <f t="shared" si="192"/>
        <v>-14.864343738193678</v>
      </c>
      <c r="Y241">
        <f t="shared" si="175"/>
        <v>-133.11054143887858</v>
      </c>
      <c r="Z241">
        <f t="shared" si="193"/>
        <v>46.889458561121415</v>
      </c>
      <c r="AC241">
        <v>1</v>
      </c>
      <c r="AD241">
        <f t="shared" si="176"/>
        <v>34.524658090881005</v>
      </c>
      <c r="AE241">
        <f t="shared" si="177"/>
        <v>-3.5141821521072233E-3</v>
      </c>
      <c r="AF241">
        <f t="shared" si="178"/>
        <v>4.0884686747100002E-3</v>
      </c>
      <c r="AG241">
        <f t="shared" si="194"/>
        <v>4735.5428617881671</v>
      </c>
      <c r="AH241">
        <f t="shared" si="195"/>
        <v>-4314.9554537521499</v>
      </c>
      <c r="AJ241">
        <f t="shared" si="179"/>
        <v>22100</v>
      </c>
      <c r="AK241">
        <f t="shared" si="180"/>
        <v>24350.902461972455</v>
      </c>
      <c r="AL241">
        <v>1</v>
      </c>
      <c r="AM241">
        <f t="shared" si="181"/>
        <v>29.220675803959502</v>
      </c>
      <c r="AN241">
        <f t="shared" si="196"/>
        <v>858.22265124212731</v>
      </c>
      <c r="AO241">
        <f t="shared" si="197"/>
        <v>-726.94339758834531</v>
      </c>
      <c r="AQ241">
        <f t="shared" si="182"/>
        <v>0.13717232959767356</v>
      </c>
      <c r="AR241">
        <f t="shared" si="183"/>
        <v>-37.03652899137186</v>
      </c>
      <c r="AT241">
        <f t="shared" si="209"/>
        <v>-159161.38731310851</v>
      </c>
      <c r="AU241">
        <f t="shared" si="210"/>
        <v>-175979.96298220288</v>
      </c>
      <c r="AV241">
        <f t="shared" si="198"/>
        <v>-2.30605302483408</v>
      </c>
      <c r="AW241">
        <f t="shared" si="199"/>
        <v>-20986.409581381009</v>
      </c>
      <c r="AX241">
        <f t="shared" si="200"/>
        <v>-38665.119523413836</v>
      </c>
      <c r="AY241">
        <f t="shared" si="208"/>
        <v>-2.068074582956251</v>
      </c>
      <c r="BA241">
        <f t="shared" si="184"/>
        <v>5.3935099258944561</v>
      </c>
      <c r="BB241">
        <f t="shared" si="201"/>
        <v>14.637429646382607</v>
      </c>
      <c r="BC241">
        <f t="shared" si="202"/>
        <v>-0.23797844187782902</v>
      </c>
      <c r="BD241">
        <f t="shared" si="185"/>
        <v>-193.63516035027942</v>
      </c>
      <c r="BF241">
        <f t="shared" si="186"/>
        <v>-15.33855214597933</v>
      </c>
      <c r="BG241">
        <f t="shared" si="187"/>
        <v>-144.67210987494201</v>
      </c>
      <c r="BH241">
        <f t="shared" si="203"/>
        <v>35.327890125057991</v>
      </c>
      <c r="BI241">
        <f t="shared" si="204"/>
        <v>35.327890125057991</v>
      </c>
      <c r="BJ241">
        <f t="shared" si="188"/>
        <v>0</v>
      </c>
      <c r="BK241">
        <f t="shared" si="205"/>
        <v>0</v>
      </c>
      <c r="BM241">
        <f t="shared" si="206"/>
        <v>-29.975981792361939</v>
      </c>
      <c r="BN241">
        <f t="shared" si="189"/>
        <v>-131.03694952466262</v>
      </c>
      <c r="BQ241" s="56">
        <f t="shared" si="207"/>
        <v>31.539390446667745</v>
      </c>
      <c r="BR241" s="59"/>
      <c r="BS241" s="59"/>
      <c r="BT241" s="59">
        <v>20417.379000000001</v>
      </c>
      <c r="BU241" s="59">
        <v>-3.6440899999999998</v>
      </c>
      <c r="BV241" s="59">
        <v>-173.369</v>
      </c>
      <c r="BY241" s="59"/>
      <c r="BZ241" s="59"/>
      <c r="CA241" s="59"/>
      <c r="CC241" s="59"/>
    </row>
    <row r="242" spans="1:81" x14ac:dyDescent="0.25">
      <c r="A242">
        <f t="shared" si="211"/>
        <v>140000</v>
      </c>
      <c r="B242">
        <f t="shared" si="191"/>
        <v>140</v>
      </c>
      <c r="C242">
        <f t="shared" si="159"/>
        <v>1.5323932314069919</v>
      </c>
      <c r="D242">
        <f t="shared" si="160"/>
        <v>0.85981981073624869</v>
      </c>
      <c r="F242">
        <f t="shared" si="161"/>
        <v>1.3092950985540363E-3</v>
      </c>
      <c r="G242">
        <f t="shared" si="162"/>
        <v>1.231668254805786E-2</v>
      </c>
      <c r="H242">
        <f t="shared" si="163"/>
        <v>-3.1292759674519424</v>
      </c>
      <c r="J242">
        <f t="shared" si="164"/>
        <v>15</v>
      </c>
      <c r="M242">
        <f t="shared" si="165"/>
        <v>1.067217122645063E-2</v>
      </c>
      <c r="N242">
        <f t="shared" si="166"/>
        <v>-1.5707963250000001</v>
      </c>
      <c r="O242">
        <f t="shared" si="167"/>
        <v>35.817311582761405</v>
      </c>
      <c r="P242">
        <f t="shared" si="168"/>
        <v>1.5428732382815975</v>
      </c>
      <c r="Q242">
        <f t="shared" si="169"/>
        <v>30.319418624625886</v>
      </c>
      <c r="R242">
        <f t="shared" si="170"/>
        <v>1.5378081813084752</v>
      </c>
      <c r="S242">
        <f t="shared" si="171"/>
        <v>0.65856892139296852</v>
      </c>
      <c r="T242">
        <f t="shared" si="172"/>
        <v>-0.85188086621002357</v>
      </c>
      <c r="U242">
        <f t="shared" si="173"/>
        <v>0.74648904392333237</v>
      </c>
      <c r="V242">
        <f t="shared" si="174"/>
        <v>-0.72802646043899366</v>
      </c>
      <c r="X242">
        <f t="shared" si="192"/>
        <v>-15.31619329697955</v>
      </c>
      <c r="Y242">
        <f t="shared" si="175"/>
        <v>-134.04223809201832</v>
      </c>
      <c r="Z242">
        <f t="shared" si="193"/>
        <v>45.957761907981677</v>
      </c>
      <c r="AC242">
        <v>1</v>
      </c>
      <c r="AD242">
        <f t="shared" si="176"/>
        <v>35.803349131284001</v>
      </c>
      <c r="AE242">
        <f t="shared" si="177"/>
        <v>-3.7793124928011835E-3</v>
      </c>
      <c r="AF242">
        <f t="shared" si="178"/>
        <v>4.2398934404399994E-3</v>
      </c>
      <c r="AG242">
        <f t="shared" si="194"/>
        <v>4588.4542675534885</v>
      </c>
      <c r="AH242">
        <f t="shared" si="195"/>
        <v>-4325.8640325895622</v>
      </c>
      <c r="AJ242">
        <f t="shared" si="179"/>
        <v>22100</v>
      </c>
      <c r="AK242">
        <f t="shared" si="180"/>
        <v>25252.787738341802</v>
      </c>
      <c r="AL242">
        <v>1</v>
      </c>
      <c r="AM242">
        <f t="shared" si="181"/>
        <v>30.302923055958004</v>
      </c>
      <c r="AN242">
        <f t="shared" si="196"/>
        <v>856.47930249223975</v>
      </c>
      <c r="AO242">
        <f t="shared" si="197"/>
        <v>-701.03866410111789</v>
      </c>
      <c r="AQ242">
        <f t="shared" si="182"/>
        <v>0.12754939350263389</v>
      </c>
      <c r="AR242">
        <f t="shared" si="183"/>
        <v>-35.713830180737489</v>
      </c>
      <c r="AT242">
        <f t="shared" si="209"/>
        <v>-153907.91888592285</v>
      </c>
      <c r="AU242">
        <f t="shared" si="210"/>
        <v>-164423.03783721715</v>
      </c>
      <c r="AV242">
        <f t="shared" si="198"/>
        <v>-2.3231744623602899</v>
      </c>
      <c r="AW242">
        <f t="shared" si="199"/>
        <v>-19264.359666992823</v>
      </c>
      <c r="AX242">
        <f t="shared" si="200"/>
        <v>-37387.920487537267</v>
      </c>
      <c r="AY242">
        <f t="shared" si="208"/>
        <v>-2.0465743107146226</v>
      </c>
      <c r="BA242">
        <f t="shared" si="184"/>
        <v>5.3547621157901535</v>
      </c>
      <c r="BB242">
        <f t="shared" si="201"/>
        <v>14.574803643060806</v>
      </c>
      <c r="BC242">
        <f t="shared" si="202"/>
        <v>-0.27660015164566731</v>
      </c>
      <c r="BD242">
        <f t="shared" si="185"/>
        <v>-195.84802132008429</v>
      </c>
      <c r="BF242">
        <f t="shared" si="186"/>
        <v>-15.855215833838429</v>
      </c>
      <c r="BG242">
        <f t="shared" si="187"/>
        <v>-145.8782810384551</v>
      </c>
      <c r="BH242">
        <f t="shared" si="203"/>
        <v>34.1217189615449</v>
      </c>
      <c r="BI242">
        <f t="shared" si="204"/>
        <v>34.1217189615449</v>
      </c>
      <c r="BJ242">
        <f t="shared" si="188"/>
        <v>0</v>
      </c>
      <c r="BK242">
        <f t="shared" si="205"/>
        <v>0</v>
      </c>
      <c r="BM242">
        <f t="shared" si="206"/>
        <v>-30.430019476899233</v>
      </c>
      <c r="BN242">
        <f t="shared" si="189"/>
        <v>-130.03025971837081</v>
      </c>
      <c r="BQ242" s="56">
        <f t="shared" si="207"/>
        <v>31.476764443345942</v>
      </c>
      <c r="BR242" s="59"/>
      <c r="BS242" s="59"/>
      <c r="BT242" s="59">
        <v>20892.960999999999</v>
      </c>
      <c r="BU242" s="59">
        <v>-3.5620099999999999</v>
      </c>
      <c r="BV242" s="59">
        <v>-172.084</v>
      </c>
      <c r="BY242" s="59"/>
      <c r="BZ242" s="59"/>
      <c r="CA242" s="59"/>
      <c r="CC242" s="59"/>
    </row>
    <row r="243" spans="1:81" x14ac:dyDescent="0.25">
      <c r="A243">
        <f t="shared" si="211"/>
        <v>145000</v>
      </c>
      <c r="B243">
        <f t="shared" si="191"/>
        <v>145</v>
      </c>
      <c r="C243">
        <f t="shared" si="159"/>
        <v>1.5640494775026015</v>
      </c>
      <c r="D243">
        <f t="shared" si="160"/>
        <v>0.87712294438445804</v>
      </c>
      <c r="F243">
        <f t="shared" si="161"/>
        <v>1.2204530583757511E-3</v>
      </c>
      <c r="G243">
        <f t="shared" si="162"/>
        <v>1.189094872932463E-2</v>
      </c>
      <c r="H243">
        <f t="shared" si="163"/>
        <v>-3.1297017012706756</v>
      </c>
      <c r="J243">
        <f t="shared" si="164"/>
        <v>15</v>
      </c>
      <c r="M243">
        <f t="shared" si="165"/>
        <v>1.0304165322090265E-2</v>
      </c>
      <c r="N243">
        <f t="shared" si="166"/>
        <v>-1.5707963250000001</v>
      </c>
      <c r="O243">
        <f t="shared" si="167"/>
        <v>37.095521337414958</v>
      </c>
      <c r="P243">
        <f t="shared" si="168"/>
        <v>1.5438356285553712</v>
      </c>
      <c r="Q243">
        <f t="shared" si="169"/>
        <v>31.401097357567533</v>
      </c>
      <c r="R243">
        <f t="shared" si="170"/>
        <v>1.5389449206490671</v>
      </c>
      <c r="S243">
        <f t="shared" si="171"/>
        <v>0.64541658688093073</v>
      </c>
      <c r="T243">
        <f t="shared" si="172"/>
        <v>-0.86922777755113678</v>
      </c>
      <c r="U243">
        <f t="shared" si="173"/>
        <v>0.73475678967876534</v>
      </c>
      <c r="V243">
        <f t="shared" si="174"/>
        <v>-0.74548825790349682</v>
      </c>
      <c r="X243">
        <f t="shared" si="192"/>
        <v>-15.757486413955741</v>
      </c>
      <c r="Y243">
        <f t="shared" si="175"/>
        <v>-134.94935515097868</v>
      </c>
      <c r="Z243">
        <f t="shared" si="193"/>
        <v>45.050644849021324</v>
      </c>
      <c r="AC243">
        <v>1</v>
      </c>
      <c r="AD243">
        <f t="shared" si="176"/>
        <v>37.082040171687005</v>
      </c>
      <c r="AE243">
        <f t="shared" si="177"/>
        <v>-4.0540839367931066E-3</v>
      </c>
      <c r="AF243">
        <f t="shared" si="178"/>
        <v>4.3913182061699994E-3</v>
      </c>
      <c r="AG243">
        <f t="shared" si="194"/>
        <v>4445.3580550208944</v>
      </c>
      <c r="AH243">
        <f t="shared" si="195"/>
        <v>-4331.6958123024406</v>
      </c>
      <c r="AJ243">
        <f t="shared" si="179"/>
        <v>22100</v>
      </c>
      <c r="AK243">
        <f t="shared" si="180"/>
        <v>26154.673014711156</v>
      </c>
      <c r="AL243">
        <v>1</v>
      </c>
      <c r="AM243">
        <f t="shared" si="181"/>
        <v>31.385170307956507</v>
      </c>
      <c r="AN243">
        <f t="shared" si="196"/>
        <v>854.91292787679538</v>
      </c>
      <c r="AO243">
        <f t="shared" si="197"/>
        <v>-676.91482517580368</v>
      </c>
      <c r="AQ243">
        <f t="shared" si="182"/>
        <v>0.11890465036087561</v>
      </c>
      <c r="AR243">
        <f t="shared" si="183"/>
        <v>-34.482348604653929</v>
      </c>
      <c r="AT243">
        <f t="shared" si="209"/>
        <v>-148838.47130387116</v>
      </c>
      <c r="AU243">
        <f t="shared" si="210"/>
        <v>-153801.44490176832</v>
      </c>
      <c r="AV243">
        <f t="shared" si="198"/>
        <v>-2.339797020743116</v>
      </c>
      <c r="AW243">
        <f t="shared" si="199"/>
        <v>-17728.530426324069</v>
      </c>
      <c r="AX243">
        <f t="shared" si="200"/>
        <v>-36201.033496849392</v>
      </c>
      <c r="AY243">
        <f t="shared" si="208"/>
        <v>-2.0261897383382239</v>
      </c>
      <c r="BA243">
        <f t="shared" si="184"/>
        <v>5.3096703198232129</v>
      </c>
      <c r="BB243">
        <f t="shared" si="201"/>
        <v>14.501351126991015</v>
      </c>
      <c r="BC243">
        <f t="shared" si="202"/>
        <v>-0.31360728240489211</v>
      </c>
      <c r="BD243">
        <f t="shared" si="185"/>
        <v>-197.9683737268995</v>
      </c>
      <c r="BF243">
        <f t="shared" si="186"/>
        <v>-16.361392340807448</v>
      </c>
      <c r="BG243">
        <f t="shared" si="187"/>
        <v>-147.03162966478155</v>
      </c>
      <c r="BH243">
        <f t="shared" si="203"/>
        <v>32.968370335218452</v>
      </c>
      <c r="BI243">
        <f t="shared" si="204"/>
        <v>32.968370335218452</v>
      </c>
      <c r="BJ243">
        <f t="shared" si="188"/>
        <v>0</v>
      </c>
      <c r="BK243">
        <f t="shared" si="205"/>
        <v>0</v>
      </c>
      <c r="BM243">
        <f t="shared" si="206"/>
        <v>-30.86274346779846</v>
      </c>
      <c r="BN243">
        <f t="shared" si="189"/>
        <v>-129.06325593788205</v>
      </c>
      <c r="BQ243" s="56">
        <f t="shared" si="207"/>
        <v>31.40331192727615</v>
      </c>
      <c r="BR243" s="59"/>
      <c r="BS243" s="59"/>
      <c r="BT243" s="59">
        <v>21379.620999999999</v>
      </c>
      <c r="BU243" s="59">
        <v>-3.5589</v>
      </c>
      <c r="BV243" s="59">
        <v>-170.62899999999999</v>
      </c>
      <c r="BY243" s="59"/>
      <c r="BZ243" s="59"/>
      <c r="CA243" s="59"/>
      <c r="CC243" s="59"/>
    </row>
    <row r="244" spans="1:81" x14ac:dyDescent="0.25">
      <c r="A244">
        <f t="shared" si="211"/>
        <v>150000</v>
      </c>
      <c r="B244">
        <f t="shared" si="191"/>
        <v>150</v>
      </c>
      <c r="C244">
        <f t="shared" si="159"/>
        <v>1.5961553433874134</v>
      </c>
      <c r="D244">
        <f t="shared" si="160"/>
        <v>0.89373479948105183</v>
      </c>
      <c r="F244">
        <f t="shared" si="161"/>
        <v>1.1403590970785681E-3</v>
      </c>
      <c r="G244">
        <f t="shared" si="162"/>
        <v>1.1493694311196703E-2</v>
      </c>
      <c r="H244">
        <f t="shared" si="163"/>
        <v>-3.1300989556888035</v>
      </c>
      <c r="J244">
        <f t="shared" si="164"/>
        <v>15</v>
      </c>
      <c r="M244">
        <f t="shared" si="165"/>
        <v>9.9606931446872549E-3</v>
      </c>
      <c r="N244">
        <f t="shared" si="166"/>
        <v>-1.5707963250000001</v>
      </c>
      <c r="O244">
        <f t="shared" si="167"/>
        <v>38.373763160865728</v>
      </c>
      <c r="P244">
        <f t="shared" si="168"/>
        <v>1.5447339045850146</v>
      </c>
      <c r="Q244">
        <f t="shared" si="169"/>
        <v>32.482813963886727</v>
      </c>
      <c r="R244">
        <f t="shared" si="170"/>
        <v>1.5400059517228228</v>
      </c>
      <c r="S244">
        <f t="shared" si="171"/>
        <v>0.63260000567585517</v>
      </c>
      <c r="T244">
        <f t="shared" si="172"/>
        <v>-0.8858905949172986</v>
      </c>
      <c r="U244">
        <f t="shared" si="173"/>
        <v>0.72317727011929878</v>
      </c>
      <c r="V244">
        <f t="shared" si="174"/>
        <v>-0.76240469581316483</v>
      </c>
      <c r="X244">
        <f t="shared" si="192"/>
        <v>-16.188807951122264</v>
      </c>
      <c r="Y244">
        <f t="shared" si="175"/>
        <v>-135.83201654532388</v>
      </c>
      <c r="Z244">
        <f t="shared" si="193"/>
        <v>44.167983454676119</v>
      </c>
      <c r="AC244">
        <v>1</v>
      </c>
      <c r="AD244">
        <f t="shared" si="176"/>
        <v>38.360731212090002</v>
      </c>
      <c r="AE244">
        <f t="shared" si="177"/>
        <v>-4.3384964840829914E-3</v>
      </c>
      <c r="AF244">
        <f t="shared" si="178"/>
        <v>4.5427429718999995E-3</v>
      </c>
      <c r="AG244">
        <f t="shared" si="194"/>
        <v>4306.3474434527716</v>
      </c>
      <c r="AH244">
        <f t="shared" si="195"/>
        <v>-4332.8608649912658</v>
      </c>
      <c r="AJ244">
        <f t="shared" si="179"/>
        <v>22100</v>
      </c>
      <c r="AK244">
        <f t="shared" si="180"/>
        <v>27056.558291080506</v>
      </c>
      <c r="AL244">
        <v>1</v>
      </c>
      <c r="AM244">
        <f t="shared" si="181"/>
        <v>32.467417559955003</v>
      </c>
      <c r="AN244">
        <f t="shared" si="196"/>
        <v>853.50036677892922</v>
      </c>
      <c r="AO244">
        <f t="shared" si="197"/>
        <v>-654.39450470573604</v>
      </c>
      <c r="AQ244">
        <f t="shared" si="182"/>
        <v>0.11110987655692714</v>
      </c>
      <c r="AR244">
        <f t="shared" si="183"/>
        <v>-33.332962967078146</v>
      </c>
      <c r="AT244">
        <f t="shared" si="209"/>
        <v>-143948.61302140277</v>
      </c>
      <c r="AU244">
        <f t="shared" si="210"/>
        <v>-144024.74349183039</v>
      </c>
      <c r="AV244">
        <f t="shared" si="198"/>
        <v>-2.3559301238302068</v>
      </c>
      <c r="AW244">
        <f t="shared" si="199"/>
        <v>-16353.912289217415</v>
      </c>
      <c r="AX244">
        <f t="shared" si="200"/>
        <v>-35094.471038665361</v>
      </c>
      <c r="AY244">
        <f t="shared" si="208"/>
        <v>-2.0068732978902579</v>
      </c>
      <c r="BA244">
        <f t="shared" si="184"/>
        <v>5.2592768114288209</v>
      </c>
      <c r="BB244">
        <f t="shared" si="201"/>
        <v>14.418520592585185</v>
      </c>
      <c r="BC244">
        <f t="shared" si="202"/>
        <v>-0.34905682593994891</v>
      </c>
      <c r="BD244">
        <f t="shared" si="185"/>
        <v>-199.99948295944441</v>
      </c>
      <c r="BF244">
        <f t="shared" si="186"/>
        <v>-16.857318475015266</v>
      </c>
      <c r="BG244">
        <f t="shared" si="187"/>
        <v>-148.13371071089884</v>
      </c>
      <c r="BH244">
        <f t="shared" si="203"/>
        <v>31.866289289101161</v>
      </c>
      <c r="BI244">
        <f t="shared" si="204"/>
        <v>31.866289289101161</v>
      </c>
      <c r="BJ244">
        <f t="shared" si="188"/>
        <v>0</v>
      </c>
      <c r="BK244">
        <f t="shared" si="205"/>
        <v>0</v>
      </c>
      <c r="BM244">
        <f t="shared" si="206"/>
        <v>-31.275839067600447</v>
      </c>
      <c r="BN244">
        <f t="shared" si="189"/>
        <v>-128.13422775145443</v>
      </c>
      <c r="BQ244" s="56">
        <f t="shared" si="207"/>
        <v>31.32048139287032</v>
      </c>
      <c r="BR244" s="59"/>
      <c r="BS244" s="59"/>
      <c r="BT244" s="59">
        <v>21877.616000000002</v>
      </c>
      <c r="BU244" s="59">
        <v>-3.49654</v>
      </c>
      <c r="BV244" s="59">
        <v>-169.465</v>
      </c>
      <c r="BY244" s="59"/>
      <c r="BZ244" s="59"/>
      <c r="CA244" s="59"/>
      <c r="CC244" s="59"/>
    </row>
    <row r="245" spans="1:81" x14ac:dyDescent="0.25">
      <c r="A245">
        <f t="shared" si="211"/>
        <v>155000</v>
      </c>
      <c r="B245">
        <f t="shared" si="191"/>
        <v>155</v>
      </c>
      <c r="C245">
        <f t="shared" si="159"/>
        <v>1.6286842395338801</v>
      </c>
      <c r="D245">
        <f t="shared" si="160"/>
        <v>0.9096873516587245</v>
      </c>
      <c r="F245">
        <f t="shared" si="161"/>
        <v>1.0679009077981527E-3</v>
      </c>
      <c r="G245">
        <f t="shared" si="162"/>
        <v>1.1122151269537381E-2</v>
      </c>
      <c r="H245">
        <f t="shared" si="163"/>
        <v>-3.130470498730463</v>
      </c>
      <c r="J245">
        <f t="shared" si="164"/>
        <v>15</v>
      </c>
      <c r="M245">
        <f t="shared" si="165"/>
        <v>9.6393804626005702E-3</v>
      </c>
      <c r="N245">
        <f t="shared" si="166"/>
        <v>-1.5707963250000001</v>
      </c>
      <c r="O245">
        <f t="shared" si="167"/>
        <v>39.652033951758852</v>
      </c>
      <c r="P245">
        <f t="shared" si="168"/>
        <v>1.5455742654377729</v>
      </c>
      <c r="Q245">
        <f t="shared" si="169"/>
        <v>33.564564781841447</v>
      </c>
      <c r="R245">
        <f t="shared" si="170"/>
        <v>1.5409985920112652</v>
      </c>
      <c r="S245">
        <f t="shared" si="171"/>
        <v>0.62012030832858078</v>
      </c>
      <c r="T245">
        <f t="shared" si="172"/>
        <v>-0.90190027750384538</v>
      </c>
      <c r="U245">
        <f t="shared" si="173"/>
        <v>0.71176279786219132</v>
      </c>
      <c r="V245">
        <f t="shared" si="174"/>
        <v>-0.77879169075006138</v>
      </c>
      <c r="X245">
        <f t="shared" si="192"/>
        <v>-16.610680815324148</v>
      </c>
      <c r="Y245">
        <f t="shared" si="175"/>
        <v>-136.69046014536264</v>
      </c>
      <c r="Z245">
        <f t="shared" si="193"/>
        <v>43.309539854637364</v>
      </c>
      <c r="AC245">
        <v>1</v>
      </c>
      <c r="AD245">
        <f t="shared" si="176"/>
        <v>39.639422252492999</v>
      </c>
      <c r="AE245">
        <f t="shared" si="177"/>
        <v>-4.6325501346708396E-3</v>
      </c>
      <c r="AF245">
        <f t="shared" si="178"/>
        <v>4.6941677376299996E-3</v>
      </c>
      <c r="AG245">
        <f t="shared" si="194"/>
        <v>4171.4793771067698</v>
      </c>
      <c r="AH245">
        <f t="shared" si="195"/>
        <v>-4329.7531077264211</v>
      </c>
      <c r="AJ245">
        <f t="shared" si="179"/>
        <v>22100</v>
      </c>
      <c r="AK245">
        <f t="shared" si="180"/>
        <v>27958.443567449853</v>
      </c>
      <c r="AL245">
        <v>1</v>
      </c>
      <c r="AM245">
        <f t="shared" si="181"/>
        <v>33.549664811953505</v>
      </c>
      <c r="AN245">
        <f t="shared" si="196"/>
        <v>852.22212598005183</v>
      </c>
      <c r="AO245">
        <f t="shared" si="197"/>
        <v>-633.32310451130093</v>
      </c>
      <c r="AQ245">
        <f t="shared" si="182"/>
        <v>0.10405718983153141</v>
      </c>
      <c r="AR245">
        <f t="shared" si="183"/>
        <v>-32.257728847774736</v>
      </c>
      <c r="AT245">
        <f t="shared" si="209"/>
        <v>-139233.92930542698</v>
      </c>
      <c r="AU245">
        <f t="shared" si="210"/>
        <v>-135012.99258184878</v>
      </c>
      <c r="AV245">
        <f t="shared" si="198"/>
        <v>-2.3715842836394607</v>
      </c>
      <c r="AW245">
        <f t="shared" si="199"/>
        <v>-15119.477432326608</v>
      </c>
      <c r="AX245">
        <f t="shared" si="200"/>
        <v>-34059.703653104763</v>
      </c>
      <c r="AY245">
        <f t="shared" si="208"/>
        <v>-1.988575122533355</v>
      </c>
      <c r="BA245">
        <f t="shared" si="184"/>
        <v>5.2045108589784927</v>
      </c>
      <c r="BB245">
        <f t="shared" si="201"/>
        <v>14.327598380182685</v>
      </c>
      <c r="BC245">
        <f t="shared" si="202"/>
        <v>-0.38300916110610572</v>
      </c>
      <c r="BD245">
        <f t="shared" si="185"/>
        <v>-201.94480847130166</v>
      </c>
      <c r="BF245">
        <f t="shared" si="186"/>
        <v>-17.343219448578235</v>
      </c>
      <c r="BG245">
        <f t="shared" si="187"/>
        <v>-149.18631015768767</v>
      </c>
      <c r="BH245">
        <f t="shared" si="203"/>
        <v>30.813689842312328</v>
      </c>
      <c r="BI245">
        <f t="shared" si="204"/>
        <v>30.813689842312328</v>
      </c>
      <c r="BJ245">
        <f t="shared" si="188"/>
        <v>0</v>
      </c>
      <c r="BK245">
        <f t="shared" si="205"/>
        <v>0</v>
      </c>
      <c r="BM245">
        <f t="shared" si="206"/>
        <v>-31.670817828760921</v>
      </c>
      <c r="BN245">
        <f t="shared" si="189"/>
        <v>-127.24150168638603</v>
      </c>
      <c r="BQ245" s="56">
        <f t="shared" si="207"/>
        <v>31.229559180467817</v>
      </c>
      <c r="BR245" s="59"/>
      <c r="BS245" s="59"/>
      <c r="BT245" s="59">
        <v>22387.210999999999</v>
      </c>
      <c r="BU245" s="59">
        <v>-3.4356</v>
      </c>
      <c r="BV245" s="59">
        <v>-168.34299999999999</v>
      </c>
      <c r="BY245" s="59"/>
      <c r="BZ245" s="59"/>
      <c r="CA245" s="59"/>
      <c r="CC245" s="59"/>
    </row>
    <row r="246" spans="1:81" x14ac:dyDescent="0.25">
      <c r="A246">
        <f t="shared" si="211"/>
        <v>160000</v>
      </c>
      <c r="B246">
        <f t="shared" si="191"/>
        <v>160</v>
      </c>
      <c r="C246">
        <f t="shared" si="159"/>
        <v>1.6616113214954171</v>
      </c>
      <c r="D246">
        <f t="shared" si="160"/>
        <v>0.92501143356080262</v>
      </c>
      <c r="F246">
        <f t="shared" si="161"/>
        <v>1.0021375614736128E-3</v>
      </c>
      <c r="G246">
        <f t="shared" si="162"/>
        <v>1.0773899367267945E-2</v>
      </c>
      <c r="H246">
        <f t="shared" si="163"/>
        <v>-3.1308187506327321</v>
      </c>
      <c r="J246">
        <f t="shared" si="164"/>
        <v>15</v>
      </c>
      <c r="M246">
        <f t="shared" si="165"/>
        <v>9.3381498231443032E-3</v>
      </c>
      <c r="N246">
        <f t="shared" si="166"/>
        <v>-1.5707963250000001</v>
      </c>
      <c r="O246">
        <f t="shared" si="167"/>
        <v>40.930330996099606</v>
      </c>
      <c r="P246">
        <f t="shared" si="168"/>
        <v>1.5463621361216708</v>
      </c>
      <c r="Q246">
        <f t="shared" si="169"/>
        <v>34.646346606897886</v>
      </c>
      <c r="R246">
        <f t="shared" si="170"/>
        <v>1.5419292456685669</v>
      </c>
      <c r="S246">
        <f t="shared" si="171"/>
        <v>0.60797659273749449</v>
      </c>
      <c r="T246">
        <f t="shared" si="172"/>
        <v>-0.91728674674219524</v>
      </c>
      <c r="U246">
        <f t="shared" si="173"/>
        <v>0.70052364479434892</v>
      </c>
      <c r="V246">
        <f t="shared" si="174"/>
        <v>-0.79466531704865828</v>
      </c>
      <c r="X246">
        <f t="shared" si="192"/>
        <v>-17.023575201556596</v>
      </c>
      <c r="Y246">
        <f t="shared" si="175"/>
        <v>-137.52501564232338</v>
      </c>
      <c r="Z246">
        <f t="shared" si="193"/>
        <v>42.474984357676618</v>
      </c>
      <c r="AC246">
        <v>1</v>
      </c>
      <c r="AD246">
        <f t="shared" si="176"/>
        <v>40.918113292896003</v>
      </c>
      <c r="AE246">
        <f t="shared" si="177"/>
        <v>-4.9362448885566486E-3</v>
      </c>
      <c r="AF246">
        <f t="shared" si="178"/>
        <v>4.8455925033599996E-3</v>
      </c>
      <c r="AG246">
        <f t="shared" si="194"/>
        <v>4040.779280831804</v>
      </c>
      <c r="AH246">
        <f t="shared" si="195"/>
        <v>-4322.7481585104761</v>
      </c>
      <c r="AJ246">
        <f t="shared" si="179"/>
        <v>22100</v>
      </c>
      <c r="AK246">
        <f t="shared" si="180"/>
        <v>28860.328843819203</v>
      </c>
      <c r="AL246">
        <v>1</v>
      </c>
      <c r="AM246">
        <f t="shared" si="181"/>
        <v>34.631912063952001</v>
      </c>
      <c r="AN246">
        <f t="shared" si="196"/>
        <v>851.06170442389805</v>
      </c>
      <c r="AO246">
        <f t="shared" si="197"/>
        <v>-613.56526478634419</v>
      </c>
      <c r="AQ246">
        <f t="shared" si="182"/>
        <v>9.7655296334996727E-2</v>
      </c>
      <c r="AR246">
        <f t="shared" si="183"/>
        <v>-31.249694827198955</v>
      </c>
      <c r="AT246">
        <f t="shared" si="209"/>
        <v>-134689.95727019466</v>
      </c>
      <c r="AU246">
        <f t="shared" si="210"/>
        <v>-126695.25864246323</v>
      </c>
      <c r="AV246">
        <f t="shared" si="198"/>
        <v>-2.3867708446892473</v>
      </c>
      <c r="AW246">
        <f t="shared" si="199"/>
        <v>-14007.448868095096</v>
      </c>
      <c r="AX246">
        <f t="shared" si="200"/>
        <v>-33089.403883059204</v>
      </c>
      <c r="AY246">
        <f t="shared" si="208"/>
        <v>-1.9712442260602199</v>
      </c>
      <c r="BA246">
        <f t="shared" si="184"/>
        <v>5.1461948047329509</v>
      </c>
      <c r="BB246">
        <f t="shared" si="201"/>
        <v>14.229724440515197</v>
      </c>
      <c r="BC246">
        <f t="shared" si="202"/>
        <v>-0.4155266186290274</v>
      </c>
      <c r="BD246">
        <f t="shared" si="185"/>
        <v>-203.80792154998991</v>
      </c>
      <c r="BF246">
        <f t="shared" si="186"/>
        <v>-17.819314718123938</v>
      </c>
      <c r="BG246">
        <f t="shared" si="187"/>
        <v>-150.191371381701</v>
      </c>
      <c r="BH246">
        <f t="shared" si="203"/>
        <v>29.808628618298997</v>
      </c>
      <c r="BI246">
        <f t="shared" si="204"/>
        <v>29.808628618298997</v>
      </c>
      <c r="BJ246">
        <f t="shared" si="188"/>
        <v>0</v>
      </c>
      <c r="BK246">
        <f t="shared" si="205"/>
        <v>0</v>
      </c>
      <c r="BM246">
        <f t="shared" si="206"/>
        <v>-32.049039158639133</v>
      </c>
      <c r="BN246">
        <f t="shared" si="189"/>
        <v>-126.38344983171109</v>
      </c>
      <c r="BQ246" s="56">
        <f t="shared" si="207"/>
        <v>31.131685240800337</v>
      </c>
      <c r="BR246" s="59"/>
      <c r="BS246" s="59"/>
      <c r="BT246" s="59">
        <v>22908.677</v>
      </c>
      <c r="BU246" s="59">
        <v>-3.37297</v>
      </c>
      <c r="BV246" s="59">
        <v>-167.03899999999999</v>
      </c>
      <c r="BY246" s="59"/>
      <c r="BZ246" s="59"/>
      <c r="CA246" s="59"/>
      <c r="CC246" s="59"/>
    </row>
    <row r="247" spans="1:81" x14ac:dyDescent="0.25">
      <c r="A247">
        <f t="shared" si="211"/>
        <v>165000</v>
      </c>
      <c r="B247">
        <f t="shared" si="191"/>
        <v>165</v>
      </c>
      <c r="C247">
        <f t="shared" si="159"/>
        <v>1.694913382763636</v>
      </c>
      <c r="D247">
        <f t="shared" si="160"/>
        <v>0.93973667915748527</v>
      </c>
      <c r="F247">
        <f t="shared" si="161"/>
        <v>9.4226876165692927E-4</v>
      </c>
      <c r="G247">
        <f t="shared" si="162"/>
        <v>1.0446813149014647E-2</v>
      </c>
      <c r="H247">
        <f t="shared" si="163"/>
        <v>-3.1311458368509855</v>
      </c>
      <c r="J247">
        <f t="shared" si="164"/>
        <v>15</v>
      </c>
      <c r="M247">
        <f t="shared" si="165"/>
        <v>9.0551755860793243E-3</v>
      </c>
      <c r="N247">
        <f t="shared" si="166"/>
        <v>-1.5707963250000001</v>
      </c>
      <c r="O247">
        <f t="shared" si="167"/>
        <v>42.208651908616098</v>
      </c>
      <c r="P247">
        <f t="shared" si="168"/>
        <v>1.5471022847242717</v>
      </c>
      <c r="Q247">
        <f t="shared" si="169"/>
        <v>35.72815662254483</v>
      </c>
      <c r="R247">
        <f t="shared" si="170"/>
        <v>1.5428035416690684</v>
      </c>
      <c r="S247">
        <f t="shared" si="171"/>
        <v>0.59616626626062308</v>
      </c>
      <c r="T247">
        <f t="shared" si="172"/>
        <v>-0.93207882235944783</v>
      </c>
      <c r="U247">
        <f t="shared" si="173"/>
        <v>0.68946823425791226</v>
      </c>
      <c r="V247">
        <f t="shared" si="174"/>
        <v>-0.81004169353761457</v>
      </c>
      <c r="X247">
        <f t="shared" si="192"/>
        <v>-17.427916232244947</v>
      </c>
      <c r="Y247">
        <f t="shared" si="175"/>
        <v>-138.33608599622232</v>
      </c>
      <c r="Z247">
        <f t="shared" si="193"/>
        <v>41.663914003777677</v>
      </c>
      <c r="AC247">
        <v>1</v>
      </c>
      <c r="AD247">
        <f t="shared" si="176"/>
        <v>42.196804333298999</v>
      </c>
      <c r="AE247">
        <f t="shared" si="177"/>
        <v>-5.2495807457404202E-3</v>
      </c>
      <c r="AF247">
        <f t="shared" si="178"/>
        <v>4.9970172690899997E-3</v>
      </c>
      <c r="AG247">
        <f t="shared" si="194"/>
        <v>3914.2454464298025</v>
      </c>
      <c r="AH247">
        <f t="shared" si="195"/>
        <v>-4312.2019335354653</v>
      </c>
      <c r="AJ247">
        <f t="shared" si="179"/>
        <v>22100</v>
      </c>
      <c r="AK247">
        <f t="shared" si="180"/>
        <v>29762.214120188553</v>
      </c>
      <c r="AL247">
        <v>1</v>
      </c>
      <c r="AM247">
        <f t="shared" si="181"/>
        <v>35.714159315950504</v>
      </c>
      <c r="AN247">
        <f t="shared" si="196"/>
        <v>850.00505866006142</v>
      </c>
      <c r="AO247">
        <f t="shared" si="197"/>
        <v>-595.00196416073436</v>
      </c>
      <c r="AQ247">
        <f t="shared" si="182"/>
        <v>9.1826521335892239E-2</v>
      </c>
      <c r="AR247">
        <f t="shared" si="183"/>
        <v>-30.302752040844435</v>
      </c>
      <c r="AT247">
        <f t="shared" si="209"/>
        <v>-130312.15439897463</v>
      </c>
      <c r="AU247">
        <f t="shared" si="210"/>
        <v>-119008.38369302121</v>
      </c>
      <c r="AV247">
        <f t="shared" si="198"/>
        <v>-2.4015017686482731</v>
      </c>
      <c r="AW247">
        <f t="shared" si="199"/>
        <v>-13002.721119056132</v>
      </c>
      <c r="AX247">
        <f t="shared" si="200"/>
        <v>-32177.241862861247</v>
      </c>
      <c r="AY247">
        <f t="shared" si="208"/>
        <v>-1.9548294485819295</v>
      </c>
      <c r="BA247">
        <f t="shared" si="184"/>
        <v>5.0850514961639526</v>
      </c>
      <c r="BB247">
        <f t="shared" si="201"/>
        <v>14.125907107364457</v>
      </c>
      <c r="BC247">
        <f t="shared" si="202"/>
        <v>-0.44667232006634361</v>
      </c>
      <c r="BD247">
        <f t="shared" si="185"/>
        <v>-205.59243879436178</v>
      </c>
      <c r="BF247">
        <f t="shared" si="186"/>
        <v>-18.285821664837027</v>
      </c>
      <c r="BG247">
        <f t="shared" si="187"/>
        <v>-151.15093485998952</v>
      </c>
      <c r="BH247">
        <f t="shared" si="203"/>
        <v>28.849065140010481</v>
      </c>
      <c r="BI247">
        <f t="shared" si="204"/>
        <v>28.849065140010481</v>
      </c>
      <c r="BJ247">
        <f t="shared" si="188"/>
        <v>0</v>
      </c>
      <c r="BK247">
        <f t="shared" si="205"/>
        <v>0</v>
      </c>
      <c r="BM247">
        <f t="shared" si="206"/>
        <v>-32.411728772201485</v>
      </c>
      <c r="BN247">
        <f t="shared" si="189"/>
        <v>-125.55849606562774</v>
      </c>
      <c r="BQ247" s="56">
        <f t="shared" si="207"/>
        <v>31.027867907649593</v>
      </c>
      <c r="BR247" s="59"/>
      <c r="BS247" s="59"/>
      <c r="BT247" s="59">
        <v>23442.288</v>
      </c>
      <c r="BU247" s="59">
        <v>-3.29522</v>
      </c>
      <c r="BV247" s="59">
        <v>-165.876</v>
      </c>
      <c r="BY247" s="59"/>
      <c r="BZ247" s="59"/>
      <c r="CA247" s="59"/>
      <c r="CC247" s="59"/>
    </row>
    <row r="248" spans="1:81" x14ac:dyDescent="0.25">
      <c r="A248">
        <f t="shared" si="211"/>
        <v>170000</v>
      </c>
      <c r="B248">
        <f t="shared" si="191"/>
        <v>170</v>
      </c>
      <c r="C248">
        <f t="shared" si="159"/>
        <v>1.7285687507746483</v>
      </c>
      <c r="D248">
        <f t="shared" si="160"/>
        <v>0.95389149226686709</v>
      </c>
      <c r="F248">
        <f t="shared" si="161"/>
        <v>8.8761034871841162E-4</v>
      </c>
      <c r="G248">
        <f t="shared" si="162"/>
        <v>1.0139018350864969E-2</v>
      </c>
      <c r="H248">
        <f t="shared" si="163"/>
        <v>-3.1314536316491353</v>
      </c>
      <c r="J248">
        <f t="shared" si="164"/>
        <v>15</v>
      </c>
      <c r="M248">
        <f t="shared" si="165"/>
        <v>8.788846892371107E-3</v>
      </c>
      <c r="N248">
        <f t="shared" si="166"/>
        <v>-1.5707963250000001</v>
      </c>
      <c r="O248">
        <f t="shared" si="167"/>
        <v>43.486994584459197</v>
      </c>
      <c r="P248">
        <f t="shared" si="168"/>
        <v>1.5477989189079988</v>
      </c>
      <c r="Q248">
        <f t="shared" si="169"/>
        <v>36.809992343299946</v>
      </c>
      <c r="R248">
        <f t="shared" si="170"/>
        <v>1.5436264476220924</v>
      </c>
      <c r="S248">
        <f t="shared" si="171"/>
        <v>0.58468534506659142</v>
      </c>
      <c r="T248">
        <f t="shared" si="172"/>
        <v>-0.94630418273582873</v>
      </c>
      <c r="U248">
        <f t="shared" si="173"/>
        <v>0.67860332415086055</v>
      </c>
      <c r="V248">
        <f t="shared" si="174"/>
        <v>-0.82493688650401731</v>
      </c>
      <c r="X248">
        <f t="shared" si="192"/>
        <v>-17.824090296986871</v>
      </c>
      <c r="Y248">
        <f t="shared" si="175"/>
        <v>-139.12413185603936</v>
      </c>
      <c r="Z248">
        <f t="shared" si="193"/>
        <v>40.875868143960645</v>
      </c>
      <c r="AC248">
        <v>1</v>
      </c>
      <c r="AD248">
        <f t="shared" si="176"/>
        <v>43.475495373701996</v>
      </c>
      <c r="AE248">
        <f t="shared" si="177"/>
        <v>-5.5725577062221551E-3</v>
      </c>
      <c r="AF248">
        <f t="shared" si="178"/>
        <v>5.1484420348199998E-3</v>
      </c>
      <c r="AG248">
        <f t="shared" si="194"/>
        <v>3791.8530373858825</v>
      </c>
      <c r="AH248">
        <f t="shared" si="195"/>
        <v>-4298.449844569398</v>
      </c>
      <c r="AJ248">
        <f t="shared" si="179"/>
        <v>22100</v>
      </c>
      <c r="AK248">
        <f t="shared" si="180"/>
        <v>30664.0993965579</v>
      </c>
      <c r="AL248">
        <v>1</v>
      </c>
      <c r="AM248">
        <f t="shared" si="181"/>
        <v>36.796406567949006</v>
      </c>
      <c r="AN248">
        <f t="shared" si="196"/>
        <v>849.04017644884971</v>
      </c>
      <c r="AO248">
        <f t="shared" si="197"/>
        <v>-577.52812857713934</v>
      </c>
      <c r="AQ248">
        <f t="shared" si="182"/>
        <v>8.6504442003096857E-2</v>
      </c>
      <c r="AR248">
        <f t="shared" si="183"/>
        <v>-29.411510281052934</v>
      </c>
      <c r="AT248">
        <f t="shared" si="209"/>
        <v>-126095.88966498643</v>
      </c>
      <c r="AU248">
        <f t="shared" si="210"/>
        <v>-111895.95959859945</v>
      </c>
      <c r="AV248">
        <f t="shared" si="198"/>
        <v>-2.4157894531960808</v>
      </c>
      <c r="AW248">
        <f t="shared" si="199"/>
        <v>-12092.397551471993</v>
      </c>
      <c r="AX248">
        <f t="shared" si="200"/>
        <v>-31317.720868003111</v>
      </c>
      <c r="AY248">
        <f t="shared" si="208"/>
        <v>-1.9392801980139602</v>
      </c>
      <c r="BA248">
        <f t="shared" si="184"/>
        <v>5.0217124484260562</v>
      </c>
      <c r="BB248">
        <f t="shared" si="201"/>
        <v>14.01703681334757</v>
      </c>
      <c r="BC248">
        <f t="shared" si="202"/>
        <v>-0.47650925518212062</v>
      </c>
      <c r="BD248">
        <f t="shared" si="185"/>
        <v>-207.3019692520549</v>
      </c>
      <c r="BF248">
        <f t="shared" si="186"/>
        <v>-18.742957713896804</v>
      </c>
      <c r="BG248">
        <f t="shared" si="187"/>
        <v>-152.06708960870213</v>
      </c>
      <c r="BH248">
        <f t="shared" si="203"/>
        <v>27.932910391297867</v>
      </c>
      <c r="BI248">
        <f t="shared" si="204"/>
        <v>27.932910391297867</v>
      </c>
      <c r="BJ248">
        <f t="shared" si="188"/>
        <v>0</v>
      </c>
      <c r="BK248">
        <f t="shared" si="205"/>
        <v>0</v>
      </c>
      <c r="BM248">
        <f t="shared" si="206"/>
        <v>-32.759994527244373</v>
      </c>
      <c r="BN248">
        <f t="shared" si="189"/>
        <v>-124.76512035664722</v>
      </c>
      <c r="BQ248" s="56">
        <f t="shared" si="207"/>
        <v>30.918997613632708</v>
      </c>
      <c r="BR248" s="59"/>
      <c r="BS248" s="59"/>
      <c r="BT248" s="59">
        <v>23988.329000000002</v>
      </c>
      <c r="BU248" s="59">
        <v>-3.2437399999999998</v>
      </c>
      <c r="BV248" s="59">
        <v>-164.703</v>
      </c>
      <c r="BY248" s="59"/>
      <c r="BZ248" s="59"/>
      <c r="CA248" s="59"/>
      <c r="CC248" s="59"/>
    </row>
    <row r="249" spans="1:81" x14ac:dyDescent="0.25">
      <c r="A249">
        <f t="shared" si="211"/>
        <v>175000</v>
      </c>
      <c r="B249">
        <f t="shared" si="191"/>
        <v>175</v>
      </c>
      <c r="C249">
        <f t="shared" si="159"/>
        <v>1.7625571868656678</v>
      </c>
      <c r="D249">
        <f t="shared" si="160"/>
        <v>0.96750303465043619</v>
      </c>
      <c r="F249">
        <f t="shared" si="161"/>
        <v>8.3757464240292014E-4</v>
      </c>
      <c r="G249">
        <f t="shared" si="162"/>
        <v>9.8488558287834552E-3</v>
      </c>
      <c r="H249">
        <f t="shared" si="163"/>
        <v>-3.131743794171217</v>
      </c>
      <c r="J249">
        <f t="shared" si="164"/>
        <v>15</v>
      </c>
      <c r="M249">
        <f t="shared" si="165"/>
        <v>8.5377369811605059E-3</v>
      </c>
      <c r="N249">
        <f t="shared" si="166"/>
        <v>-1.5707963250000001</v>
      </c>
      <c r="O249">
        <f t="shared" si="167"/>
        <v>44.765357159174549</v>
      </c>
      <c r="P249">
        <f t="shared" si="168"/>
        <v>1.5484557658845597</v>
      </c>
      <c r="Q249">
        <f t="shared" si="169"/>
        <v>37.891851567473239</v>
      </c>
      <c r="R249">
        <f t="shared" si="170"/>
        <v>1.5444023641104903</v>
      </c>
      <c r="S249">
        <f t="shared" si="171"/>
        <v>0.57352871444752151</v>
      </c>
      <c r="T249">
        <f t="shared" si="172"/>
        <v>-0.95998934509587541</v>
      </c>
      <c r="U249">
        <f t="shared" si="173"/>
        <v>0.66793417963378876</v>
      </c>
      <c r="V249">
        <f t="shared" si="174"/>
        <v>-0.83936682740124136</v>
      </c>
      <c r="X249">
        <f t="shared" si="192"/>
        <v>-18.21245033458856</v>
      </c>
      <c r="Y249">
        <f t="shared" si="175"/>
        <v>-139.88965847119374</v>
      </c>
      <c r="Z249">
        <f t="shared" si="193"/>
        <v>40.110341528806259</v>
      </c>
      <c r="AC249">
        <v>1</v>
      </c>
      <c r="AD249">
        <f t="shared" si="176"/>
        <v>44.754186414105</v>
      </c>
      <c r="AE249">
        <f t="shared" si="177"/>
        <v>-5.9051757700018491E-3</v>
      </c>
      <c r="AF249">
        <f t="shared" si="178"/>
        <v>5.2998668005499999E-3</v>
      </c>
      <c r="AG249">
        <f t="shared" si="194"/>
        <v>3673.5577120125695</v>
      </c>
      <c r="AH249">
        <f t="shared" si="195"/>
        <v>-4281.8064764052306</v>
      </c>
      <c r="AJ249">
        <f t="shared" si="179"/>
        <v>22100</v>
      </c>
      <c r="AK249">
        <f t="shared" si="180"/>
        <v>31565.984672927258</v>
      </c>
      <c r="AL249">
        <v>1</v>
      </c>
      <c r="AM249">
        <f t="shared" si="181"/>
        <v>37.878653819947502</v>
      </c>
      <c r="AN249">
        <f t="shared" si="196"/>
        <v>848.15673422558086</v>
      </c>
      <c r="AO249">
        <f t="shared" si="197"/>
        <v>-561.05064786074479</v>
      </c>
      <c r="AQ249">
        <f t="shared" si="182"/>
        <v>8.1631986677659779E-2</v>
      </c>
      <c r="AR249">
        <f t="shared" si="183"/>
        <v>-28.571195337180921</v>
      </c>
      <c r="AT249">
        <f t="shared" si="209"/>
        <v>-122036.44941917357</v>
      </c>
      <c r="AU249">
        <f t="shared" si="210"/>
        <v>-105307.46734155677</v>
      </c>
      <c r="AV249">
        <f t="shared" si="198"/>
        <v>-2.4296465800238325</v>
      </c>
      <c r="AW249">
        <f t="shared" si="199"/>
        <v>-11265.418254340719</v>
      </c>
      <c r="AX249">
        <f t="shared" si="200"/>
        <v>-30506.044065460024</v>
      </c>
      <c r="AY249">
        <f t="shared" si="208"/>
        <v>-1.9245470168003929</v>
      </c>
      <c r="BA249">
        <f t="shared" si="184"/>
        <v>4.9567262670482934</v>
      </c>
      <c r="BB249">
        <f t="shared" si="201"/>
        <v>13.90389871704614</v>
      </c>
      <c r="BC249">
        <f t="shared" si="202"/>
        <v>-0.50509956322343963</v>
      </c>
      <c r="BD249">
        <f t="shared" si="185"/>
        <v>-208.94007323967324</v>
      </c>
      <c r="BF249">
        <f t="shared" si="186"/>
        <v>-19.1909413550413</v>
      </c>
      <c r="BG249">
        <f t="shared" si="187"/>
        <v>-152.94193475209451</v>
      </c>
      <c r="BH249">
        <f t="shared" si="203"/>
        <v>27.058065247905489</v>
      </c>
      <c r="BI249">
        <f t="shared" si="204"/>
        <v>27.058065247905489</v>
      </c>
      <c r="BJ249">
        <f t="shared" si="188"/>
        <v>0</v>
      </c>
      <c r="BK249">
        <f t="shared" si="205"/>
        <v>0</v>
      </c>
      <c r="BM249">
        <f t="shared" si="206"/>
        <v>-33.094840072087443</v>
      </c>
      <c r="BN249">
        <f t="shared" si="189"/>
        <v>-124.00186151242127</v>
      </c>
      <c r="BQ249" s="56">
        <f t="shared" si="207"/>
        <v>30.805859517331275</v>
      </c>
      <c r="BR249" s="59"/>
      <c r="BS249" s="59"/>
      <c r="BT249" s="59">
        <v>24547.089</v>
      </c>
      <c r="BU249" s="59">
        <v>-3.1709299999999998</v>
      </c>
      <c r="BV249" s="59">
        <v>-163.65100000000001</v>
      </c>
      <c r="BY249" s="59"/>
      <c r="BZ249" s="59"/>
      <c r="CA249" s="59"/>
      <c r="CC249" s="59"/>
    </row>
    <row r="250" spans="1:81" x14ac:dyDescent="0.25">
      <c r="A250">
        <f t="shared" si="211"/>
        <v>180000</v>
      </c>
      <c r="B250">
        <f t="shared" si="191"/>
        <v>180</v>
      </c>
      <c r="C250">
        <f t="shared" si="159"/>
        <v>1.7968597907245951</v>
      </c>
      <c r="D250">
        <f t="shared" si="160"/>
        <v>0.98059722973239993</v>
      </c>
      <c r="F250">
        <f t="shared" si="161"/>
        <v>7.9165456033822659E-4</v>
      </c>
      <c r="G250">
        <f t="shared" si="162"/>
        <v>9.5748515338960477E-3</v>
      </c>
      <c r="H250">
        <f t="shared" si="163"/>
        <v>-3.1320177984661042</v>
      </c>
      <c r="J250">
        <f t="shared" si="164"/>
        <v>15</v>
      </c>
      <c r="M250">
        <f t="shared" si="165"/>
        <v>8.300577620572713E-3</v>
      </c>
      <c r="N250">
        <f t="shared" si="166"/>
        <v>-1.5707963250000001</v>
      </c>
      <c r="O250">
        <f t="shared" si="167"/>
        <v>46.043737975339823</v>
      </c>
      <c r="P250">
        <f t="shared" si="168"/>
        <v>1.5490761390763723</v>
      </c>
      <c r="Q250">
        <f t="shared" si="169"/>
        <v>38.9737323377934</v>
      </c>
      <c r="R250">
        <f t="shared" si="170"/>
        <v>1.5451352033325598</v>
      </c>
      <c r="S250">
        <f t="shared" si="171"/>
        <v>0.56269035388412914</v>
      </c>
      <c r="T250">
        <f t="shared" si="172"/>
        <v>-0.97315966169612478</v>
      </c>
      <c r="U250">
        <f t="shared" si="173"/>
        <v>0.65746473463626165</v>
      </c>
      <c r="V250">
        <f t="shared" si="174"/>
        <v>-0.85334724384075211</v>
      </c>
      <c r="X250">
        <f t="shared" si="192"/>
        <v>-18.593320250630072</v>
      </c>
      <c r="Y250">
        <f t="shared" si="175"/>
        <v>-140.6332047011559</v>
      </c>
      <c r="Z250">
        <f t="shared" si="193"/>
        <v>39.366795298844096</v>
      </c>
      <c r="AC250">
        <v>1</v>
      </c>
      <c r="AD250">
        <f t="shared" si="176"/>
        <v>46.032877454507997</v>
      </c>
      <c r="AE250">
        <f t="shared" si="177"/>
        <v>-6.2474349370795082E-3</v>
      </c>
      <c r="AF250">
        <f t="shared" si="178"/>
        <v>5.4512915662799999E-3</v>
      </c>
      <c r="AG250">
        <f t="shared" si="194"/>
        <v>3559.298874404441</v>
      </c>
      <c r="AH250">
        <f t="shared" si="195"/>
        <v>-4262.5656428277998</v>
      </c>
      <c r="AJ250">
        <f t="shared" si="179"/>
        <v>22100</v>
      </c>
      <c r="AK250">
        <f t="shared" si="180"/>
        <v>32467.869949296604</v>
      </c>
      <c r="AL250">
        <v>1</v>
      </c>
      <c r="AM250">
        <f t="shared" si="181"/>
        <v>38.960901071946004</v>
      </c>
      <c r="AN250">
        <f t="shared" si="196"/>
        <v>847.34582009569499</v>
      </c>
      <c r="AO250">
        <f t="shared" si="197"/>
        <v>-545.48672117872013</v>
      </c>
      <c r="AQ250">
        <f t="shared" si="182"/>
        <v>7.7159898457573636E-2</v>
      </c>
      <c r="AR250">
        <f t="shared" si="183"/>
        <v>-27.777563444726507</v>
      </c>
      <c r="AT250">
        <f t="shared" si="209"/>
        <v>-118129.05244123144</v>
      </c>
      <c r="AU250">
        <f t="shared" si="210"/>
        <v>-99197.54943468234</v>
      </c>
      <c r="AV250">
        <f t="shared" si="198"/>
        <v>-2.4430859877208526</v>
      </c>
      <c r="AW250">
        <f t="shared" si="199"/>
        <v>-10512.258756657759</v>
      </c>
      <c r="AX250">
        <f t="shared" si="200"/>
        <v>-29738.005825971057</v>
      </c>
      <c r="AY250">
        <f t="shared" si="208"/>
        <v>-1.9105820017400026</v>
      </c>
      <c r="BA250">
        <f t="shared" si="184"/>
        <v>4.8905669883956868</v>
      </c>
      <c r="BB250">
        <f t="shared" si="201"/>
        <v>13.787184240374541</v>
      </c>
      <c r="BC250">
        <f t="shared" si="202"/>
        <v>-0.53250398598085003</v>
      </c>
      <c r="BD250">
        <f t="shared" si="185"/>
        <v>-210.51023100545927</v>
      </c>
      <c r="BF250">
        <f t="shared" si="186"/>
        <v>-19.629992413928562</v>
      </c>
      <c r="BG250">
        <f t="shared" si="187"/>
        <v>-153.77754969238921</v>
      </c>
      <c r="BH250">
        <f t="shared" si="203"/>
        <v>26.222450307610785</v>
      </c>
      <c r="BI250">
        <f t="shared" si="204"/>
        <v>26.222450307610785</v>
      </c>
      <c r="BJ250">
        <f t="shared" si="188"/>
        <v>0</v>
      </c>
      <c r="BK250">
        <f t="shared" si="205"/>
        <v>0</v>
      </c>
      <c r="BM250">
        <f t="shared" si="206"/>
        <v>-33.417176654303098</v>
      </c>
      <c r="BN250">
        <f t="shared" si="189"/>
        <v>-123.26731868692995</v>
      </c>
      <c r="BQ250" s="56">
        <f t="shared" si="207"/>
        <v>30.689145040659675</v>
      </c>
      <c r="BR250" s="59"/>
      <c r="BS250" s="59"/>
      <c r="BT250" s="59">
        <v>25118.864000000001</v>
      </c>
      <c r="BU250" s="59">
        <v>-3.1069800000000001</v>
      </c>
      <c r="BV250" s="59">
        <v>-162.52199999999999</v>
      </c>
      <c r="BY250" s="59"/>
      <c r="BZ250" s="59"/>
      <c r="CA250" s="59"/>
      <c r="CC250" s="59"/>
    </row>
    <row r="251" spans="1:81" x14ac:dyDescent="0.25">
      <c r="A251">
        <f t="shared" si="211"/>
        <v>185000</v>
      </c>
      <c r="B251">
        <f t="shared" si="191"/>
        <v>185</v>
      </c>
      <c r="C251">
        <f t="shared" si="159"/>
        <v>1.8314589096694709</v>
      </c>
      <c r="D251">
        <f t="shared" si="160"/>
        <v>0.99319877860283101</v>
      </c>
      <c r="F251">
        <f t="shared" si="161"/>
        <v>7.4941070556889481E-4</v>
      </c>
      <c r="G251">
        <f t="shared" si="162"/>
        <v>9.3156913833766352E-3</v>
      </c>
      <c r="H251">
        <f t="shared" si="163"/>
        <v>-3.1322769586166235</v>
      </c>
      <c r="J251">
        <f t="shared" si="164"/>
        <v>15</v>
      </c>
      <c r="M251">
        <f t="shared" si="165"/>
        <v>8.0762376848815577E-3</v>
      </c>
      <c r="N251">
        <f t="shared" si="166"/>
        <v>-1.5707963250000001</v>
      </c>
      <c r="O251">
        <f t="shared" si="167"/>
        <v>47.322135554607577</v>
      </c>
      <c r="P251">
        <f t="shared" si="168"/>
        <v>1.5496629939803341</v>
      </c>
      <c r="Q251">
        <f t="shared" si="169"/>
        <v>40.055632908411518</v>
      </c>
      <c r="R251">
        <f t="shared" si="170"/>
        <v>1.545828455011486</v>
      </c>
      <c r="S251">
        <f t="shared" si="171"/>
        <v>0.55216353057707734</v>
      </c>
      <c r="T251">
        <f t="shared" si="172"/>
        <v>-0.98583932874150815</v>
      </c>
      <c r="U251">
        <f t="shared" si="173"/>
        <v>0.64719774176176292</v>
      </c>
      <c r="V251">
        <f t="shared" si="174"/>
        <v>-0.86689360245830438</v>
      </c>
      <c r="X251">
        <f t="shared" si="192"/>
        <v>-18.966998625798112</v>
      </c>
      <c r="Y251">
        <f t="shared" si="175"/>
        <v>-141.35533379858182</v>
      </c>
      <c r="Z251">
        <f t="shared" si="193"/>
        <v>38.644666201418175</v>
      </c>
      <c r="AC251">
        <v>1</v>
      </c>
      <c r="AD251">
        <f t="shared" si="176"/>
        <v>47.311568494911</v>
      </c>
      <c r="AE251">
        <f t="shared" si="177"/>
        <v>-6.5993352074551282E-3</v>
      </c>
      <c r="AF251">
        <f t="shared" si="178"/>
        <v>5.60271633201E-3</v>
      </c>
      <c r="AG251">
        <f t="shared" si="194"/>
        <v>3449.0025693412513</v>
      </c>
      <c r="AH251">
        <f t="shared" si="195"/>
        <v>-4241.0007357864051</v>
      </c>
      <c r="AJ251">
        <f t="shared" si="179"/>
        <v>22100</v>
      </c>
      <c r="AK251">
        <f t="shared" si="180"/>
        <v>33369.755225665955</v>
      </c>
      <c r="AL251">
        <v>1</v>
      </c>
      <c r="AM251">
        <f t="shared" si="181"/>
        <v>40.043148323944507</v>
      </c>
      <c r="AN251">
        <f t="shared" si="196"/>
        <v>846.5997084177767</v>
      </c>
      <c r="AO251">
        <f t="shared" si="197"/>
        <v>-530.76246951524979</v>
      </c>
      <c r="AQ251">
        <f t="shared" si="182"/>
        <v>7.3045485423773385E-2</v>
      </c>
      <c r="AR251">
        <f t="shared" si="183"/>
        <v>-27.026829606796152</v>
      </c>
      <c r="AT251">
        <f t="shared" si="209"/>
        <v>-114368.8701814909</v>
      </c>
      <c r="AU251">
        <f t="shared" si="210"/>
        <v>-93525.390712416236</v>
      </c>
      <c r="AV251">
        <f t="shared" si="198"/>
        <v>-2.4561205659457541</v>
      </c>
      <c r="AW251">
        <f t="shared" si="199"/>
        <v>-9824.6845805955181</v>
      </c>
      <c r="AX251">
        <f t="shared" si="200"/>
        <v>-29009.902520165611</v>
      </c>
      <c r="AY251">
        <f t="shared" si="208"/>
        <v>-1.8973391023620807</v>
      </c>
      <c r="BA251">
        <f t="shared" si="184"/>
        <v>4.8236421007983274</v>
      </c>
      <c r="BB251">
        <f t="shared" si="201"/>
        <v>13.66750154062462</v>
      </c>
      <c r="BC251">
        <f t="shared" si="202"/>
        <v>-0.55878146358367342</v>
      </c>
      <c r="BD251">
        <f t="shared" si="185"/>
        <v>-212.01581957007102</v>
      </c>
      <c r="BF251">
        <f t="shared" si="186"/>
        <v>-20.060331834627128</v>
      </c>
      <c r="BG251">
        <f t="shared" si="187"/>
        <v>-154.57597147343205</v>
      </c>
      <c r="BH251">
        <f t="shared" si="203"/>
        <v>25.424028526567952</v>
      </c>
      <c r="BI251">
        <f t="shared" si="204"/>
        <v>25.424028526567952</v>
      </c>
      <c r="BJ251">
        <f t="shared" si="188"/>
        <v>0</v>
      </c>
      <c r="BK251">
        <f t="shared" si="205"/>
        <v>0</v>
      </c>
      <c r="BM251">
        <f t="shared" si="206"/>
        <v>-33.727833375251748</v>
      </c>
      <c r="BN251">
        <f t="shared" si="189"/>
        <v>-122.56015190336106</v>
      </c>
      <c r="BQ251" s="56">
        <f t="shared" si="207"/>
        <v>30.569462340909759</v>
      </c>
      <c r="BR251" s="59"/>
      <c r="BS251" s="59"/>
      <c r="BT251" s="59">
        <v>25703.957999999999</v>
      </c>
      <c r="BU251" s="59">
        <v>-3.0172699999999999</v>
      </c>
      <c r="BV251" s="59">
        <v>-161.32599999999999</v>
      </c>
      <c r="BY251" s="59"/>
      <c r="BZ251" s="59"/>
      <c r="CA251" s="59"/>
      <c r="CC251" s="59"/>
    </row>
    <row r="252" spans="1:81" x14ac:dyDescent="0.25">
      <c r="A252">
        <f t="shared" si="211"/>
        <v>190000</v>
      </c>
      <c r="B252">
        <f t="shared" si="191"/>
        <v>190</v>
      </c>
      <c r="C252">
        <f t="shared" si="159"/>
        <v>1.8663380529331683</v>
      </c>
      <c r="D252">
        <f t="shared" si="160"/>
        <v>1.0053311855047589</v>
      </c>
      <c r="F252">
        <f t="shared" si="161"/>
        <v>7.104608051683968E-4</v>
      </c>
      <c r="G252">
        <f t="shared" si="162"/>
        <v>9.0702001196978077E-3</v>
      </c>
      <c r="H252">
        <f t="shared" si="163"/>
        <v>-3.1325224498803026</v>
      </c>
      <c r="J252">
        <f t="shared" si="164"/>
        <v>15</v>
      </c>
      <c r="M252">
        <f t="shared" si="165"/>
        <v>7.8637051142267812E-3</v>
      </c>
      <c r="N252">
        <f t="shared" si="166"/>
        <v>-1.5707963250000001</v>
      </c>
      <c r="O252">
        <f t="shared" si="167"/>
        <v>48.600548574158843</v>
      </c>
      <c r="P252">
        <f t="shared" si="168"/>
        <v>1.5502189752204933</v>
      </c>
      <c r="Q252">
        <f t="shared" si="169"/>
        <v>41.1375517171087</v>
      </c>
      <c r="R252">
        <f t="shared" si="170"/>
        <v>1.5464852419136652</v>
      </c>
      <c r="S252">
        <f t="shared" si="171"/>
        <v>0.54194096498649824</v>
      </c>
      <c r="T252">
        <f t="shared" si="172"/>
        <v>-0.99805140527124014</v>
      </c>
      <c r="U252">
        <f t="shared" si="173"/>
        <v>0.63713491051075888</v>
      </c>
      <c r="V252">
        <f t="shared" si="174"/>
        <v>-0.8800210623168756</v>
      </c>
      <c r="X252">
        <f t="shared" si="192"/>
        <v>-19.333761840298845</v>
      </c>
      <c r="Y252">
        <f t="shared" si="175"/>
        <v>-142.05662569566746</v>
      </c>
      <c r="Z252">
        <f t="shared" si="193"/>
        <v>37.943374304332536</v>
      </c>
      <c r="AC252">
        <v>1</v>
      </c>
      <c r="AD252">
        <f t="shared" si="176"/>
        <v>48.590259535313997</v>
      </c>
      <c r="AE252">
        <f t="shared" si="177"/>
        <v>-6.9608765811287124E-3</v>
      </c>
      <c r="AF252">
        <f t="shared" si="178"/>
        <v>5.7541410977400001E-3</v>
      </c>
      <c r="AG252">
        <f t="shared" si="194"/>
        <v>3342.5840418685757</v>
      </c>
      <c r="AH252">
        <f t="shared" si="195"/>
        <v>-4217.3652966258969</v>
      </c>
      <c r="AJ252">
        <f t="shared" si="179"/>
        <v>22100</v>
      </c>
      <c r="AK252">
        <f t="shared" si="180"/>
        <v>34271.640502035305</v>
      </c>
      <c r="AL252">
        <v>1</v>
      </c>
      <c r="AM252">
        <f t="shared" si="181"/>
        <v>41.12539557594301</v>
      </c>
      <c r="AN252">
        <f t="shared" si="196"/>
        <v>845.91167528174356</v>
      </c>
      <c r="AO252">
        <f t="shared" si="197"/>
        <v>-516.81176623505098</v>
      </c>
      <c r="AQ252">
        <f t="shared" si="182"/>
        <v>6.92515979806234E-2</v>
      </c>
      <c r="AR252">
        <f t="shared" si="183"/>
        <v>-26.315607232636893</v>
      </c>
      <c r="AT252">
        <f t="shared" si="209"/>
        <v>-110751.04941627636</v>
      </c>
      <c r="AU252">
        <f t="shared" si="210"/>
        <v>-88254.188073952726</v>
      </c>
      <c r="AV252">
        <f t="shared" si="198"/>
        <v>-2.4687631678135253</v>
      </c>
      <c r="AW252">
        <f t="shared" si="199"/>
        <v>-9195.5501156865539</v>
      </c>
      <c r="AX252">
        <f t="shared" si="200"/>
        <v>-28318.458880157486</v>
      </c>
      <c r="AY252">
        <f t="shared" si="208"/>
        <v>-1.8847743204594438</v>
      </c>
      <c r="BA252">
        <f t="shared" si="184"/>
        <v>4.7563000926091945</v>
      </c>
      <c r="BB252">
        <f t="shared" si="201"/>
        <v>13.5453849612068</v>
      </c>
      <c r="BC252">
        <f t="shared" si="202"/>
        <v>-0.58398884735408152</v>
      </c>
      <c r="BD252">
        <f t="shared" si="185"/>
        <v>-213.46009627433227</v>
      </c>
      <c r="BF252">
        <f t="shared" si="186"/>
        <v>-20.482181163508827</v>
      </c>
      <c r="BG252">
        <f t="shared" si="187"/>
        <v>-155.33917807941538</v>
      </c>
      <c r="BH252">
        <f t="shared" si="203"/>
        <v>24.660821920584624</v>
      </c>
      <c r="BI252">
        <f t="shared" si="204"/>
        <v>24.660821920584624</v>
      </c>
      <c r="BJ252">
        <f t="shared" si="188"/>
        <v>0</v>
      </c>
      <c r="BK252">
        <f t="shared" si="205"/>
        <v>0</v>
      </c>
      <c r="BM252">
        <f t="shared" si="206"/>
        <v>-34.027566124715626</v>
      </c>
      <c r="BN252">
        <f t="shared" si="189"/>
        <v>-121.8790818050831</v>
      </c>
      <c r="BQ252" s="56">
        <f t="shared" si="207"/>
        <v>30.447345761491938</v>
      </c>
      <c r="BR252" s="59"/>
      <c r="BS252" s="59"/>
      <c r="BT252" s="59">
        <v>26302.68</v>
      </c>
      <c r="BU252" s="59">
        <v>-2.9494799999999999</v>
      </c>
      <c r="BV252" s="59">
        <v>-160.22999999999999</v>
      </c>
      <c r="BY252" s="59"/>
      <c r="BZ252" s="59"/>
      <c r="CA252" s="59"/>
      <c r="CC252" s="59"/>
    </row>
    <row r="253" spans="1:81" x14ac:dyDescent="0.25">
      <c r="A253">
        <f t="shared" si="211"/>
        <v>195000</v>
      </c>
      <c r="B253">
        <f t="shared" si="191"/>
        <v>195</v>
      </c>
      <c r="C253">
        <f t="shared" si="159"/>
        <v>1.901481811003956</v>
      </c>
      <c r="D253">
        <f t="shared" si="160"/>
        <v>1.0170167904770018</v>
      </c>
      <c r="F253">
        <f t="shared" si="161"/>
        <v>6.7447102302560492E-4</v>
      </c>
      <c r="G253">
        <f t="shared" si="162"/>
        <v>8.8373234383124014E-3</v>
      </c>
      <c r="H253">
        <f t="shared" si="163"/>
        <v>-3.1327553265616879</v>
      </c>
      <c r="J253">
        <f t="shared" si="164"/>
        <v>15</v>
      </c>
      <c r="M253">
        <f t="shared" si="165"/>
        <v>7.6620716497594272E-3</v>
      </c>
      <c r="N253">
        <f t="shared" si="166"/>
        <v>-1.5707963250000001</v>
      </c>
      <c r="O253">
        <f t="shared" si="167"/>
        <v>49.878975846776406</v>
      </c>
      <c r="P253">
        <f t="shared" si="168"/>
        <v>1.550746456369225</v>
      </c>
      <c r="Q253">
        <f t="shared" si="169"/>
        <v>42.219487361775037</v>
      </c>
      <c r="R253">
        <f t="shared" si="170"/>
        <v>1.5471083668379069</v>
      </c>
      <c r="S253">
        <f t="shared" si="171"/>
        <v>0.53201497168962419</v>
      </c>
      <c r="T253">
        <f t="shared" si="172"/>
        <v>-1.0098178397030027</v>
      </c>
      <c r="U253">
        <f t="shared" si="173"/>
        <v>0.62727703398842738</v>
      </c>
      <c r="V253">
        <f t="shared" si="174"/>
        <v>-0.89274443759483868</v>
      </c>
      <c r="X253">
        <f t="shared" si="192"/>
        <v>-19.693866715941958</v>
      </c>
      <c r="Y253">
        <f t="shared" si="175"/>
        <v>-142.73767056705174</v>
      </c>
      <c r="Z253">
        <f t="shared" si="193"/>
        <v>37.262329432948263</v>
      </c>
      <c r="AC253">
        <v>1</v>
      </c>
      <c r="AD253">
        <f t="shared" si="176"/>
        <v>49.868950575717001</v>
      </c>
      <c r="AE253">
        <f t="shared" si="177"/>
        <v>-7.3320590581002557E-3</v>
      </c>
      <c r="AF253">
        <f t="shared" si="178"/>
        <v>5.9055658634700001E-3</v>
      </c>
      <c r="AG253">
        <f t="shared" si="194"/>
        <v>3239.9499851442047</v>
      </c>
      <c r="AH253">
        <f t="shared" si="195"/>
        <v>-4191.8937505207132</v>
      </c>
      <c r="AJ253">
        <f t="shared" si="179"/>
        <v>22100</v>
      </c>
      <c r="AK253">
        <f t="shared" si="180"/>
        <v>35173.525778404655</v>
      </c>
      <c r="AL253">
        <v>1</v>
      </c>
      <c r="AM253">
        <f t="shared" si="181"/>
        <v>42.207642827941505</v>
      </c>
      <c r="AN253">
        <f t="shared" si="196"/>
        <v>845.27584661926301</v>
      </c>
      <c r="AO253">
        <f t="shared" si="197"/>
        <v>-503.57524678706022</v>
      </c>
      <c r="AQ253">
        <f t="shared" si="182"/>
        <v>6.5745787338676268E-2</v>
      </c>
      <c r="AR253">
        <f t="shared" si="183"/>
        <v>-25.640857062083747</v>
      </c>
      <c r="AT253">
        <f t="shared" si="209"/>
        <v>-107270.73541383252</v>
      </c>
      <c r="AU253">
        <f t="shared" si="210"/>
        <v>-83350.693812450962</v>
      </c>
      <c r="AV253">
        <f t="shared" si="198"/>
        <v>-2.4810265378706173</v>
      </c>
      <c r="AW253">
        <f t="shared" si="199"/>
        <v>-8618.6329071271248</v>
      </c>
      <c r="AX253">
        <f t="shared" si="200"/>
        <v>-27660.766878519473</v>
      </c>
      <c r="AY253">
        <f t="shared" si="208"/>
        <v>-1.8728458304201983</v>
      </c>
      <c r="BA253">
        <f t="shared" si="184"/>
        <v>4.688837437306991</v>
      </c>
      <c r="BB253">
        <f t="shared" si="201"/>
        <v>13.421303518908442</v>
      </c>
      <c r="BC253">
        <f t="shared" si="202"/>
        <v>-0.60818070745041908</v>
      </c>
      <c r="BD253">
        <f t="shared" si="185"/>
        <v>-214.8461877580072</v>
      </c>
      <c r="BF253">
        <f t="shared" si="186"/>
        <v>-20.895761870731661</v>
      </c>
      <c r="BG253">
        <f t="shared" si="187"/>
        <v>-156.06907656736431</v>
      </c>
      <c r="BH253">
        <f t="shared" si="203"/>
        <v>23.930923432635694</v>
      </c>
      <c r="BI253">
        <f t="shared" si="204"/>
        <v>23.930923432635694</v>
      </c>
      <c r="BJ253">
        <f t="shared" si="188"/>
        <v>0</v>
      </c>
      <c r="BK253">
        <f t="shared" si="205"/>
        <v>0</v>
      </c>
      <c r="BM253">
        <f t="shared" si="206"/>
        <v>-34.317065389640099</v>
      </c>
      <c r="BN253">
        <f t="shared" si="189"/>
        <v>-121.2228888093571</v>
      </c>
      <c r="BQ253" s="56">
        <f t="shared" si="207"/>
        <v>30.323264319193576</v>
      </c>
      <c r="BR253" s="59"/>
      <c r="BS253" s="59"/>
      <c r="BT253" s="59">
        <v>26915.348000000002</v>
      </c>
      <c r="BU253" s="59">
        <v>-2.8411300000000002</v>
      </c>
      <c r="BV253" s="59">
        <v>-159.27600000000001</v>
      </c>
      <c r="BY253" s="59"/>
      <c r="BZ253" s="59"/>
      <c r="CA253" s="59"/>
      <c r="CC253" s="59"/>
    </row>
    <row r="254" spans="1:81" x14ac:dyDescent="0.25">
      <c r="A254">
        <f t="shared" si="211"/>
        <v>200000</v>
      </c>
      <c r="B254">
        <f t="shared" si="191"/>
        <v>200</v>
      </c>
      <c r="C254">
        <f t="shared" si="159"/>
        <v>1.9368757799779597</v>
      </c>
      <c r="D254">
        <f t="shared" si="160"/>
        <v>1.0282768072320181</v>
      </c>
      <c r="F254">
        <f t="shared" si="161"/>
        <v>6.4114877605551555E-4</v>
      </c>
      <c r="G254">
        <f t="shared" si="162"/>
        <v>8.6161128087030598E-3</v>
      </c>
      <c r="H254">
        <f t="shared" si="163"/>
        <v>-3.132976537191297</v>
      </c>
      <c r="J254">
        <f t="shared" si="164"/>
        <v>15</v>
      </c>
      <c r="M254">
        <f t="shared" si="165"/>
        <v>7.470519858515442E-3</v>
      </c>
      <c r="N254">
        <f t="shared" si="166"/>
        <v>-1.5707963250000001</v>
      </c>
      <c r="O254">
        <f t="shared" si="167"/>
        <v>51.157416303905052</v>
      </c>
      <c r="P254">
        <f t="shared" si="168"/>
        <v>1.5512475738010112</v>
      </c>
      <c r="Q254">
        <f t="shared" si="169"/>
        <v>43.301438580413105</v>
      </c>
      <c r="R254">
        <f t="shared" si="170"/>
        <v>1.5477003525657702</v>
      </c>
      <c r="S254">
        <f t="shared" si="171"/>
        <v>0.52237757860152578</v>
      </c>
      <c r="T254">
        <f t="shared" si="172"/>
        <v>-1.0211595021143969</v>
      </c>
      <c r="U254">
        <f t="shared" si="173"/>
        <v>0.61762410444840832</v>
      </c>
      <c r="V254">
        <f t="shared" si="174"/>
        <v>-0.90507816840235455</v>
      </c>
      <c r="X254">
        <f t="shared" si="192"/>
        <v>-20.047552758575328</v>
      </c>
      <c r="Y254">
        <f t="shared" si="175"/>
        <v>-143.39906347809438</v>
      </c>
      <c r="Z254">
        <f t="shared" si="193"/>
        <v>36.600936521905624</v>
      </c>
      <c r="AC254">
        <v>1</v>
      </c>
      <c r="AD254">
        <f t="shared" si="176"/>
        <v>51.147641616119998</v>
      </c>
      <c r="AE254">
        <f t="shared" si="177"/>
        <v>-7.7128826383697632E-3</v>
      </c>
      <c r="AF254">
        <f t="shared" si="178"/>
        <v>6.0569906292000002E-3</v>
      </c>
      <c r="AG254">
        <f t="shared" si="194"/>
        <v>3141.0005016346331</v>
      </c>
      <c r="AH254">
        <f t="shared" si="195"/>
        <v>-4164.8022558523135</v>
      </c>
      <c r="AJ254">
        <f t="shared" si="179"/>
        <v>22100</v>
      </c>
      <c r="AK254">
        <f t="shared" si="180"/>
        <v>36075.411054773998</v>
      </c>
      <c r="AL254">
        <v>1</v>
      </c>
      <c r="AM254">
        <f t="shared" si="181"/>
        <v>43.289890079940001</v>
      </c>
      <c r="AN254">
        <f t="shared" si="196"/>
        <v>844.68707251501542</v>
      </c>
      <c r="AO254">
        <f t="shared" si="197"/>
        <v>-490.99946634732697</v>
      </c>
      <c r="AQ254">
        <f t="shared" si="182"/>
        <v>6.2499609377441388E-2</v>
      </c>
      <c r="AR254">
        <f t="shared" si="183"/>
        <v>-24.999843750976556</v>
      </c>
      <c r="AT254">
        <f t="shared" si="209"/>
        <v>-103923.09434561602</v>
      </c>
      <c r="AU254">
        <f t="shared" si="210"/>
        <v>-78784.820276729864</v>
      </c>
      <c r="AV254">
        <f t="shared" si="198"/>
        <v>-2.4929232533994505</v>
      </c>
      <c r="AW254">
        <f t="shared" si="199"/>
        <v>-8088.4964180835432</v>
      </c>
      <c r="AX254">
        <f t="shared" si="200"/>
        <v>-27034.234735599475</v>
      </c>
      <c r="AY254">
        <f t="shared" si="208"/>
        <v>-1.861514037109824</v>
      </c>
      <c r="BA254">
        <f t="shared" si="184"/>
        <v>4.6215049731259503</v>
      </c>
      <c r="BB254">
        <f t="shared" si="201"/>
        <v>13.295668494201312</v>
      </c>
      <c r="BC254">
        <f t="shared" si="202"/>
        <v>-0.63140921628962654</v>
      </c>
      <c r="BD254">
        <f t="shared" si="185"/>
        <v>-216.17708328039689</v>
      </c>
      <c r="BF254">
        <f t="shared" si="186"/>
        <v>-21.301294604379365</v>
      </c>
      <c r="BG254">
        <f t="shared" si="187"/>
        <v>-156.76749508718228</v>
      </c>
      <c r="BH254">
        <f t="shared" si="203"/>
        <v>23.232504912817717</v>
      </c>
      <c r="BI254">
        <f t="shared" si="204"/>
        <v>23.232504912817717</v>
      </c>
      <c r="BJ254">
        <f t="shared" si="188"/>
        <v>0</v>
      </c>
      <c r="BK254">
        <f t="shared" si="205"/>
        <v>0</v>
      </c>
      <c r="BM254">
        <f t="shared" si="206"/>
        <v>-34.596963098580673</v>
      </c>
      <c r="BN254">
        <f t="shared" si="189"/>
        <v>-120.59041180678538</v>
      </c>
      <c r="BQ254" s="56">
        <f t="shared" si="207"/>
        <v>30.197629294486447</v>
      </c>
      <c r="BR254" s="59"/>
      <c r="BS254" s="59"/>
      <c r="BT254" s="59">
        <v>27542.287</v>
      </c>
      <c r="BU254" s="59">
        <v>-2.7366600000000001</v>
      </c>
      <c r="BV254" s="59">
        <v>-158.108</v>
      </c>
      <c r="BY254" s="59"/>
      <c r="BZ254" s="59"/>
      <c r="CA254" s="59"/>
      <c r="CC254" s="59"/>
    </row>
    <row r="255" spans="1:81" x14ac:dyDescent="0.25">
      <c r="A255">
        <f t="shared" si="211"/>
        <v>205000</v>
      </c>
      <c r="B255">
        <f t="shared" si="191"/>
        <v>205</v>
      </c>
      <c r="C255">
        <f t="shared" si="159"/>
        <v>1.972506490809449</v>
      </c>
      <c r="D255">
        <f t="shared" si="160"/>
        <v>1.0391313646968685</v>
      </c>
      <c r="F255">
        <f t="shared" si="161"/>
        <v>6.1023676361382192E-4</v>
      </c>
      <c r="G255">
        <f t="shared" si="162"/>
        <v>8.4057125265986441E-3</v>
      </c>
      <c r="H255">
        <f t="shared" si="163"/>
        <v>-3.1331869374734014</v>
      </c>
      <c r="J255">
        <f t="shared" si="164"/>
        <v>15</v>
      </c>
      <c r="M255">
        <f t="shared" si="165"/>
        <v>7.288312057088236E-3</v>
      </c>
      <c r="N255">
        <f t="shared" si="166"/>
        <v>-1.5707963250000001</v>
      </c>
      <c r="O255">
        <f t="shared" si="167"/>
        <v>52.435868981188911</v>
      </c>
      <c r="P255">
        <f t="shared" si="168"/>
        <v>1.5517242555965562</v>
      </c>
      <c r="Q255">
        <f t="shared" si="169"/>
        <v>44.383404234064912</v>
      </c>
      <c r="R255">
        <f t="shared" si="170"/>
        <v>1.5482634759730058</v>
      </c>
      <c r="S255">
        <f t="shared" si="171"/>
        <v>0.51302062732551501</v>
      </c>
      <c r="T255">
        <f t="shared" si="172"/>
        <v>-1.0320962206771467</v>
      </c>
      <c r="U255">
        <f t="shared" si="173"/>
        <v>0.60817541815692944</v>
      </c>
      <c r="V255">
        <f t="shared" si="174"/>
        <v>-0.91703629866710057</v>
      </c>
      <c r="X255">
        <f t="shared" si="192"/>
        <v>-20.395044068394785</v>
      </c>
      <c r="Y255">
        <f t="shared" si="175"/>
        <v>-144.04139995655362</v>
      </c>
      <c r="Z255">
        <f t="shared" si="193"/>
        <v>35.958600043446381</v>
      </c>
      <c r="AC255">
        <v>1</v>
      </c>
      <c r="AD255">
        <f t="shared" si="176"/>
        <v>52.426332656523002</v>
      </c>
      <c r="AE255">
        <f t="shared" si="177"/>
        <v>-8.1033473219372324E-3</v>
      </c>
      <c r="AF255">
        <f t="shared" si="178"/>
        <v>6.2084153949300003E-3</v>
      </c>
      <c r="AG255">
        <f t="shared" si="194"/>
        <v>3045.6308031968078</v>
      </c>
      <c r="AH255">
        <f t="shared" si="195"/>
        <v>-4136.2896293417134</v>
      </c>
      <c r="AJ255">
        <f t="shared" si="179"/>
        <v>22100</v>
      </c>
      <c r="AK255">
        <f t="shared" si="180"/>
        <v>36977.296331143356</v>
      </c>
      <c r="AL255">
        <v>1</v>
      </c>
      <c r="AM255">
        <f t="shared" si="181"/>
        <v>44.372137331938504</v>
      </c>
      <c r="AN255">
        <f t="shared" si="196"/>
        <v>844.14082267881975</v>
      </c>
      <c r="AO255">
        <f t="shared" si="197"/>
        <v>-479.03618025678196</v>
      </c>
      <c r="AQ255">
        <f t="shared" si="182"/>
        <v>5.9488045877180984E-2</v>
      </c>
      <c r="AR255">
        <f t="shared" si="183"/>
        <v>-24.390098809644201</v>
      </c>
      <c r="AT255">
        <f t="shared" si="209"/>
        <v>-100703.33414000545</v>
      </c>
      <c r="AU255">
        <f t="shared" si="210"/>
        <v>-74529.296014897758</v>
      </c>
      <c r="AV255">
        <f t="shared" si="198"/>
        <v>-2.5044656771065315</v>
      </c>
      <c r="AW255">
        <f t="shared" si="199"/>
        <v>-7600.3758208463478</v>
      </c>
      <c r="AX255">
        <f t="shared" si="200"/>
        <v>-26436.544169478952</v>
      </c>
      <c r="AY255">
        <f t="shared" si="208"/>
        <v>-1.8507415853655709</v>
      </c>
      <c r="BA255">
        <f t="shared" si="184"/>
        <v>4.5545136686380205</v>
      </c>
      <c r="BB255">
        <f t="shared" si="201"/>
        <v>13.16884019565104</v>
      </c>
      <c r="BC255">
        <f t="shared" si="202"/>
        <v>-0.65372409174096058</v>
      </c>
      <c r="BD255">
        <f t="shared" si="185"/>
        <v>-217.45563146557936</v>
      </c>
      <c r="BF255">
        <f t="shared" si="186"/>
        <v>-21.698998441531522</v>
      </c>
      <c r="BG255">
        <f t="shared" si="187"/>
        <v>-157.43617798862266</v>
      </c>
      <c r="BH255">
        <f t="shared" si="203"/>
        <v>22.56382201137734</v>
      </c>
      <c r="BI255">
        <f t="shared" si="204"/>
        <v>22.56382201137734</v>
      </c>
      <c r="BJ255">
        <f t="shared" si="188"/>
        <v>0</v>
      </c>
      <c r="BK255">
        <f t="shared" si="205"/>
        <v>0</v>
      </c>
      <c r="BM255">
        <f t="shared" si="206"/>
        <v>-34.867838637182565</v>
      </c>
      <c r="BN255">
        <f t="shared" si="189"/>
        <v>-119.98054652304332</v>
      </c>
      <c r="BQ255" s="56">
        <f t="shared" si="207"/>
        <v>30.070800995936175</v>
      </c>
      <c r="BR255" s="59"/>
      <c r="BS255" s="59"/>
      <c r="BT255" s="59">
        <v>28183.829000000002</v>
      </c>
      <c r="BU255" s="59">
        <v>-2.6523400000000001</v>
      </c>
      <c r="BV255" s="59">
        <v>-157.06299999999999</v>
      </c>
      <c r="BY255" s="59"/>
      <c r="BZ255" s="59"/>
      <c r="CA255" s="59"/>
      <c r="CC255" s="59"/>
    </row>
    <row r="256" spans="1:81" x14ac:dyDescent="0.25">
      <c r="A256">
        <f t="shared" si="211"/>
        <v>210000</v>
      </c>
      <c r="B256">
        <f t="shared" si="191"/>
        <v>210</v>
      </c>
      <c r="C256">
        <f t="shared" si="159"/>
        <v>2.0083613432944323</v>
      </c>
      <c r="D256">
        <f t="shared" si="160"/>
        <v>1.0495995509415679</v>
      </c>
      <c r="F256">
        <f t="shared" si="161"/>
        <v>5.8150798144504425E-4</v>
      </c>
      <c r="G256">
        <f t="shared" si="162"/>
        <v>8.2053486236827247E-3</v>
      </c>
      <c r="H256">
        <f t="shared" si="163"/>
        <v>-3.1333873013763176</v>
      </c>
      <c r="J256">
        <f t="shared" si="164"/>
        <v>15</v>
      </c>
      <c r="M256">
        <f t="shared" si="165"/>
        <v>7.1147808176337535E-3</v>
      </c>
      <c r="N256">
        <f t="shared" si="166"/>
        <v>-1.5707963250000001</v>
      </c>
      <c r="O256">
        <f t="shared" si="167"/>
        <v>53.714333006073737</v>
      </c>
      <c r="P256">
        <f t="shared" si="168"/>
        <v>1.5521782463213523</v>
      </c>
      <c r="Q256">
        <f t="shared" si="169"/>
        <v>45.465383292175709</v>
      </c>
      <c r="R256">
        <f t="shared" si="170"/>
        <v>1.5487997972738767</v>
      </c>
      <c r="S256">
        <f t="shared" si="171"/>
        <v>0.50393585712150857</v>
      </c>
      <c r="T256">
        <f t="shared" si="172"/>
        <v>-1.0426468209473336</v>
      </c>
      <c r="U256">
        <f t="shared" si="173"/>
        <v>0.59892967015224541</v>
      </c>
      <c r="V256">
        <f t="shared" si="174"/>
        <v>-0.92863246012876177</v>
      </c>
      <c r="X256">
        <f t="shared" si="192"/>
        <v>-20.736550973452633</v>
      </c>
      <c r="Y256">
        <f t="shared" si="175"/>
        <v>-144.6652723499372</v>
      </c>
      <c r="Z256">
        <f t="shared" si="193"/>
        <v>35.334727650062803</v>
      </c>
      <c r="AC256">
        <v>1</v>
      </c>
      <c r="AD256">
        <f t="shared" si="176"/>
        <v>53.705023696925998</v>
      </c>
      <c r="AE256">
        <f t="shared" si="177"/>
        <v>-8.5034531088026659E-3</v>
      </c>
      <c r="AF256">
        <f t="shared" si="178"/>
        <v>6.3598401606600003E-3</v>
      </c>
      <c r="AG256">
        <f t="shared" si="194"/>
        <v>2953.7326752519798</v>
      </c>
      <c r="AH256">
        <f t="shared" si="195"/>
        <v>-4106.5383154587253</v>
      </c>
      <c r="AJ256">
        <f t="shared" si="179"/>
        <v>22100</v>
      </c>
      <c r="AK256">
        <f t="shared" si="180"/>
        <v>37879.181607512706</v>
      </c>
      <c r="AL256">
        <v>1</v>
      </c>
      <c r="AM256">
        <f t="shared" si="181"/>
        <v>45.454384583937006</v>
      </c>
      <c r="AN256">
        <f t="shared" si="196"/>
        <v>843.63309910348028</v>
      </c>
      <c r="AO256">
        <f t="shared" si="197"/>
        <v>-467.64172687552451</v>
      </c>
      <c r="AQ256">
        <f t="shared" si="182"/>
        <v>5.6689021037295707E-2</v>
      </c>
      <c r="AR256">
        <f t="shared" si="183"/>
        <v>-23.809388835664198</v>
      </c>
      <c r="AT256">
        <f t="shared" si="209"/>
        <v>-97606.723307544322</v>
      </c>
      <c r="AU256">
        <f t="shared" si="210"/>
        <v>-70559.365418636531</v>
      </c>
      <c r="AV256">
        <f t="shared" si="198"/>
        <v>-2.5156659195153894</v>
      </c>
      <c r="AW256">
        <f t="shared" si="199"/>
        <v>-7150.0825165751112</v>
      </c>
      <c r="AX256">
        <f t="shared" si="200"/>
        <v>-25865.614390362825</v>
      </c>
      <c r="AY256">
        <f t="shared" si="208"/>
        <v>-1.8404933327435671</v>
      </c>
      <c r="BA256">
        <f t="shared" si="184"/>
        <v>4.4880397890663621</v>
      </c>
      <c r="BB256">
        <f t="shared" si="201"/>
        <v>13.041133970734656</v>
      </c>
      <c r="BC256">
        <f t="shared" si="202"/>
        <v>-0.67517258677182235</v>
      </c>
      <c r="BD256">
        <f t="shared" si="185"/>
        <v>-218.68453970915931</v>
      </c>
      <c r="BF256">
        <f t="shared" si="186"/>
        <v>-22.089090177843069</v>
      </c>
      <c r="BG256">
        <f t="shared" si="187"/>
        <v>-158.07678334655606</v>
      </c>
      <c r="BH256">
        <f t="shared" si="203"/>
        <v>21.923216653443944</v>
      </c>
      <c r="BI256">
        <f t="shared" si="204"/>
        <v>21.923216653443944</v>
      </c>
      <c r="BJ256">
        <f t="shared" si="188"/>
        <v>0</v>
      </c>
      <c r="BK256">
        <f t="shared" si="205"/>
        <v>0</v>
      </c>
      <c r="BM256">
        <f t="shared" si="206"/>
        <v>-35.130224148577724</v>
      </c>
      <c r="BN256">
        <f t="shared" si="189"/>
        <v>-119.39224363739676</v>
      </c>
      <c r="BQ256" s="56">
        <f t="shared" si="207"/>
        <v>29.943094771019791</v>
      </c>
      <c r="BR256" s="59"/>
      <c r="BS256" s="59"/>
      <c r="BT256" s="59">
        <v>28840.314999999999</v>
      </c>
      <c r="BU256" s="59">
        <v>-2.5506799999999998</v>
      </c>
      <c r="BV256" s="59">
        <v>-156.01</v>
      </c>
      <c r="BY256" s="59"/>
      <c r="BZ256" s="59"/>
      <c r="CA256" s="59"/>
      <c r="CC256" s="59"/>
    </row>
    <row r="257" spans="1:81" x14ac:dyDescent="0.25">
      <c r="A257">
        <f t="shared" si="211"/>
        <v>215000</v>
      </c>
      <c r="B257">
        <f t="shared" si="191"/>
        <v>215</v>
      </c>
      <c r="C257">
        <f t="shared" si="159"/>
        <v>2.0444285445882562</v>
      </c>
      <c r="D257">
        <f t="shared" si="160"/>
        <v>1.0596994584688166</v>
      </c>
      <c r="F257">
        <f t="shared" si="161"/>
        <v>5.5476153887217634E-4</v>
      </c>
      <c r="G257">
        <f t="shared" si="162"/>
        <v>8.0143193310073489E-3</v>
      </c>
      <c r="H257">
        <f t="shared" si="163"/>
        <v>-3.1335783306689931</v>
      </c>
      <c r="J257">
        <f t="shared" si="164"/>
        <v>15</v>
      </c>
      <c r="M257">
        <f t="shared" si="165"/>
        <v>6.9493207986190157E-3</v>
      </c>
      <c r="N257">
        <f t="shared" si="166"/>
        <v>-1.5707963250000001</v>
      </c>
      <c r="O257">
        <f t="shared" si="167"/>
        <v>54.992807587137882</v>
      </c>
      <c r="P257">
        <f t="shared" si="168"/>
        <v>1.5526111283496444</v>
      </c>
      <c r="Q257">
        <f t="shared" si="169"/>
        <v>46.547374819998247</v>
      </c>
      <c r="R257">
        <f t="shared" si="170"/>
        <v>1.5493111851896142</v>
      </c>
      <c r="S257">
        <f t="shared" si="171"/>
        <v>0.49511497471178939</v>
      </c>
      <c r="T257">
        <f t="shared" si="172"/>
        <v>-1.0528291669592782</v>
      </c>
      <c r="U257">
        <f t="shared" si="173"/>
        <v>0.58988503953077565</v>
      </c>
      <c r="V257">
        <f t="shared" si="174"/>
        <v>-0.93987986157759018</v>
      </c>
      <c r="X257">
        <f t="shared" si="192"/>
        <v>-21.07227143182665</v>
      </c>
      <c r="Y257">
        <f t="shared" si="175"/>
        <v>-145.27126685109909</v>
      </c>
      <c r="Z257">
        <f t="shared" si="193"/>
        <v>34.728733148900915</v>
      </c>
      <c r="AC257">
        <v>1</v>
      </c>
      <c r="AD257">
        <f t="shared" si="176"/>
        <v>54.983714737329002</v>
      </c>
      <c r="AE257">
        <f t="shared" si="177"/>
        <v>-8.9131999989660558E-3</v>
      </c>
      <c r="AF257">
        <f t="shared" si="178"/>
        <v>6.5112649263900004E-3</v>
      </c>
      <c r="AG257">
        <f t="shared" si="194"/>
        <v>2865.1957293705204</v>
      </c>
      <c r="AH257">
        <f t="shared" si="195"/>
        <v>-4075.7153751346746</v>
      </c>
      <c r="AJ257">
        <f t="shared" si="179"/>
        <v>22100</v>
      </c>
      <c r="AK257">
        <f t="shared" si="180"/>
        <v>38781.066883882057</v>
      </c>
      <c r="AL257">
        <v>1</v>
      </c>
      <c r="AM257">
        <f t="shared" si="181"/>
        <v>46.536631835935509</v>
      </c>
      <c r="AN257">
        <f t="shared" si="196"/>
        <v>843.16036275387705</v>
      </c>
      <c r="AO257">
        <f t="shared" si="197"/>
        <v>-456.77649624895338</v>
      </c>
      <c r="AQ257">
        <f t="shared" si="182"/>
        <v>5.4082995765301428E-2</v>
      </c>
      <c r="AR257">
        <f t="shared" si="183"/>
        <v>-23.255688179079616</v>
      </c>
      <c r="AT257">
        <f t="shared" si="209"/>
        <v>-94628.607502314189</v>
      </c>
      <c r="AU257">
        <f t="shared" si="210"/>
        <v>-66852.525351645396</v>
      </c>
      <c r="AV257">
        <f t="shared" si="198"/>
        <v>-2.5265358096148791</v>
      </c>
      <c r="AW257">
        <f t="shared" si="199"/>
        <v>-6733.923966445499</v>
      </c>
      <c r="AX257">
        <f t="shared" si="200"/>
        <v>-25319.571641721224</v>
      </c>
      <c r="AY257">
        <f t="shared" si="208"/>
        <v>-1.8307362950326924</v>
      </c>
      <c r="BA257">
        <f t="shared" si="184"/>
        <v>4.4222294933350232</v>
      </c>
      <c r="BB257">
        <f t="shared" si="201"/>
        <v>12.912825534201902</v>
      </c>
      <c r="BC257">
        <f t="shared" si="202"/>
        <v>-0.6957995145821867</v>
      </c>
      <c r="BD257">
        <f t="shared" si="185"/>
        <v>-219.86637561836466</v>
      </c>
      <c r="BF257">
        <f t="shared" si="186"/>
        <v>-22.47178368076969</v>
      </c>
      <c r="BG257">
        <f t="shared" si="187"/>
        <v>-158.6908823525626</v>
      </c>
      <c r="BH257">
        <f t="shared" si="203"/>
        <v>21.309117647437404</v>
      </c>
      <c r="BI257">
        <f t="shared" si="204"/>
        <v>21.309117647437404</v>
      </c>
      <c r="BJ257">
        <f t="shared" si="188"/>
        <v>0</v>
      </c>
      <c r="BK257">
        <f t="shared" si="205"/>
        <v>0</v>
      </c>
      <c r="BM257">
        <f t="shared" si="206"/>
        <v>-35.38460921497159</v>
      </c>
      <c r="BN257">
        <f t="shared" si="189"/>
        <v>-118.82450673419794</v>
      </c>
      <c r="BQ257" s="56">
        <f t="shared" si="207"/>
        <v>29.814786334487039</v>
      </c>
      <c r="BR257" s="59"/>
      <c r="BS257" s="59"/>
      <c r="BT257" s="59">
        <v>29512.092000000001</v>
      </c>
      <c r="BU257" s="59">
        <v>-2.44991</v>
      </c>
      <c r="BV257" s="59">
        <v>-155.03200000000001</v>
      </c>
      <c r="BY257" s="59"/>
      <c r="BZ257" s="59"/>
      <c r="CA257" s="59"/>
      <c r="CC257" s="59"/>
    </row>
    <row r="258" spans="1:81" x14ac:dyDescent="0.25">
      <c r="A258">
        <f t="shared" si="211"/>
        <v>220000</v>
      </c>
      <c r="B258">
        <f t="shared" si="191"/>
        <v>220</v>
      </c>
      <c r="C258">
        <f t="shared" si="159"/>
        <v>2.08069705203543</v>
      </c>
      <c r="D258">
        <f t="shared" si="160"/>
        <v>1.0694482300482455</v>
      </c>
      <c r="F258">
        <f t="shared" si="161"/>
        <v>5.298191346512274E-4</v>
      </c>
      <c r="G258">
        <f t="shared" si="162"/>
        <v>7.831986847837126E-3</v>
      </c>
      <c r="H258">
        <f t="shared" si="163"/>
        <v>-3.1337606631521631</v>
      </c>
      <c r="J258">
        <f t="shared" si="164"/>
        <v>15</v>
      </c>
      <c r="M258">
        <f t="shared" si="165"/>
        <v>6.7913816895594928E-3</v>
      </c>
      <c r="N258">
        <f t="shared" si="166"/>
        <v>-1.5707963250000001</v>
      </c>
      <c r="O258">
        <f t="shared" si="167"/>
        <v>56.271292004877317</v>
      </c>
      <c r="P258">
        <f t="shared" si="168"/>
        <v>1.5530243402828896</v>
      </c>
      <c r="Q258">
        <f t="shared" si="169"/>
        <v>47.629377967713154</v>
      </c>
      <c r="R258">
        <f t="shared" si="170"/>
        <v>1.5497993386886113</v>
      </c>
      <c r="S258">
        <f t="shared" si="171"/>
        <v>0.48654971189004237</v>
      </c>
      <c r="T258">
        <f t="shared" si="172"/>
        <v>-1.0626602032766952</v>
      </c>
      <c r="U258">
        <f t="shared" si="173"/>
        <v>0.58103926592076693</v>
      </c>
      <c r="V258">
        <f t="shared" si="174"/>
        <v>-0.95079128256400414</v>
      </c>
      <c r="X258">
        <f t="shared" si="192"/>
        <v>-21.402392239909517</v>
      </c>
      <c r="Y258">
        <f t="shared" si="175"/>
        <v>-145.85996109176051</v>
      </c>
      <c r="Z258">
        <f t="shared" si="193"/>
        <v>34.14003890823949</v>
      </c>
      <c r="AC258">
        <v>1</v>
      </c>
      <c r="AD258">
        <f t="shared" si="176"/>
        <v>56.262405777732006</v>
      </c>
      <c r="AE258">
        <f t="shared" si="177"/>
        <v>-9.3325879924274126E-3</v>
      </c>
      <c r="AF258">
        <f t="shared" si="178"/>
        <v>6.6626896921200005E-3</v>
      </c>
      <c r="AG258">
        <f t="shared" si="194"/>
        <v>2779.9084673154052</v>
      </c>
      <c r="AH258">
        <f t="shared" si="195"/>
        <v>-4043.973474253432</v>
      </c>
      <c r="AJ258">
        <f t="shared" si="179"/>
        <v>22100</v>
      </c>
      <c r="AK258">
        <f t="shared" si="180"/>
        <v>39682.952160251407</v>
      </c>
      <c r="AL258">
        <v>1</v>
      </c>
      <c r="AM258">
        <f t="shared" si="181"/>
        <v>47.618879087934005</v>
      </c>
      <c r="AN258">
        <f t="shared" si="196"/>
        <v>842.71947176947299</v>
      </c>
      <c r="AO258">
        <f t="shared" si="197"/>
        <v>-446.40447098673604</v>
      </c>
      <c r="AQ258">
        <f t="shared" si="182"/>
        <v>5.1652625761230572E-2</v>
      </c>
      <c r="AR258">
        <f t="shared" si="183"/>
        <v>-22.72715533494145</v>
      </c>
      <c r="AT258">
        <f t="shared" si="209"/>
        <v>-91764.423748027883</v>
      </c>
      <c r="AU258">
        <f t="shared" si="210"/>
        <v>-63388.293402050178</v>
      </c>
      <c r="AV258">
        <f t="shared" si="198"/>
        <v>-2.5370868725112663</v>
      </c>
      <c r="AW258">
        <f t="shared" si="199"/>
        <v>-6348.6361027502335</v>
      </c>
      <c r="AX258">
        <f t="shared" si="200"/>
        <v>-24796.723325221654</v>
      </c>
      <c r="AY258">
        <f t="shared" si="208"/>
        <v>-1.8214395722188366</v>
      </c>
      <c r="BA258">
        <f t="shared" si="184"/>
        <v>4.35720290100934</v>
      </c>
      <c r="BB258">
        <f t="shared" si="201"/>
        <v>12.784155682244993</v>
      </c>
      <c r="BC258">
        <f t="shared" si="202"/>
        <v>-0.71564730029242973</v>
      </c>
      <c r="BD258">
        <f t="shared" si="185"/>
        <v>-221.00356997354109</v>
      </c>
      <c r="BF258">
        <f t="shared" si="186"/>
        <v>-22.847289319895165</v>
      </c>
      <c r="BG258">
        <f t="shared" si="187"/>
        <v>-159.2799601219281</v>
      </c>
      <c r="BH258">
        <f t="shared" si="203"/>
        <v>20.720039878071901</v>
      </c>
      <c r="BI258">
        <f t="shared" si="204"/>
        <v>20.720039878071901</v>
      </c>
      <c r="BJ258">
        <f t="shared" si="188"/>
        <v>0</v>
      </c>
      <c r="BK258">
        <f t="shared" si="205"/>
        <v>0</v>
      </c>
      <c r="BM258">
        <f t="shared" si="206"/>
        <v>-35.631445002140161</v>
      </c>
      <c r="BN258">
        <f t="shared" si="189"/>
        <v>-118.27639014838702</v>
      </c>
      <c r="BQ258" s="56">
        <f t="shared" si="207"/>
        <v>29.686116482530132</v>
      </c>
      <c r="BR258" s="59"/>
      <c r="BS258" s="59"/>
      <c r="BT258" s="59">
        <v>30199.517</v>
      </c>
      <c r="BU258" s="59">
        <v>-2.3553299999999999</v>
      </c>
      <c r="BV258" s="59">
        <v>-154.00200000000001</v>
      </c>
      <c r="BY258" s="59"/>
      <c r="BZ258" s="59"/>
      <c r="CA258" s="59"/>
      <c r="CC258" s="59"/>
    </row>
    <row r="259" spans="1:81" x14ac:dyDescent="0.25">
      <c r="A259">
        <f t="shared" si="211"/>
        <v>225000</v>
      </c>
      <c r="B259">
        <f t="shared" si="191"/>
        <v>225</v>
      </c>
      <c r="C259">
        <f t="shared" si="159"/>
        <v>2.1171565200769713</v>
      </c>
      <c r="D259">
        <f t="shared" si="160"/>
        <v>1.0788621044524151</v>
      </c>
      <c r="F259">
        <f t="shared" si="161"/>
        <v>5.0652207554852233E-4</v>
      </c>
      <c r="G259">
        <f t="shared" si="162"/>
        <v>7.6577702119984305E-3</v>
      </c>
      <c r="H259">
        <f t="shared" si="163"/>
        <v>-3.1339348797880016</v>
      </c>
      <c r="J259">
        <f t="shared" si="164"/>
        <v>15</v>
      </c>
      <c r="M259">
        <f t="shared" si="165"/>
        <v>6.6404620964581702E-3</v>
      </c>
      <c r="N259">
        <f t="shared" si="166"/>
        <v>-1.5707963250000001</v>
      </c>
      <c r="O259">
        <f t="shared" si="167"/>
        <v>57.549785603718675</v>
      </c>
      <c r="P259">
        <f t="shared" si="168"/>
        <v>1.5534191929142782</v>
      </c>
      <c r="Q259">
        <f t="shared" si="169"/>
        <v>48.711391960998895</v>
      </c>
      <c r="R259">
        <f t="shared" si="170"/>
        <v>1.5502658058309855</v>
      </c>
      <c r="S259">
        <f t="shared" si="171"/>
        <v>0.47823187266471068</v>
      </c>
      <c r="T259">
        <f t="shared" si="172"/>
        <v>-1.0721559973274306</v>
      </c>
      <c r="U259">
        <f t="shared" si="173"/>
        <v>0.57238971781283043</v>
      </c>
      <c r="V259">
        <f t="shared" si="174"/>
        <v>-0.96137907089243857</v>
      </c>
      <c r="X259">
        <f t="shared" si="192"/>
        <v>-21.727090077764903</v>
      </c>
      <c r="Y259">
        <f t="shared" si="175"/>
        <v>-146.43192221812544</v>
      </c>
      <c r="Z259">
        <f t="shared" si="193"/>
        <v>33.568077781874564</v>
      </c>
      <c r="AC259">
        <v>1</v>
      </c>
      <c r="AD259">
        <f t="shared" si="176"/>
        <v>57.541096818135003</v>
      </c>
      <c r="AE259">
        <f t="shared" si="177"/>
        <v>-9.7616170891867311E-3</v>
      </c>
      <c r="AF259">
        <f t="shared" si="178"/>
        <v>6.8141144578500006E-3</v>
      </c>
      <c r="AG259">
        <f t="shared" si="194"/>
        <v>2697.7591780777529</v>
      </c>
      <c r="AH259">
        <f t="shared" si="195"/>
        <v>-4011.4518569238653</v>
      </c>
      <c r="AJ259">
        <f t="shared" si="179"/>
        <v>22100</v>
      </c>
      <c r="AK259">
        <f t="shared" si="180"/>
        <v>40584.837436620757</v>
      </c>
      <c r="AL259">
        <v>1</v>
      </c>
      <c r="AM259">
        <f t="shared" si="181"/>
        <v>48.701126339932507</v>
      </c>
      <c r="AN259">
        <f t="shared" si="196"/>
        <v>842.30762915945741</v>
      </c>
      <c r="AO259">
        <f t="shared" si="197"/>
        <v>-436.49282816299649</v>
      </c>
      <c r="AQ259">
        <f t="shared" si="182"/>
        <v>4.9382472185322539E-2</v>
      </c>
      <c r="AR259">
        <f t="shared" si="183"/>
        <v>-22.222112483395144</v>
      </c>
      <c r="AT259">
        <f t="shared" si="209"/>
        <v>-89009.712368712339</v>
      </c>
      <c r="AU259">
        <f t="shared" si="210"/>
        <v>-60148.003318102754</v>
      </c>
      <c r="AV259">
        <f t="shared" si="198"/>
        <v>-2.5473303130036995</v>
      </c>
      <c r="AW259">
        <f t="shared" si="199"/>
        <v>-5991.3261244439927</v>
      </c>
      <c r="AX259">
        <f t="shared" si="200"/>
        <v>-24295.535931009654</v>
      </c>
      <c r="AY259">
        <f t="shared" si="208"/>
        <v>-1.8125742610326929</v>
      </c>
      <c r="BA259">
        <f t="shared" si="184"/>
        <v>4.2930576730078247</v>
      </c>
      <c r="BB259">
        <f t="shared" si="201"/>
        <v>12.655334456757705</v>
      </c>
      <c r="BC259">
        <f t="shared" si="202"/>
        <v>-0.73475605197100657</v>
      </c>
      <c r="BD259">
        <f t="shared" si="185"/>
        <v>-222.0984207977381</v>
      </c>
      <c r="BF259">
        <f t="shared" si="186"/>
        <v>-23.215813479713042</v>
      </c>
      <c r="BG259">
        <f t="shared" si="187"/>
        <v>-159.84541755124957</v>
      </c>
      <c r="BH259">
        <f t="shared" si="203"/>
        <v>20.154582448750432</v>
      </c>
      <c r="BI259">
        <f t="shared" si="204"/>
        <v>20.154582448750432</v>
      </c>
      <c r="BJ259">
        <f t="shared" si="188"/>
        <v>0</v>
      </c>
      <c r="BK259">
        <f t="shared" si="205"/>
        <v>0</v>
      </c>
      <c r="BM259">
        <f t="shared" si="206"/>
        <v>-35.871147936470749</v>
      </c>
      <c r="BN259">
        <f t="shared" si="189"/>
        <v>-117.74699675351148</v>
      </c>
      <c r="BQ259" s="56">
        <f t="shared" si="207"/>
        <v>29.557295257042846</v>
      </c>
      <c r="BR259" s="59"/>
      <c r="BS259" s="59"/>
      <c r="BT259" s="59">
        <v>30902.954000000002</v>
      </c>
      <c r="BU259" s="59">
        <v>-2.2543500000000001</v>
      </c>
      <c r="BV259" s="59">
        <v>-152.994</v>
      </c>
      <c r="BY259" s="59"/>
      <c r="BZ259" s="59"/>
      <c r="CA259" s="59"/>
      <c r="CC259" s="59"/>
    </row>
    <row r="260" spans="1:81" x14ac:dyDescent="0.25">
      <c r="A260">
        <f t="shared" si="211"/>
        <v>230000</v>
      </c>
      <c r="B260">
        <f t="shared" si="191"/>
        <v>230</v>
      </c>
      <c r="C260">
        <f t="shared" si="159"/>
        <v>2.1537972509950345</v>
      </c>
      <c r="D260">
        <f t="shared" si="160"/>
        <v>1.0879564615958981</v>
      </c>
      <c r="F260">
        <f t="shared" si="161"/>
        <v>4.8472874416671216E-4</v>
      </c>
      <c r="G260">
        <f t="shared" si="162"/>
        <v>7.4911391034365067E-3</v>
      </c>
      <c r="H260">
        <f t="shared" si="163"/>
        <v>-3.1341015108965635</v>
      </c>
      <c r="J260">
        <f t="shared" si="164"/>
        <v>15</v>
      </c>
      <c r="M260">
        <f t="shared" si="165"/>
        <v>6.4961042247960368E-3</v>
      </c>
      <c r="N260">
        <f t="shared" si="166"/>
        <v>-1.5707963250000001</v>
      </c>
      <c r="O260">
        <f t="shared" si="167"/>
        <v>58.828287785073378</v>
      </c>
      <c r="P260">
        <f t="shared" si="168"/>
        <v>1.5537968831124331</v>
      </c>
      <c r="Q260">
        <f t="shared" si="169"/>
        <v>49.793416092830725</v>
      </c>
      <c r="R260">
        <f t="shared" si="170"/>
        <v>1.5507120001576356</v>
      </c>
      <c r="S260">
        <f t="shared" si="171"/>
        <v>0.47015337145324843</v>
      </c>
      <c r="T260">
        <f t="shared" si="172"/>
        <v>-1.0813317814919479</v>
      </c>
      <c r="U260">
        <f t="shared" si="173"/>
        <v>0.56393345340935286</v>
      </c>
      <c r="V260">
        <f t="shared" si="174"/>
        <v>-0.97165514329274416</v>
      </c>
      <c r="X260">
        <f t="shared" si="192"/>
        <v>-22.046532417177694</v>
      </c>
      <c r="Y260">
        <f t="shared" si="175"/>
        <v>-146.9877053750912</v>
      </c>
      <c r="Z260">
        <f t="shared" si="193"/>
        <v>33.012294624908805</v>
      </c>
      <c r="AC260">
        <v>1</v>
      </c>
      <c r="AD260">
        <f t="shared" si="176"/>
        <v>58.819787858538</v>
      </c>
      <c r="AE260">
        <f t="shared" si="177"/>
        <v>-1.0200287289244013E-2</v>
      </c>
      <c r="AF260">
        <f t="shared" si="178"/>
        <v>6.9655392235799998E-3</v>
      </c>
      <c r="AG260">
        <f t="shared" si="194"/>
        <v>2618.6366877881865</v>
      </c>
      <c r="AH260">
        <f t="shared" si="195"/>
        <v>-3978.2772922713725</v>
      </c>
      <c r="AJ260">
        <f t="shared" si="179"/>
        <v>22100</v>
      </c>
      <c r="AK260">
        <f t="shared" si="180"/>
        <v>41486.7227129901</v>
      </c>
      <c r="AL260">
        <v>1</v>
      </c>
      <c r="AM260">
        <f t="shared" si="181"/>
        <v>49.783373591931003</v>
      </c>
      <c r="AN260">
        <f t="shared" si="196"/>
        <v>841.92233836013486</v>
      </c>
      <c r="AO260">
        <f t="shared" si="197"/>
        <v>-427.01159298463892</v>
      </c>
      <c r="AQ260">
        <f t="shared" si="182"/>
        <v>4.7258755865993068E-2</v>
      </c>
      <c r="AR260">
        <f t="shared" si="183"/>
        <v>-21.739027698356814</v>
      </c>
      <c r="AT260">
        <f t="shared" si="209"/>
        <v>-86360.126736501406</v>
      </c>
      <c r="AU260">
        <f t="shared" si="210"/>
        <v>-57114.623923083411</v>
      </c>
      <c r="AV260">
        <f t="shared" si="198"/>
        <v>-2.5572770041511799</v>
      </c>
      <c r="AW260">
        <f t="shared" si="199"/>
        <v>-5659.4239030536846</v>
      </c>
      <c r="AX260">
        <f t="shared" si="200"/>
        <v>-23814.616140845523</v>
      </c>
      <c r="AY260">
        <f t="shared" si="208"/>
        <v>-1.8041133589186125</v>
      </c>
      <c r="BA260">
        <f t="shared" si="184"/>
        <v>4.2298721515647904</v>
      </c>
      <c r="BB260">
        <f t="shared" si="201"/>
        <v>12.526544819325757</v>
      </c>
      <c r="BC260">
        <f t="shared" si="202"/>
        <v>-0.7531636452325674</v>
      </c>
      <c r="BD260">
        <f t="shared" si="185"/>
        <v>-223.15309820382413</v>
      </c>
      <c r="BF260">
        <f t="shared" si="186"/>
        <v>-23.577558154763132</v>
      </c>
      <c r="BG260">
        <f t="shared" si="187"/>
        <v>-160.38857393430106</v>
      </c>
      <c r="BH260">
        <f t="shared" si="203"/>
        <v>19.611426065698936</v>
      </c>
      <c r="BI260">
        <f t="shared" si="204"/>
        <v>19.611426065698936</v>
      </c>
      <c r="BJ260">
        <f t="shared" si="188"/>
        <v>0</v>
      </c>
      <c r="BK260">
        <f t="shared" si="205"/>
        <v>0</v>
      </c>
      <c r="BM260">
        <f t="shared" si="206"/>
        <v>-36.104102974088896</v>
      </c>
      <c r="BN260">
        <f t="shared" si="189"/>
        <v>-117.23547573047695</v>
      </c>
      <c r="BQ260" s="56">
        <f t="shared" si="207"/>
        <v>29.428505619610895</v>
      </c>
      <c r="BR260" s="59"/>
      <c r="BS260" s="59"/>
      <c r="BT260" s="59">
        <v>31622.776999999998</v>
      </c>
      <c r="BU260" s="59">
        <v>-2.1282199999999998</v>
      </c>
      <c r="BV260" s="59">
        <v>-152.041</v>
      </c>
      <c r="BY260" s="59"/>
      <c r="BZ260" s="59"/>
      <c r="CA260" s="59"/>
      <c r="CC260" s="59"/>
    </row>
    <row r="261" spans="1:81" x14ac:dyDescent="0.25">
      <c r="A261">
        <f t="shared" si="211"/>
        <v>235000</v>
      </c>
      <c r="B261">
        <f t="shared" si="191"/>
        <v>235</v>
      </c>
      <c r="C261">
        <f t="shared" si="159"/>
        <v>2.1906101492545251</v>
      </c>
      <c r="D261">
        <f t="shared" si="160"/>
        <v>1.0967458666973253</v>
      </c>
      <c r="F261">
        <f t="shared" si="161"/>
        <v>4.6431244027719332E-4</v>
      </c>
      <c r="G261">
        <f t="shared" si="162"/>
        <v>7.3316084414551683E-3</v>
      </c>
      <c r="H261">
        <f t="shared" si="163"/>
        <v>-3.134261041558545</v>
      </c>
      <c r="J261">
        <f t="shared" si="164"/>
        <v>15</v>
      </c>
      <c r="M261">
        <f t="shared" si="165"/>
        <v>6.3578892412897376E-3</v>
      </c>
      <c r="N261">
        <f t="shared" si="166"/>
        <v>-1.5707963250000001</v>
      </c>
      <c r="O261">
        <f t="shared" si="167"/>
        <v>60.106798001278158</v>
      </c>
      <c r="P261">
        <f t="shared" si="168"/>
        <v>1.5541585059339473</v>
      </c>
      <c r="Q261">
        <f t="shared" si="169"/>
        <v>50.875449716325804</v>
      </c>
      <c r="R261">
        <f t="shared" si="170"/>
        <v>1.5511392149890988</v>
      </c>
      <c r="S261">
        <f t="shared" si="171"/>
        <v>0.46230626365015737</v>
      </c>
      <c r="T261">
        <f t="shared" si="172"/>
        <v>-1.0902019945349355</v>
      </c>
      <c r="U261">
        <f t="shared" si="173"/>
        <v>0.55566727463575083</v>
      </c>
      <c r="V261">
        <f t="shared" si="174"/>
        <v>-0.9816309887360285</v>
      </c>
      <c r="X261">
        <f t="shared" si="192"/>
        <v>-22.360878313671314</v>
      </c>
      <c r="Y261">
        <f t="shared" si="175"/>
        <v>-147.5278525360838</v>
      </c>
      <c r="Z261">
        <f t="shared" si="193"/>
        <v>32.472147463916201</v>
      </c>
      <c r="AC261">
        <v>1</v>
      </c>
      <c r="AD261">
        <f t="shared" si="176"/>
        <v>60.098478898940996</v>
      </c>
      <c r="AE261">
        <f t="shared" si="177"/>
        <v>-1.0648598592599253E-2</v>
      </c>
      <c r="AF261">
        <f t="shared" si="178"/>
        <v>7.1169639893099998E-3</v>
      </c>
      <c r="AG261">
        <f t="shared" si="194"/>
        <v>2542.4309806852807</v>
      </c>
      <c r="AH261">
        <f t="shared" si="195"/>
        <v>-3944.5649865410905</v>
      </c>
      <c r="AJ261">
        <f t="shared" si="179"/>
        <v>22100</v>
      </c>
      <c r="AK261">
        <f t="shared" si="180"/>
        <v>42388.607989359458</v>
      </c>
      <c r="AL261">
        <v>1</v>
      </c>
      <c r="AM261">
        <f t="shared" si="181"/>
        <v>50.865620843929506</v>
      </c>
      <c r="AN261">
        <f t="shared" si="196"/>
        <v>841.56136533251026</v>
      </c>
      <c r="AO261">
        <f t="shared" si="197"/>
        <v>-417.93333654364619</v>
      </c>
      <c r="AQ261">
        <f t="shared" si="182"/>
        <v>4.526914771775592E-2</v>
      </c>
      <c r="AR261">
        <f t="shared" si="183"/>
        <v>-21.276499427345282</v>
      </c>
      <c r="AT261">
        <f t="shared" si="209"/>
        <v>-83811.440993640921</v>
      </c>
      <c r="AU261">
        <f t="shared" si="210"/>
        <v>-54272.598399673298</v>
      </c>
      <c r="AV261">
        <f t="shared" si="198"/>
        <v>-2.56693748002799</v>
      </c>
      <c r="AW261">
        <f t="shared" si="199"/>
        <v>-5350.6405581977688</v>
      </c>
      <c r="AX261">
        <f t="shared" si="200"/>
        <v>-23352.694587711521</v>
      </c>
      <c r="AY261">
        <f t="shared" si="208"/>
        <v>-1.7960316631919542</v>
      </c>
      <c r="BA261">
        <f t="shared" si="184"/>
        <v>4.167708104387744</v>
      </c>
      <c r="BB261">
        <f t="shared" si="201"/>
        <v>12.397945889644779</v>
      </c>
      <c r="BC261">
        <f t="shared" si="202"/>
        <v>-0.77090581683603587</v>
      </c>
      <c r="BD261">
        <f t="shared" si="185"/>
        <v>-224.16964975726131</v>
      </c>
      <c r="BF261">
        <f t="shared" si="186"/>
        <v>-23.932720623507599</v>
      </c>
      <c r="BG261">
        <f t="shared" si="187"/>
        <v>-160.91067010406519</v>
      </c>
      <c r="BH261">
        <f t="shared" si="203"/>
        <v>19.08932989593481</v>
      </c>
      <c r="BI261">
        <f t="shared" si="204"/>
        <v>19.08932989593481</v>
      </c>
      <c r="BJ261">
        <f t="shared" si="188"/>
        <v>0</v>
      </c>
      <c r="BK261">
        <f t="shared" si="205"/>
        <v>0</v>
      </c>
      <c r="BM261">
        <f t="shared" si="206"/>
        <v>-36.33066651315238</v>
      </c>
      <c r="BN261">
        <f t="shared" si="189"/>
        <v>-116.74102034680389</v>
      </c>
      <c r="BQ261" s="56">
        <f t="shared" si="207"/>
        <v>29.299906689929919</v>
      </c>
      <c r="BR261" s="59"/>
      <c r="BS261" s="59"/>
      <c r="BT261" s="59">
        <v>32359.366000000002</v>
      </c>
      <c r="BU261" s="59">
        <v>-2.03586</v>
      </c>
      <c r="BV261" s="59">
        <v>-151.05000000000001</v>
      </c>
      <c r="BY261" s="59"/>
      <c r="BZ261" s="59"/>
      <c r="CA261" s="59"/>
      <c r="CC261" s="59"/>
    </row>
    <row r="262" spans="1:81" x14ac:dyDescent="0.25">
      <c r="A262">
        <f t="shared" si="211"/>
        <v>240000</v>
      </c>
      <c r="B262">
        <f t="shared" si="191"/>
        <v>240</v>
      </c>
      <c r="C262">
        <f t="shared" si="159"/>
        <v>2.2275866792055323</v>
      </c>
      <c r="D262">
        <f t="shared" si="160"/>
        <v>1.1052441131812663</v>
      </c>
      <c r="F262">
        <f t="shared" si="161"/>
        <v>4.4515953398777233E-4</v>
      </c>
      <c r="G262">
        <f t="shared" si="162"/>
        <v>7.178733659465782E-3</v>
      </c>
      <c r="H262">
        <f t="shared" si="163"/>
        <v>-3.1344139163405345</v>
      </c>
      <c r="J262">
        <f t="shared" si="164"/>
        <v>15</v>
      </c>
      <c r="M262">
        <f t="shared" si="165"/>
        <v>6.2254332154295343E-3</v>
      </c>
      <c r="N262">
        <f t="shared" si="166"/>
        <v>-1.5707963250000001</v>
      </c>
      <c r="O262">
        <f t="shared" si="167"/>
        <v>61.385315750292527</v>
      </c>
      <c r="P262">
        <f t="shared" si="168"/>
        <v>1.5545050652228563</v>
      </c>
      <c r="Q262">
        <f t="shared" si="169"/>
        <v>51.957492238482168</v>
      </c>
      <c r="R262">
        <f t="shared" si="170"/>
        <v>1.5515486359387023</v>
      </c>
      <c r="S262">
        <f t="shared" si="171"/>
        <v>0.45468276971833327</v>
      </c>
      <c r="T262">
        <f t="shared" si="172"/>
        <v>-1.0987803220676153</v>
      </c>
      <c r="U262">
        <f t="shared" si="173"/>
        <v>0.54758777492922373</v>
      </c>
      <c r="V262">
        <f t="shared" si="174"/>
        <v>-0.99131767392883152</v>
      </c>
      <c r="X262">
        <f t="shared" si="192"/>
        <v>-22.670279100189941</v>
      </c>
      <c r="Y262">
        <f t="shared" si="175"/>
        <v>-148.05289162455489</v>
      </c>
      <c r="Z262">
        <f t="shared" si="193"/>
        <v>31.947108375445112</v>
      </c>
      <c r="AC262">
        <v>1</v>
      </c>
      <c r="AD262">
        <f t="shared" si="176"/>
        <v>61.377169939344007</v>
      </c>
      <c r="AE262">
        <f t="shared" si="177"/>
        <v>-1.1106550999252457E-2</v>
      </c>
      <c r="AF262">
        <f t="shared" si="178"/>
        <v>7.2683887550399999E-3</v>
      </c>
      <c r="AG262">
        <f t="shared" si="194"/>
        <v>2469.0337076269793</v>
      </c>
      <c r="AH262">
        <f t="shared" si="195"/>
        <v>-3910.4194547827278</v>
      </c>
      <c r="AJ262">
        <f t="shared" si="179"/>
        <v>22100</v>
      </c>
      <c r="AK262">
        <f t="shared" si="180"/>
        <v>43290.493265728808</v>
      </c>
      <c r="AL262">
        <v>1</v>
      </c>
      <c r="AM262">
        <f t="shared" si="181"/>
        <v>51.947868095928008</v>
      </c>
      <c r="AN262">
        <f t="shared" si="196"/>
        <v>841.22270612293778</v>
      </c>
      <c r="AO262">
        <f t="shared" si="197"/>
        <v>-409.23291124517687</v>
      </c>
      <c r="AQ262">
        <f t="shared" si="182"/>
        <v>4.3402589398483515E-2</v>
      </c>
      <c r="AR262">
        <f t="shared" si="183"/>
        <v>-20.833242911272087</v>
      </c>
      <c r="AT262">
        <f t="shared" si="209"/>
        <v>-81359.555930229588</v>
      </c>
      <c r="AU262">
        <f t="shared" si="210"/>
        <v>-51607.701317083382</v>
      </c>
      <c r="AV262">
        <f t="shared" si="198"/>
        <v>-2.5763219319765089</v>
      </c>
      <c r="AW262">
        <f t="shared" si="199"/>
        <v>-5062.9330270591008</v>
      </c>
      <c r="AX262">
        <f t="shared" si="200"/>
        <v>-22908.611848374407</v>
      </c>
      <c r="AY262">
        <f t="shared" si="208"/>
        <v>-1.7883056682776963</v>
      </c>
      <c r="BA262">
        <f t="shared" si="184"/>
        <v>4.1066131160277495</v>
      </c>
      <c r="BB262">
        <f t="shared" si="201"/>
        <v>12.269675798058234</v>
      </c>
      <c r="BC262">
        <f t="shared" si="202"/>
        <v>-0.78801626369881261</v>
      </c>
      <c r="BD262">
        <f t="shared" si="185"/>
        <v>-225.15000614920149</v>
      </c>
      <c r="BF262">
        <f t="shared" si="186"/>
        <v>-24.281493195209066</v>
      </c>
      <c r="BG262">
        <f t="shared" si="187"/>
        <v>-161.41287191846931</v>
      </c>
      <c r="BH262">
        <f t="shared" si="203"/>
        <v>18.587128081530693</v>
      </c>
      <c r="BI262">
        <f t="shared" si="204"/>
        <v>18.587128081530693</v>
      </c>
      <c r="BJ262">
        <f t="shared" si="188"/>
        <v>0</v>
      </c>
      <c r="BK262">
        <f t="shared" si="205"/>
        <v>0</v>
      </c>
      <c r="BM262">
        <f t="shared" si="206"/>
        <v>-36.551168993267297</v>
      </c>
      <c r="BN262">
        <f t="shared" si="189"/>
        <v>-116.26286576926779</v>
      </c>
      <c r="BQ262" s="56">
        <f t="shared" si="207"/>
        <v>29.171636598343373</v>
      </c>
      <c r="BR262" s="59"/>
      <c r="BS262" s="59"/>
      <c r="BT262" s="59">
        <v>33113.112000000001</v>
      </c>
      <c r="BU262" s="59">
        <v>-1.91717</v>
      </c>
      <c r="BV262" s="59">
        <v>-150.17400000000001</v>
      </c>
      <c r="BY262" s="59"/>
      <c r="BZ262" s="59"/>
      <c r="CA262" s="59"/>
      <c r="CC262" s="59"/>
    </row>
    <row r="263" spans="1:81" x14ac:dyDescent="0.25">
      <c r="A263">
        <f t="shared" si="211"/>
        <v>245000</v>
      </c>
      <c r="B263">
        <f t="shared" si="191"/>
        <v>245</v>
      </c>
      <c r="C263">
        <f t="shared" si="159"/>
        <v>2.2647188259174165</v>
      </c>
      <c r="D263">
        <f t="shared" si="160"/>
        <v>1.1134642641156554</v>
      </c>
      <c r="F263">
        <f t="shared" si="161"/>
        <v>4.2716788029946787E-4</v>
      </c>
      <c r="G263">
        <f t="shared" si="162"/>
        <v>7.0321065601154841E-3</v>
      </c>
      <c r="H263">
        <f t="shared" si="163"/>
        <v>-3.1345605434398847</v>
      </c>
      <c r="J263">
        <f t="shared" si="164"/>
        <v>15</v>
      </c>
      <c r="M263">
        <f t="shared" si="165"/>
        <v>6.0983835579717892E-3</v>
      </c>
      <c r="N263">
        <f t="shared" si="166"/>
        <v>-1.5707963250000001</v>
      </c>
      <c r="O263">
        <f t="shared" si="167"/>
        <v>62.663840571045291</v>
      </c>
      <c r="P263">
        <f t="shared" si="168"/>
        <v>1.5548374829130385</v>
      </c>
      <c r="Q263">
        <f t="shared" si="169"/>
        <v>53.039543114683696</v>
      </c>
      <c r="R263">
        <f t="shared" si="170"/>
        <v>1.5519413518948486</v>
      </c>
      <c r="S263">
        <f t="shared" si="171"/>
        <v>0.44727529379922004</v>
      </c>
      <c r="T263">
        <f t="shared" si="172"/>
        <v>-1.107079735808784</v>
      </c>
      <c r="U263">
        <f t="shared" si="173"/>
        <v>0.53969138138776374</v>
      </c>
      <c r="V263">
        <f t="shared" si="174"/>
        <v>-1.0007258505800656</v>
      </c>
      <c r="X263">
        <f t="shared" si="192"/>
        <v>-22.974878997202111</v>
      </c>
      <c r="Y263">
        <f t="shared" si="175"/>
        <v>-148.56333588090564</v>
      </c>
      <c r="Z263">
        <f t="shared" si="193"/>
        <v>31.43666411909436</v>
      </c>
      <c r="AC263">
        <v>1</v>
      </c>
      <c r="AD263">
        <f t="shared" si="176"/>
        <v>62.655860979747004</v>
      </c>
      <c r="AE263">
        <f t="shared" si="177"/>
        <v>-1.1574144509203625E-2</v>
      </c>
      <c r="AF263">
        <f t="shared" si="178"/>
        <v>7.41981352077E-3</v>
      </c>
      <c r="AG263">
        <f t="shared" si="194"/>
        <v>2398.3385969860797</v>
      </c>
      <c r="AH263">
        <f t="shared" si="195"/>
        <v>-3875.9353483769341</v>
      </c>
      <c r="AJ263">
        <f t="shared" si="179"/>
        <v>22100</v>
      </c>
      <c r="AK263">
        <f t="shared" si="180"/>
        <v>44192.378542098159</v>
      </c>
      <c r="AL263">
        <v>1</v>
      </c>
      <c r="AM263">
        <f t="shared" si="181"/>
        <v>53.030115347926511</v>
      </c>
      <c r="AN263">
        <f t="shared" si="196"/>
        <v>840.90455900521795</v>
      </c>
      <c r="AO263">
        <f t="shared" si="197"/>
        <v>-400.88721854582991</v>
      </c>
      <c r="AQ263">
        <f t="shared" si="182"/>
        <v>4.164913932053594E-2</v>
      </c>
      <c r="AR263">
        <f t="shared" si="183"/>
        <v>-20.40807826706261</v>
      </c>
      <c r="AT263">
        <f t="shared" si="209"/>
        <v>-79000.50320938736</v>
      </c>
      <c r="AU263">
        <f t="shared" si="210"/>
        <v>-49106.911169530984</v>
      </c>
      <c r="AV263">
        <f t="shared" si="198"/>
        <v>-2.5854402077635692</v>
      </c>
      <c r="AW263">
        <f t="shared" si="199"/>
        <v>-4794.473664113526</v>
      </c>
      <c r="AX263">
        <f t="shared" si="200"/>
        <v>-22481.306320050939</v>
      </c>
      <c r="AY263">
        <f t="shared" si="208"/>
        <v>-1.7809134632148866</v>
      </c>
      <c r="BA263">
        <f t="shared" si="184"/>
        <v>4.0466226667113414</v>
      </c>
      <c r="BB263">
        <f t="shared" si="201"/>
        <v>12.141854197022386</v>
      </c>
      <c r="BC263">
        <f t="shared" si="202"/>
        <v>-0.80452674454868256</v>
      </c>
      <c r="BD263">
        <f t="shared" si="185"/>
        <v>-226.09598702071156</v>
      </c>
      <c r="BF263">
        <f t="shared" si="186"/>
        <v>-24.624063022934571</v>
      </c>
      <c r="BG263">
        <f t="shared" si="187"/>
        <v>-161.89627394790475</v>
      </c>
      <c r="BH263">
        <f t="shared" si="203"/>
        <v>18.103726052095254</v>
      </c>
      <c r="BI263">
        <f t="shared" si="204"/>
        <v>18.103726052095254</v>
      </c>
      <c r="BJ263">
        <f t="shared" si="188"/>
        <v>0</v>
      </c>
      <c r="BK263">
        <f t="shared" si="205"/>
        <v>0</v>
      </c>
      <c r="BM263">
        <f t="shared" si="206"/>
        <v>-36.765917219956954</v>
      </c>
      <c r="BN263">
        <f t="shared" si="189"/>
        <v>-115.80028692719321</v>
      </c>
      <c r="BQ263" s="56">
        <f t="shared" si="207"/>
        <v>29.043814997307521</v>
      </c>
      <c r="BR263" s="59"/>
      <c r="BS263" s="59"/>
      <c r="BT263" s="59">
        <v>33884.415999999997</v>
      </c>
      <c r="BU263" s="59">
        <v>-1.81593</v>
      </c>
      <c r="BV263" s="59">
        <v>-149.483</v>
      </c>
      <c r="BY263" s="59"/>
      <c r="BZ263" s="59"/>
      <c r="CA263" s="59"/>
      <c r="CC263" s="59"/>
    </row>
    <row r="264" spans="1:81" x14ac:dyDescent="0.25">
      <c r="A264">
        <f t="shared" si="211"/>
        <v>250000</v>
      </c>
      <c r="B264">
        <f t="shared" si="191"/>
        <v>250</v>
      </c>
      <c r="C264">
        <f t="shared" si="159"/>
        <v>2.3019990589245301</v>
      </c>
      <c r="D264">
        <f t="shared" si="160"/>
        <v>1.1214186920441729</v>
      </c>
      <c r="F264">
        <f t="shared" si="161"/>
        <v>4.1024545360605886E-4</v>
      </c>
      <c r="G264">
        <f t="shared" si="162"/>
        <v>6.8913516692654447E-3</v>
      </c>
      <c r="H264">
        <f t="shared" si="163"/>
        <v>-3.134701298330735</v>
      </c>
      <c r="J264">
        <f t="shared" si="164"/>
        <v>15</v>
      </c>
      <c r="M264">
        <f t="shared" si="165"/>
        <v>5.9764158868123533E-3</v>
      </c>
      <c r="N264">
        <f t="shared" si="166"/>
        <v>-1.5707963250000001</v>
      </c>
      <c r="O264">
        <f t="shared" si="167"/>
        <v>63.942372039339183</v>
      </c>
      <c r="P264">
        <f t="shared" si="168"/>
        <v>1.5551566072150085</v>
      </c>
      <c r="Q264">
        <f t="shared" si="169"/>
        <v>54.121601843864177</v>
      </c>
      <c r="R264">
        <f t="shared" si="170"/>
        <v>1.5523183646865462</v>
      </c>
      <c r="S264">
        <f t="shared" si="171"/>
        <v>0.4400764377012647</v>
      </c>
      <c r="T264">
        <f t="shared" si="172"/>
        <v>-1.1151125314781363</v>
      </c>
      <c r="U264">
        <f t="shared" si="173"/>
        <v>0.53197439182586392</v>
      </c>
      <c r="V264">
        <f t="shared" si="174"/>
        <v>-1.0098657640894757</v>
      </c>
      <c r="X264">
        <f t="shared" si="192"/>
        <v>-23.274815651556551</v>
      </c>
      <c r="Y264">
        <f t="shared" si="175"/>
        <v>-149.05968343523836</v>
      </c>
      <c r="Z264">
        <f t="shared" si="193"/>
        <v>30.940316564761645</v>
      </c>
      <c r="AC264">
        <v>1</v>
      </c>
      <c r="AD264">
        <f t="shared" si="176"/>
        <v>63.934552020150001</v>
      </c>
      <c r="AE264">
        <f t="shared" si="177"/>
        <v>-1.2051379122452757E-2</v>
      </c>
      <c r="AF264">
        <f t="shared" si="178"/>
        <v>7.5712382865E-3</v>
      </c>
      <c r="AG264">
        <f t="shared" si="194"/>
        <v>2330.2417812059216</v>
      </c>
      <c r="AH264">
        <f t="shared" si="195"/>
        <v>-3841.1982362447034</v>
      </c>
      <c r="AJ264">
        <f t="shared" si="179"/>
        <v>22100</v>
      </c>
      <c r="AK264">
        <f t="shared" si="180"/>
        <v>45094.263818467509</v>
      </c>
      <c r="AL264">
        <v>1</v>
      </c>
      <c r="AM264">
        <f t="shared" si="181"/>
        <v>54.112362599925014</v>
      </c>
      <c r="AN264">
        <f t="shared" si="196"/>
        <v>840.60530047938789</v>
      </c>
      <c r="AO264">
        <f t="shared" si="197"/>
        <v>-392.87500449204322</v>
      </c>
      <c r="AQ264">
        <f t="shared" si="182"/>
        <v>3.9999840000639997E-2</v>
      </c>
      <c r="AR264">
        <f t="shared" si="183"/>
        <v>-19.99992000032</v>
      </c>
      <c r="AT264">
        <f t="shared" si="209"/>
        <v>-76730.448131853293</v>
      </c>
      <c r="AU264">
        <f t="shared" si="210"/>
        <v>-46758.296520382144</v>
      </c>
      <c r="AV264">
        <f t="shared" si="198"/>
        <v>-2.5943018131309206</v>
      </c>
      <c r="AW264">
        <f t="shared" si="199"/>
        <v>-4543.6240777404437</v>
      </c>
      <c r="AX264">
        <f t="shared" si="200"/>
        <v>-22069.803692640082</v>
      </c>
      <c r="AY264">
        <f t="shared" si="208"/>
        <v>-1.7738346310432564</v>
      </c>
      <c r="BA264">
        <f t="shared" si="184"/>
        <v>3.9877619356604277</v>
      </c>
      <c r="BB264">
        <f t="shared" si="201"/>
        <v>12.014584471653546</v>
      </c>
      <c r="BC264">
        <f t="shared" si="202"/>
        <v>-0.82046718208766412</v>
      </c>
      <c r="BD264">
        <f t="shared" si="185"/>
        <v>-227.00930681633074</v>
      </c>
      <c r="BF264">
        <f t="shared" si="186"/>
        <v>-24.960611975349778</v>
      </c>
      <c r="BG264">
        <f t="shared" si="187"/>
        <v>-162.36190325545888</v>
      </c>
      <c r="BH264">
        <f t="shared" si="203"/>
        <v>17.638096744541116</v>
      </c>
      <c r="BI264">
        <f t="shared" si="204"/>
        <v>17.638096744541116</v>
      </c>
      <c r="BJ264">
        <f t="shared" si="188"/>
        <v>0</v>
      </c>
      <c r="BK264">
        <f t="shared" si="205"/>
        <v>0</v>
      </c>
      <c r="BM264">
        <f t="shared" si="206"/>
        <v>-36.975196447003327</v>
      </c>
      <c r="BN264">
        <f t="shared" si="189"/>
        <v>-115.35259643912813</v>
      </c>
      <c r="BQ264" s="56">
        <f t="shared" si="207"/>
        <v>28.916545271938684</v>
      </c>
      <c r="BR264" s="59"/>
      <c r="BS264" s="59"/>
      <c r="BT264" s="59">
        <v>34673.684999999998</v>
      </c>
      <c r="BU264" s="59">
        <v>-1.6807799999999999</v>
      </c>
      <c r="BV264" s="59">
        <v>-148.328</v>
      </c>
      <c r="BY264" s="59"/>
      <c r="BZ264" s="59"/>
      <c r="CA264" s="59"/>
      <c r="CC264" s="59"/>
    </row>
    <row r="265" spans="1:81" x14ac:dyDescent="0.25">
      <c r="A265">
        <f t="shared" si="211"/>
        <v>255000</v>
      </c>
      <c r="B265">
        <f t="shared" si="191"/>
        <v>255</v>
      </c>
      <c r="C265">
        <f t="shared" ref="C265:C328" si="212">SQRT((A265/Fesr)^2+1)</f>
        <v>2.3394202986739927</v>
      </c>
      <c r="D265">
        <f t="shared" ref="D265:D328" si="213">ATAN(A265/Fesr)</f>
        <v>1.1291191171240582</v>
      </c>
      <c r="F265">
        <f t="shared" ref="F265:F328" si="214">(Ro/(Ro+Rdcr))/SQRT((A265/(Q*Fo))^2+(1-(A265^2/Fo^2))^2)</f>
        <v>3.9430916794025016E-4</v>
      </c>
      <c r="G265">
        <f t="shared" ref="G265:G328" si="215">-ATAN(A265*Fo/(Q*(Fo^2-A265^2)))</f>
        <v>6.7561230201261691E-3</v>
      </c>
      <c r="H265">
        <f t="shared" ref="H265:H328" si="216">IF(G265&gt;0,G265-Pi,G265)</f>
        <v>-3.1348365269798739</v>
      </c>
      <c r="J265">
        <f t="shared" ref="J265:J328" si="217">Vin/Vramp</f>
        <v>15</v>
      </c>
      <c r="M265">
        <f t="shared" ref="M265:M328" si="218">1/(2*Pi*_Rfb1*(Cc1ea_u+Cc2ea_u)*A265)</f>
        <v>5.8592312615807383E-3</v>
      </c>
      <c r="N265">
        <f t="shared" ref="N265:N328" si="219">-Pi/2</f>
        <v>-1.5707963250000001</v>
      </c>
      <c r="O265">
        <f t="shared" ref="O265:O328" si="220">SQRT(1+(A265/Fz1_u)^2)</f>
        <v>65.220909764237135</v>
      </c>
      <c r="P265">
        <f t="shared" ref="P265:P328" si="221">ATAN2(Fz1_u,A265)</f>
        <v>1.555463219840119</v>
      </c>
      <c r="Q265">
        <f t="shared" ref="Q265:Q328" si="222">SQRT(1+(A265/Fz2_u)^2)</f>
        <v>55.203667964239948</v>
      </c>
      <c r="R265">
        <f t="shared" ref="R265:R328" si="223">ATAN2(Fz2_u,A265)</f>
        <v>1.5526805976127454</v>
      </c>
      <c r="S265">
        <f t="shared" ref="S265:S328" si="224">1/SQRT(1+(A265/Fp1_u)^2)</f>
        <v>0.43307901100669216</v>
      </c>
      <c r="T265">
        <f t="shared" ref="T265:T328" si="225">-ATAN2(Fp1_u,A265)</f>
        <v>-1.1228903652084161</v>
      </c>
      <c r="U265">
        <f t="shared" ref="U265:U328" si="226">1/SQRT(1+(A265/Fp2_u)^2)</f>
        <v>0.52443300724529573</v>
      </c>
      <c r="V265">
        <f t="shared" ref="V265:V328" si="227">-ATAN2(Fp2_u,A265)</f>
        <v>-1.0187472633548291</v>
      </c>
      <c r="X265">
        <f t="shared" si="192"/>
        <v>-23.570220614416169</v>
      </c>
      <c r="Y265">
        <f t="shared" ref="Y265:Y328" si="228">(180/Pi)*(D265+H265+N265+P265+R265+T265+V265)</f>
        <v>-149.54241705203737</v>
      </c>
      <c r="Z265">
        <f t="shared" si="193"/>
        <v>30.457582947962635</v>
      </c>
      <c r="AC265">
        <v>1</v>
      </c>
      <c r="AD265">
        <f t="shared" ref="AD265:AD328" si="229">Rcea1_u*Cc1ea_u*A265*2*Pi</f>
        <v>65.213243060552998</v>
      </c>
      <c r="AE265">
        <f t="shared" ref="AE265:AE328" si="230">-Rcea1_u*Cc1ea_u*Cc2ea_u*(A265*2*Pi)^2</f>
        <v>-1.2538254838999844E-2</v>
      </c>
      <c r="AF265">
        <f t="shared" ref="AF265:AF328" si="231">(Cc2ea_u+Cc1ea_u)*A265*2*Pi</f>
        <v>7.7226630522300001E-3</v>
      </c>
      <c r="AG265">
        <f t="shared" si="194"/>
        <v>2264.6420508261235</v>
      </c>
      <c r="AH265">
        <f t="shared" si="195"/>
        <v>-3806.285338823006</v>
      </c>
      <c r="AJ265">
        <f t="shared" ref="AJ265:AJ328" si="232">_Rfb1</f>
        <v>22100</v>
      </c>
      <c r="AK265">
        <f t="shared" ref="AK265:AK328" si="233">_Rfb1*Rcea2_u*Cc3ea_u*A265*2*Pi</f>
        <v>45996.149094836852</v>
      </c>
      <c r="AL265">
        <v>1</v>
      </c>
      <c r="AM265">
        <f t="shared" ref="AM265:AM328" si="234">(_Rfb1+Rcea2_u)*Cc3ea_u*A265*2*Pi</f>
        <v>55.194609851923502</v>
      </c>
      <c r="AN265">
        <f t="shared" si="196"/>
        <v>840.32346452892364</v>
      </c>
      <c r="AO265">
        <f t="shared" si="197"/>
        <v>-385.17667925376577</v>
      </c>
      <c r="AQ265">
        <f t="shared" ref="AQ265:AQ328" si="235">Eadcg/(1+(Eadcg*A265/GBP)^2)</f>
        <v>3.8446603434819551E-2</v>
      </c>
      <c r="AR265">
        <f t="shared" ref="AR265:AR328" si="236">-(A265*Eadcg*Eadcg/GBP)/(1+(Eadcg*A265/GBP)^2)</f>
        <v>-19.607767751757972</v>
      </c>
      <c r="AT265">
        <f t="shared" si="209"/>
        <v>-74545.691125712983</v>
      </c>
      <c r="AU265">
        <f t="shared" si="210"/>
        <v>-44550.914116444997</v>
      </c>
      <c r="AV265">
        <f t="shared" si="198"/>
        <v>-2.6029159153036314</v>
      </c>
      <c r="AW265">
        <f t="shared" si="199"/>
        <v>-4308.9125478686856</v>
      </c>
      <c r="AX265">
        <f t="shared" si="200"/>
        <v>-21673.207776934411</v>
      </c>
      <c r="AY265">
        <f t="shared" si="208"/>
        <v>-1.7670501512363608</v>
      </c>
      <c r="BA265">
        <f t="shared" ref="BA265:BA328" si="237">SQRT(AT265^2+AU265^2)/SQRT(AW265^2+AX265^2)</f>
        <v>3.9300473625255337</v>
      </c>
      <c r="BB265">
        <f t="shared" si="201"/>
        <v>11.887955685165243</v>
      </c>
      <c r="BC265">
        <f t="shared" si="202"/>
        <v>-0.83586576406727064</v>
      </c>
      <c r="BD265">
        <f t="shared" ref="BD265:BD328" si="238">BC265*180/Pi-180</f>
        <v>-227.89158057525654</v>
      </c>
      <c r="BF265">
        <f t="shared" ref="BF265:BF328" si="239">20*LOG(BA265*J265*F265*C265)</f>
        <v>-25.291316559964731</v>
      </c>
      <c r="BG265">
        <f t="shared" ref="BG265:BG328" si="240">(180/Pi)*(D265+H265+BC265)</f>
        <v>-162.81072318722019</v>
      </c>
      <c r="BH265">
        <f t="shared" si="203"/>
        <v>17.189276812779809</v>
      </c>
      <c r="BI265">
        <f t="shared" si="204"/>
        <v>17.189276812779809</v>
      </c>
      <c r="BJ265">
        <f t="shared" ref="BJ265:BJ328" si="241">SUM((BF266&lt;0)*(BF265&gt;0))*A265</f>
        <v>0</v>
      </c>
      <c r="BK265">
        <f t="shared" si="205"/>
        <v>0</v>
      </c>
      <c r="BM265">
        <f t="shared" si="206"/>
        <v>-37.179272245129972</v>
      </c>
      <c r="BN265">
        <f t="shared" ref="BN265:BN328" si="242">(H265+D265)*180/Pi</f>
        <v>-114.91914261196365</v>
      </c>
      <c r="BQ265" s="56">
        <f t="shared" si="207"/>
        <v>28.789916485450384</v>
      </c>
      <c r="BR265" s="59"/>
      <c r="BS265" s="59"/>
      <c r="BT265" s="59">
        <v>35481.339</v>
      </c>
      <c r="BU265" s="59">
        <v>-1.5620799999999999</v>
      </c>
      <c r="BV265" s="59">
        <v>-147.47</v>
      </c>
      <c r="BY265" s="59"/>
      <c r="BZ265" s="59"/>
      <c r="CA265" s="59"/>
      <c r="CC265" s="59"/>
    </row>
    <row r="266" spans="1:81" x14ac:dyDescent="0.25">
      <c r="A266">
        <f t="shared" si="211"/>
        <v>260000</v>
      </c>
      <c r="B266">
        <f t="shared" ref="B266:B329" si="243">A266/1000</f>
        <v>260</v>
      </c>
      <c r="C266">
        <f t="shared" si="212"/>
        <v>2.3769758854772247</v>
      </c>
      <c r="D266">
        <f t="shared" si="213"/>
        <v>1.1365766435204558</v>
      </c>
      <c r="F266">
        <f t="shared" si="214"/>
        <v>3.7928385463812238E-4</v>
      </c>
      <c r="G266">
        <f t="shared" si="215"/>
        <v>6.6261013094626106E-3</v>
      </c>
      <c r="H266">
        <f t="shared" si="216"/>
        <v>-3.1349665486905378</v>
      </c>
      <c r="J266">
        <f t="shared" si="217"/>
        <v>15</v>
      </c>
      <c r="M266">
        <f t="shared" si="218"/>
        <v>5.7465537373195706E-3</v>
      </c>
      <c r="N266">
        <f t="shared" si="219"/>
        <v>-1.5707963250000001</v>
      </c>
      <c r="O266">
        <f t="shared" si="220"/>
        <v>66.499453384865305</v>
      </c>
      <c r="P266">
        <f t="shared" si="221"/>
        <v>1.555758042391669</v>
      </c>
      <c r="Q266">
        <f t="shared" si="222"/>
        <v>56.285741049534536</v>
      </c>
      <c r="R266">
        <f t="shared" si="223"/>
        <v>1.5530289029882913</v>
      </c>
      <c r="S266">
        <f t="shared" si="224"/>
        <v>0.42627603793211888</v>
      </c>
      <c r="T266">
        <f t="shared" si="225"/>
        <v>-1.1304242884055196</v>
      </c>
      <c r="U266">
        <f t="shared" si="226"/>
        <v>0.5170633601907525</v>
      </c>
      <c r="V266">
        <f t="shared" si="227"/>
        <v>-1.0273798114380528</v>
      </c>
      <c r="X266">
        <f t="shared" ref="X266:X329" si="244">20*LOG(C266*J266*O266*Q266*F266*M266*S266*U266)</f>
        <v>-23.861219766936358</v>
      </c>
      <c r="Y266">
        <f t="shared" si="228"/>
        <v>-150.01200401779172</v>
      </c>
      <c r="Z266">
        <f t="shared" ref="Z266:Z329" si="245">Y266+180</f>
        <v>29.987995982208275</v>
      </c>
      <c r="AC266">
        <v>1</v>
      </c>
      <c r="AD266">
        <f t="shared" si="229"/>
        <v>66.491934100956001</v>
      </c>
      <c r="AE266">
        <f t="shared" si="230"/>
        <v>-1.3034771658844899E-2</v>
      </c>
      <c r="AF266">
        <f t="shared" si="231"/>
        <v>7.8740878179600002E-3</v>
      </c>
      <c r="AG266">
        <f t="shared" ref="AG266:AG329" si="246">AC266*AE266/(AE266^2+AF266^2)+AD266*AF266/(AE266^2+AF266^2)</f>
        <v>2201.4410464312355</v>
      </c>
      <c r="AH266">
        <f t="shared" ref="AH266:AH329" si="247">AD266*AE266/(AE266^2+AF266^2)-AC266*AF266/(AE266^2+AF266^2)</f>
        <v>-3771.2662148506629</v>
      </c>
      <c r="AJ266">
        <f t="shared" si="232"/>
        <v>22100</v>
      </c>
      <c r="AK266">
        <f t="shared" si="233"/>
        <v>46898.034371206202</v>
      </c>
      <c r="AL266">
        <v>1</v>
      </c>
      <c r="AM266">
        <f t="shared" si="234"/>
        <v>56.276857103922005</v>
      </c>
      <c r="AN266">
        <f t="shared" ref="AN266:AN329" si="248">AJ266*AL266/(AL266^2+AM266^2)+AK266*AM266/(AL266^2+AM266^2)</f>
        <v>840.05772464048232</v>
      </c>
      <c r="AO266">
        <f t="shared" ref="AO266:AO329" si="249">AK266*AL266/(AL266^2+AM266^2)-AJ266*AM266/(AL266^2+AM266^2)</f>
        <v>-377.77415743207672</v>
      </c>
      <c r="AQ266">
        <f t="shared" si="235"/>
        <v>3.6982111752545295E-2</v>
      </c>
      <c r="AR266">
        <f t="shared" si="236"/>
        <v>-19.230698111323552</v>
      </c>
      <c r="AT266">
        <f t="shared" si="209"/>
        <v>-72442.66813643121</v>
      </c>
      <c r="AU266">
        <f t="shared" si="210"/>
        <v>-42474.717562401514</v>
      </c>
      <c r="AV266">
        <f t="shared" ref="AV266:AV329" si="250">ATAN2(AT266,AU266)</f>
        <v>-2.6112913480837516</v>
      </c>
      <c r="AW266">
        <f t="shared" ref="AW266:AW329" si="251">AG266-AH266*AO266/_Rfb2+AG266*AN266/_Rfb2+AN266-AO266*AR266+AQ266*AN266</f>
        <v>-4089.0144803663129</v>
      </c>
      <c r="AX266">
        <f t="shared" ref="AX266:AX329" si="252">AH266+AH266*AN266/_Rfb2+AG266*AO266/_Rfb2+AO266+AO266*AQ266+AN266*AR266</f>
        <v>-21290.692489119494</v>
      </c>
      <c r="AY266">
        <f t="shared" si="208"/>
        <v>-1.760542305989329</v>
      </c>
      <c r="BA266">
        <f t="shared" si="237"/>
        <v>3.8734879971634264</v>
      </c>
      <c r="BB266">
        <f t="shared" ref="BB266:BB329" si="253">20*LOG(BA266)</f>
        <v>11.762044290997322</v>
      </c>
      <c r="BC266">
        <f t="shared" ref="BC266:BC329" si="254">AV266-AY266</f>
        <v>-0.85074904209442259</v>
      </c>
      <c r="BD266">
        <f t="shared" si="238"/>
        <v>-228.74432959250655</v>
      </c>
      <c r="BF266">
        <f t="shared" si="239"/>
        <v>-25.616347890782706</v>
      </c>
      <c r="BG266">
        <f t="shared" si="240"/>
        <v>-163.24363711113557</v>
      </c>
      <c r="BH266">
        <f t="shared" ref="BH266:BH329" si="255">IF(BG266&gt;180,BG266-180,BG266+180)</f>
        <v>16.75636288886443</v>
      </c>
      <c r="BI266">
        <f t="shared" ref="BI266:BI329" si="256">IF(BH266&gt;180,BH266-360,BH266)</f>
        <v>16.75636288886443</v>
      </c>
      <c r="BJ266">
        <f t="shared" si="241"/>
        <v>0</v>
      </c>
      <c r="BK266">
        <f t="shared" ref="BK266:BK329" si="257">IF(BJ266&gt;0,BI266,0)</f>
        <v>0</v>
      </c>
      <c r="BM266">
        <f t="shared" ref="BM266:BM329" si="258">20*LOG(J266*F266*C266)</f>
        <v>-37.378392181780029</v>
      </c>
      <c r="BN266">
        <f t="shared" si="242"/>
        <v>-114.49930751862904</v>
      </c>
      <c r="BQ266" s="56">
        <f t="shared" ref="BQ266:BQ329" si="259">20*LOG(BA266*7)</f>
        <v>28.664005091282458</v>
      </c>
      <c r="BR266" s="59"/>
      <c r="BS266" s="59"/>
      <c r="BT266" s="59">
        <v>36307.805</v>
      </c>
      <c r="BU266" s="59">
        <v>-1.4274800000000001</v>
      </c>
      <c r="BV266" s="59">
        <v>-146.52500000000001</v>
      </c>
      <c r="BY266" s="59"/>
      <c r="BZ266" s="59"/>
      <c r="CA266" s="59"/>
      <c r="CC266" s="59"/>
    </row>
    <row r="267" spans="1:81" x14ac:dyDescent="0.25">
      <c r="A267">
        <f t="shared" si="211"/>
        <v>265000</v>
      </c>
      <c r="B267">
        <f t="shared" si="243"/>
        <v>265</v>
      </c>
      <c r="C267">
        <f t="shared" si="212"/>
        <v>2.4146595507786173</v>
      </c>
      <c r="D267">
        <f t="shared" si="213"/>
        <v>1.1438017940403873</v>
      </c>
      <c r="F267">
        <f t="shared" si="214"/>
        <v>3.6510137386342194E-4</v>
      </c>
      <c r="G267">
        <f t="shared" si="215"/>
        <v>6.5009913765797381E-3</v>
      </c>
      <c r="H267">
        <f t="shared" si="216"/>
        <v>-3.1350916586234203</v>
      </c>
      <c r="J267">
        <f t="shared" si="217"/>
        <v>15</v>
      </c>
      <c r="M267">
        <f t="shared" si="218"/>
        <v>5.6381281951059939E-3</v>
      </c>
      <c r="N267">
        <f t="shared" si="219"/>
        <v>-1.5707963250000001</v>
      </c>
      <c r="O267">
        <f t="shared" si="220"/>
        <v>67.778002567577914</v>
      </c>
      <c r="P267">
        <f t="shared" si="221"/>
        <v>1.5560417420328807</v>
      </c>
      <c r="Q267">
        <f t="shared" si="222"/>
        <v>57.367820705630599</v>
      </c>
      <c r="R267">
        <f t="shared" si="223"/>
        <v>1.553364068836262</v>
      </c>
      <c r="S267">
        <f t="shared" si="224"/>
        <v>0.41966076148747239</v>
      </c>
      <c r="T267">
        <f t="shared" si="225"/>
        <v>-1.1377247810195761</v>
      </c>
      <c r="U267">
        <f t="shared" si="226"/>
        <v>0.50986153942205248</v>
      </c>
      <c r="V267">
        <f t="shared" si="227"/>
        <v>-1.0357724968684974</v>
      </c>
      <c r="X267">
        <f t="shared" si="244"/>
        <v>-24.147933700976605</v>
      </c>
      <c r="Y267">
        <f t="shared" si="228"/>
        <v>-150.46889614678514</v>
      </c>
      <c r="Z267">
        <f t="shared" si="245"/>
        <v>29.531103853214859</v>
      </c>
      <c r="AC267">
        <v>1</v>
      </c>
      <c r="AD267">
        <f t="shared" si="229"/>
        <v>67.770625141359005</v>
      </c>
      <c r="AE267">
        <f t="shared" si="230"/>
        <v>-1.3540929581987916E-2</v>
      </c>
      <c r="AF267">
        <f t="shared" si="231"/>
        <v>8.0255125836899994E-3</v>
      </c>
      <c r="AG267">
        <f t="shared" si="246"/>
        <v>2140.5433977320254</v>
      </c>
      <c r="AH267">
        <f t="shared" si="247"/>
        <v>-3736.2034017385995</v>
      </c>
      <c r="AJ267">
        <f t="shared" si="232"/>
        <v>22100</v>
      </c>
      <c r="AK267">
        <f t="shared" si="233"/>
        <v>47799.919647575553</v>
      </c>
      <c r="AL267">
        <v>1</v>
      </c>
      <c r="AM267">
        <f t="shared" si="234"/>
        <v>57.359104355920508</v>
      </c>
      <c r="AN267">
        <f t="shared" si="248"/>
        <v>839.80687817360752</v>
      </c>
      <c r="AO267">
        <f t="shared" si="249"/>
        <v>-370.65071640422076</v>
      </c>
      <c r="AQ267">
        <f t="shared" si="235"/>
        <v>3.559973086603465E-2</v>
      </c>
      <c r="AR267">
        <f t="shared" si="236"/>
        <v>-18.867857358998364</v>
      </c>
      <c r="AT267">
        <f t="shared" si="209"/>
        <v>-70417.95007934203</v>
      </c>
      <c r="AU267">
        <f t="shared" si="210"/>
        <v>-40520.475334716211</v>
      </c>
      <c r="AV267">
        <f t="shared" si="250"/>
        <v>-2.6194366182115596</v>
      </c>
      <c r="AW267">
        <f t="shared" si="251"/>
        <v>-3882.7354447687321</v>
      </c>
      <c r="AX267">
        <f t="shared" si="252"/>
        <v>-20921.494824521542</v>
      </c>
      <c r="AY267">
        <f t="shared" ref="AY267:AY330" si="260">ATAN2(AW267,AX267)</f>
        <v>-1.7542945908911602</v>
      </c>
      <c r="BA267">
        <f t="shared" si="237"/>
        <v>3.8180866647227343</v>
      </c>
      <c r="BB267">
        <f t="shared" si="253"/>
        <v>11.636915639789382</v>
      </c>
      <c r="BC267">
        <f t="shared" si="254"/>
        <v>-0.86514202732039935</v>
      </c>
      <c r="BD267">
        <f t="shared" si="238"/>
        <v>-229.56898690149146</v>
      </c>
      <c r="BF267">
        <f t="shared" si="239"/>
        <v>-25.93587169377173</v>
      </c>
      <c r="BG267">
        <f t="shared" si="240"/>
        <v>-163.66149205964618</v>
      </c>
      <c r="BH267">
        <f t="shared" si="255"/>
        <v>16.338507940353821</v>
      </c>
      <c r="BI267">
        <f t="shared" si="256"/>
        <v>16.338507940353821</v>
      </c>
      <c r="BJ267">
        <f t="shared" si="241"/>
        <v>0</v>
      </c>
      <c r="BK267">
        <f t="shared" si="257"/>
        <v>0</v>
      </c>
      <c r="BM267">
        <f t="shared" si="258"/>
        <v>-37.572787333561109</v>
      </c>
      <c r="BN267">
        <f t="shared" si="242"/>
        <v>-114.09250515815471</v>
      </c>
      <c r="BQ267" s="56">
        <f t="shared" si="259"/>
        <v>28.538876440074521</v>
      </c>
      <c r="BR267" s="59"/>
      <c r="BS267" s="59"/>
      <c r="BT267" s="59">
        <v>37153.523000000001</v>
      </c>
      <c r="BU267" s="59">
        <v>-1.30297</v>
      </c>
      <c r="BV267" s="59">
        <v>-145.744</v>
      </c>
      <c r="BY267" s="59"/>
      <c r="BZ267" s="59"/>
      <c r="CA267" s="59"/>
      <c r="CC267" s="59"/>
    </row>
    <row r="268" spans="1:81" x14ac:dyDescent="0.25">
      <c r="A268">
        <f t="shared" si="211"/>
        <v>270000</v>
      </c>
      <c r="B268">
        <f t="shared" si="243"/>
        <v>270</v>
      </c>
      <c r="C268">
        <f t="shared" si="212"/>
        <v>2.4524653905664766</v>
      </c>
      <c r="D268">
        <f t="shared" si="213"/>
        <v>1.1508045430143572</v>
      </c>
      <c r="F268">
        <f t="shared" si="214"/>
        <v>3.5169984032707184E-4</v>
      </c>
      <c r="G268">
        <f t="shared" si="215"/>
        <v>6.3805199631252925E-3</v>
      </c>
      <c r="H268">
        <f t="shared" si="216"/>
        <v>-3.1352121300368747</v>
      </c>
      <c r="J268">
        <f t="shared" si="217"/>
        <v>15</v>
      </c>
      <c r="M268">
        <f t="shared" si="218"/>
        <v>5.533718413715142E-3</v>
      </c>
      <c r="N268">
        <f t="shared" si="219"/>
        <v>-1.5707963250000001</v>
      </c>
      <c r="O268">
        <f t="shared" si="220"/>
        <v>69.056557003436964</v>
      </c>
      <c r="P268">
        <f t="shared" si="221"/>
        <v>1.556314936525429</v>
      </c>
      <c r="Q268">
        <f t="shared" si="222"/>
        <v>58.449906567593573</v>
      </c>
      <c r="R268">
        <f t="shared" si="223"/>
        <v>1.5536868248372495</v>
      </c>
      <c r="S268">
        <f t="shared" si="224"/>
        <v>0.41322664539860121</v>
      </c>
      <c r="T268">
        <f t="shared" si="225"/>
        <v>-1.1448017832167963</v>
      </c>
      <c r="U268">
        <f t="shared" si="226"/>
        <v>0.50282361129763475</v>
      </c>
      <c r="V268">
        <f t="shared" si="227"/>
        <v>-1.0439340453949038</v>
      </c>
      <c r="X268">
        <f t="shared" si="244"/>
        <v>-24.430478060989319</v>
      </c>
      <c r="Y268">
        <f t="shared" si="228"/>
        <v>-150.91352988391952</v>
      </c>
      <c r="Z268">
        <f t="shared" si="245"/>
        <v>29.086470116080477</v>
      </c>
      <c r="AC268">
        <v>1</v>
      </c>
      <c r="AD268">
        <f t="shared" si="229"/>
        <v>69.049316181762009</v>
      </c>
      <c r="AE268">
        <f t="shared" si="230"/>
        <v>-1.4056728608428893E-2</v>
      </c>
      <c r="AF268">
        <f t="shared" si="231"/>
        <v>8.1769373494200003E-3</v>
      </c>
      <c r="AG268">
        <f t="shared" si="246"/>
        <v>2081.8568178598198</v>
      </c>
      <c r="AH268">
        <f t="shared" si="247"/>
        <v>-3701.1530108408551</v>
      </c>
      <c r="AJ268">
        <f t="shared" si="232"/>
        <v>22100</v>
      </c>
      <c r="AK268">
        <f t="shared" si="233"/>
        <v>48701.80492394491</v>
      </c>
      <c r="AL268">
        <v>1</v>
      </c>
      <c r="AM268">
        <f t="shared" si="234"/>
        <v>58.441351607919003</v>
      </c>
      <c r="AN268">
        <f t="shared" si="248"/>
        <v>839.56983273586923</v>
      </c>
      <c r="AO268">
        <f t="shared" si="249"/>
        <v>-363.79087037376576</v>
      </c>
      <c r="AQ268">
        <f t="shared" si="235"/>
        <v>3.4293435207698189E-2</v>
      </c>
      <c r="AR268">
        <f t="shared" si="236"/>
        <v>-18.518455012157023</v>
      </c>
      <c r="AT268">
        <f t="shared" si="209"/>
        <v>-68468.241502470904</v>
      </c>
      <c r="AU268">
        <f t="shared" si="210"/>
        <v>-38679.697074260497</v>
      </c>
      <c r="AV268">
        <f t="shared" si="250"/>
        <v>-2.6273599127242981</v>
      </c>
      <c r="AW268">
        <f t="shared" si="251"/>
        <v>-3688.9964162952024</v>
      </c>
      <c r="AX268">
        <f t="shared" si="252"/>
        <v>-20564.9086803916</v>
      </c>
      <c r="AY268">
        <f t="shared" si="260"/>
        <v>-1.7482916302965543</v>
      </c>
      <c r="BA268">
        <f t="shared" si="237"/>
        <v>3.7638409699339088</v>
      </c>
      <c r="BB268">
        <f t="shared" si="253"/>
        <v>11.512625306054291</v>
      </c>
      <c r="BC268">
        <f t="shared" si="254"/>
        <v>-0.87906828242774382</v>
      </c>
      <c r="BD268">
        <f t="shared" si="238"/>
        <v>-230.36690254447657</v>
      </c>
      <c r="BF268">
        <f t="shared" si="239"/>
        <v>-26.250048344142691</v>
      </c>
      <c r="BG268">
        <f t="shared" si="240"/>
        <v>-164.06508224452554</v>
      </c>
      <c r="BH268">
        <f t="shared" si="255"/>
        <v>15.934917755474459</v>
      </c>
      <c r="BI268">
        <f t="shared" si="256"/>
        <v>15.934917755474459</v>
      </c>
      <c r="BJ268">
        <f t="shared" si="241"/>
        <v>0</v>
      </c>
      <c r="BK268">
        <f t="shared" si="257"/>
        <v>0</v>
      </c>
      <c r="BM268">
        <f t="shared" si="258"/>
        <v>-37.76267365019698</v>
      </c>
      <c r="BN268">
        <f t="shared" si="242"/>
        <v>-113.698179700049</v>
      </c>
      <c r="BQ268" s="56">
        <f t="shared" si="259"/>
        <v>28.414586106339428</v>
      </c>
      <c r="BR268" s="59"/>
      <c r="BS268" s="59"/>
      <c r="BT268" s="59">
        <v>38018.94</v>
      </c>
      <c r="BU268" s="59">
        <v>-1.18652</v>
      </c>
      <c r="BV268" s="59">
        <v>-144.86799999999999</v>
      </c>
      <c r="BY268" s="59"/>
      <c r="BZ268" s="59"/>
      <c r="CA268" s="59"/>
      <c r="CC268" s="59"/>
    </row>
    <row r="269" spans="1:81" x14ac:dyDescent="0.25">
      <c r="A269">
        <f t="shared" si="211"/>
        <v>275000</v>
      </c>
      <c r="B269">
        <f t="shared" si="243"/>
        <v>275</v>
      </c>
      <c r="C269">
        <f t="shared" si="212"/>
        <v>2.4903878407630002</v>
      </c>
      <c r="D269">
        <f t="shared" si="213"/>
        <v>1.1575943474527211</v>
      </c>
      <c r="F269">
        <f t="shared" si="214"/>
        <v>3.390229467288524E-4</v>
      </c>
      <c r="G269">
        <f t="shared" si="215"/>
        <v>6.2644337178696498E-3</v>
      </c>
      <c r="H269">
        <f t="shared" si="216"/>
        <v>-3.1353282162821308</v>
      </c>
      <c r="J269">
        <f t="shared" si="217"/>
        <v>15</v>
      </c>
      <c r="M269">
        <f t="shared" si="218"/>
        <v>5.4331053516475944E-3</v>
      </c>
      <c r="N269">
        <f t="shared" si="219"/>
        <v>-1.5707963250000001</v>
      </c>
      <c r="O269">
        <f t="shared" si="220"/>
        <v>70.335116405966744</v>
      </c>
      <c r="P269">
        <f t="shared" si="221"/>
        <v>1.5565781987185852</v>
      </c>
      <c r="Q269">
        <f t="shared" si="222"/>
        <v>59.531998297019847</v>
      </c>
      <c r="R269">
        <f t="shared" si="223"/>
        <v>1.5539978476300844</v>
      </c>
      <c r="S269">
        <f t="shared" si="224"/>
        <v>0.40696737419046974</v>
      </c>
      <c r="T269">
        <f t="shared" si="225"/>
        <v>-1.1516647254627279</v>
      </c>
      <c r="U269">
        <f t="shared" si="226"/>
        <v>0.495945638228732</v>
      </c>
      <c r="V269">
        <f t="shared" si="227"/>
        <v>-1.05187283202688</v>
      </c>
      <c r="X269">
        <f t="shared" si="244"/>
        <v>-24.708963852276966</v>
      </c>
      <c r="Y269">
        <f t="shared" si="228"/>
        <v>-151.34632648655534</v>
      </c>
      <c r="Z269">
        <f t="shared" si="245"/>
        <v>28.653673513444659</v>
      </c>
      <c r="AC269">
        <v>1</v>
      </c>
      <c r="AD269">
        <f t="shared" si="229"/>
        <v>70.328007222164999</v>
      </c>
      <c r="AE269">
        <f t="shared" si="230"/>
        <v>-1.4582168738167832E-2</v>
      </c>
      <c r="AF269">
        <f t="shared" si="231"/>
        <v>8.3283621151499995E-3</v>
      </c>
      <c r="AG269">
        <f t="shared" si="246"/>
        <v>2025.2921599359383</v>
      </c>
      <c r="AH269">
        <f t="shared" si="247"/>
        <v>-3666.1652793328772</v>
      </c>
      <c r="AJ269">
        <f t="shared" si="232"/>
        <v>22100</v>
      </c>
      <c r="AK269">
        <f t="shared" si="233"/>
        <v>49603.69020031426</v>
      </c>
      <c r="AL269">
        <v>1</v>
      </c>
      <c r="AM269">
        <f t="shared" si="234"/>
        <v>59.523598859917506</v>
      </c>
      <c r="AN269">
        <f t="shared" si="248"/>
        <v>839.34559427469753</v>
      </c>
      <c r="AO269">
        <f t="shared" si="249"/>
        <v>-357.18025813190496</v>
      </c>
      <c r="AQ269">
        <f t="shared" si="235"/>
        <v>3.3057741957877827E-2</v>
      </c>
      <c r="AR269">
        <f t="shared" si="236"/>
        <v>-18.181758076832804</v>
      </c>
      <c r="AT269">
        <f t="shared" si="209"/>
        <v>-66590.378592902052</v>
      </c>
      <c r="AU269">
        <f t="shared" si="210"/>
        <v>-36944.567232640518</v>
      </c>
      <c r="AV269">
        <f t="shared" si="250"/>
        <v>-2.6350691070834085</v>
      </c>
      <c r="AW269">
        <f t="shared" si="251"/>
        <v>-3506.8209041803843</v>
      </c>
      <c r="AX269">
        <f t="shared" si="252"/>
        <v>-20220.279409639665</v>
      </c>
      <c r="AY269">
        <f t="shared" si="260"/>
        <v>-1.7425190975482405</v>
      </c>
      <c r="BA269">
        <f t="shared" si="237"/>
        <v>3.7107441616729799</v>
      </c>
      <c r="BB269">
        <f t="shared" si="253"/>
        <v>11.38922025645115</v>
      </c>
      <c r="BC269">
        <f t="shared" si="254"/>
        <v>-0.89255000953516794</v>
      </c>
      <c r="BD269">
        <f t="shared" si="238"/>
        <v>-231.13934860916174</v>
      </c>
      <c r="BF269">
        <f t="shared" si="239"/>
        <v>-26.559032930021978</v>
      </c>
      <c r="BG269">
        <f t="shared" si="240"/>
        <v>-164.45515242264904</v>
      </c>
      <c r="BH269">
        <f t="shared" si="255"/>
        <v>15.544847577350964</v>
      </c>
      <c r="BI269">
        <f t="shared" si="256"/>
        <v>15.544847577350964</v>
      </c>
      <c r="BJ269">
        <f t="shared" si="241"/>
        <v>0</v>
      </c>
      <c r="BK269">
        <f t="shared" si="257"/>
        <v>0</v>
      </c>
      <c r="BM269">
        <f t="shared" si="258"/>
        <v>-37.948253186473131</v>
      </c>
      <c r="BN269">
        <f t="shared" si="242"/>
        <v>-113.31580381348732</v>
      </c>
      <c r="BQ269" s="56">
        <f t="shared" si="259"/>
        <v>28.291181056736288</v>
      </c>
      <c r="BR269" s="59"/>
      <c r="BS269" s="59"/>
      <c r="BT269" s="59">
        <v>38904.514000000003</v>
      </c>
      <c r="BU269" s="59">
        <v>-1.0515600000000001</v>
      </c>
      <c r="BV269" s="59">
        <v>-144.06</v>
      </c>
      <c r="BY269" s="59"/>
      <c r="BZ269" s="59"/>
      <c r="CA269" s="59"/>
      <c r="CC269" s="59"/>
    </row>
    <row r="270" spans="1:81" x14ac:dyDescent="0.25">
      <c r="A270">
        <f t="shared" si="211"/>
        <v>280000</v>
      </c>
      <c r="B270">
        <f t="shared" si="243"/>
        <v>280</v>
      </c>
      <c r="C270">
        <f t="shared" si="212"/>
        <v>2.5284216544413338</v>
      </c>
      <c r="D270">
        <f t="shared" si="213"/>
        <v>1.1641801765183353</v>
      </c>
      <c r="F270">
        <f t="shared" si="214"/>
        <v>3.270193710743762E-4</v>
      </c>
      <c r="G270">
        <f t="shared" si="215"/>
        <v>6.1524974157582081E-3</v>
      </c>
      <c r="H270">
        <f t="shared" si="216"/>
        <v>-3.1354401525842421</v>
      </c>
      <c r="J270">
        <f t="shared" si="217"/>
        <v>15</v>
      </c>
      <c r="M270">
        <f t="shared" si="218"/>
        <v>5.3360856132253151E-3</v>
      </c>
      <c r="N270">
        <f t="shared" si="219"/>
        <v>-1.5707963250000001</v>
      </c>
      <c r="O270">
        <f t="shared" si="220"/>
        <v>71.613680509148935</v>
      </c>
      <c r="P270">
        <f t="shared" si="221"/>
        <v>1.5568320605576158</v>
      </c>
      <c r="Q270">
        <f t="shared" si="222"/>
        <v>60.614095579668962</v>
      </c>
      <c r="R270">
        <f t="shared" si="223"/>
        <v>1.5542977655450045</v>
      </c>
      <c r="S270">
        <f t="shared" si="224"/>
        <v>0.40087685176865584</v>
      </c>
      <c r="T270">
        <f t="shared" si="225"/>
        <v>-1.1583225570435891</v>
      </c>
      <c r="U270">
        <f t="shared" si="226"/>
        <v>0.4892236945302138</v>
      </c>
      <c r="V270">
        <f t="shared" si="227"/>
        <v>-1.0595968932322009</v>
      </c>
      <c r="X270">
        <f t="shared" si="244"/>
        <v>-24.983497720012913</v>
      </c>
      <c r="Y270">
        <f t="shared" si="228"/>
        <v>-151.76769227004453</v>
      </c>
      <c r="Z270">
        <f t="shared" si="245"/>
        <v>28.232307729955465</v>
      </c>
      <c r="AC270">
        <v>1</v>
      </c>
      <c r="AD270">
        <f t="shared" si="229"/>
        <v>71.606698262568003</v>
      </c>
      <c r="AE270">
        <f t="shared" si="230"/>
        <v>-1.5117249971204734E-2</v>
      </c>
      <c r="AF270">
        <f t="shared" si="231"/>
        <v>8.4797868808799987E-3</v>
      </c>
      <c r="AG270">
        <f t="shared" si="246"/>
        <v>1970.7634420655299</v>
      </c>
      <c r="AH270">
        <f t="shared" si="247"/>
        <v>-3631.285080671857</v>
      </c>
      <c r="AJ270">
        <f t="shared" si="232"/>
        <v>22100</v>
      </c>
      <c r="AK270">
        <f t="shared" si="233"/>
        <v>50505.575476683603</v>
      </c>
      <c r="AL270">
        <v>1</v>
      </c>
      <c r="AM270">
        <f t="shared" si="234"/>
        <v>60.605846111916009</v>
      </c>
      <c r="AN270">
        <f t="shared" si="248"/>
        <v>839.13325664311606</v>
      </c>
      <c r="AO270">
        <f t="shared" si="249"/>
        <v>-350.80554282001327</v>
      </c>
      <c r="AQ270">
        <f t="shared" si="235"/>
        <v>3.1887653419472514E-2</v>
      </c>
      <c r="AR270">
        <f t="shared" si="236"/>
        <v>-17.857085914904609</v>
      </c>
      <c r="AT270">
        <f t="shared" si="209"/>
        <v>-64781.326645456313</v>
      </c>
      <c r="AU270">
        <f t="shared" si="210"/>
        <v>-35307.88526303706</v>
      </c>
      <c r="AV270">
        <f t="shared" si="250"/>
        <v>-2.6425717738767411</v>
      </c>
      <c r="AW270">
        <f t="shared" si="251"/>
        <v>-3335.3236987078931</v>
      </c>
      <c r="AX270">
        <f t="shared" si="252"/>
        <v>-19886.999005745085</v>
      </c>
      <c r="AY270">
        <f t="shared" si="260"/>
        <v>-1.7369636400772959</v>
      </c>
      <c r="BA270">
        <f t="shared" si="237"/>
        <v>3.6587858762986296</v>
      </c>
      <c r="BB270">
        <f t="shared" si="253"/>
        <v>11.26673987892039</v>
      </c>
      <c r="BC270">
        <f t="shared" si="254"/>
        <v>-0.90560813379944527</v>
      </c>
      <c r="BD270">
        <f t="shared" si="238"/>
        <v>-231.8875240187171</v>
      </c>
      <c r="BF270">
        <f t="shared" si="239"/>
        <v>-26.862975337713483</v>
      </c>
      <c r="BG270">
        <f t="shared" si="240"/>
        <v>-164.83240109941158</v>
      </c>
      <c r="BH270">
        <f t="shared" si="255"/>
        <v>15.167598900588416</v>
      </c>
      <c r="BI270">
        <f t="shared" si="256"/>
        <v>15.167598900588416</v>
      </c>
      <c r="BJ270">
        <f t="shared" si="241"/>
        <v>0</v>
      </c>
      <c r="BK270">
        <f t="shared" si="257"/>
        <v>0</v>
      </c>
      <c r="BM270">
        <f t="shared" si="258"/>
        <v>-38.129715216633876</v>
      </c>
      <c r="BN270">
        <f t="shared" si="242"/>
        <v>-112.94487708069448</v>
      </c>
      <c r="BQ270" s="56">
        <f t="shared" si="259"/>
        <v>28.168700679205529</v>
      </c>
      <c r="BR270" s="59"/>
      <c r="BS270" s="59"/>
      <c r="BT270" s="59">
        <v>39810.716999999997</v>
      </c>
      <c r="BU270" s="59">
        <v>-0.92721699999999996</v>
      </c>
      <c r="BV270" s="59">
        <v>-143.22999999999999</v>
      </c>
      <c r="BY270" s="59"/>
      <c r="BZ270" s="59"/>
      <c r="CA270" s="59"/>
      <c r="CC270" s="59"/>
    </row>
    <row r="271" spans="1:81" x14ac:dyDescent="0.25">
      <c r="A271">
        <f t="shared" si="211"/>
        <v>285000</v>
      </c>
      <c r="B271">
        <f t="shared" si="243"/>
        <v>285</v>
      </c>
      <c r="C271">
        <f t="shared" si="212"/>
        <v>2.5665618807286399</v>
      </c>
      <c r="D271">
        <f t="shared" si="213"/>
        <v>1.1705705393676007</v>
      </c>
      <c r="F271">
        <f t="shared" si="214"/>
        <v>3.1564225618953355E-4</v>
      </c>
      <c r="G271">
        <f t="shared" si="215"/>
        <v>6.0444923648539321E-3</v>
      </c>
      <c r="H271">
        <f t="shared" si="216"/>
        <v>-3.1355481576351463</v>
      </c>
      <c r="J271">
        <f t="shared" si="217"/>
        <v>15</v>
      </c>
      <c r="M271">
        <f t="shared" si="218"/>
        <v>5.2424700761511869E-3</v>
      </c>
      <c r="N271">
        <f t="shared" si="219"/>
        <v>-1.5707963250000001</v>
      </c>
      <c r="O271">
        <f t="shared" si="220"/>
        <v>72.892249065628633</v>
      </c>
      <c r="P271">
        <f t="shared" si="221"/>
        <v>1.5570770166704389</v>
      </c>
      <c r="Q271">
        <f t="shared" si="222"/>
        <v>61.696198123344956</v>
      </c>
      <c r="R271">
        <f t="shared" si="223"/>
        <v>1.554587162838921</v>
      </c>
      <c r="S271">
        <f t="shared" si="224"/>
        <v>0.39494919878586482</v>
      </c>
      <c r="T271">
        <f t="shared" si="225"/>
        <v>-1.1647837730644355</v>
      </c>
      <c r="U271">
        <f t="shared" si="226"/>
        <v>0.48265387996280973</v>
      </c>
      <c r="V271">
        <f t="shared" si="227"/>
        <v>-1.0671139391784175</v>
      </c>
      <c r="X271">
        <f t="shared" si="244"/>
        <v>-25.254182202757079</v>
      </c>
      <c r="Y271">
        <f t="shared" si="228"/>
        <v>-152.17801890394253</v>
      </c>
      <c r="Z271">
        <f t="shared" si="245"/>
        <v>27.82198109605747</v>
      </c>
      <c r="AC271">
        <v>1</v>
      </c>
      <c r="AD271">
        <f t="shared" si="229"/>
        <v>72.885389302970992</v>
      </c>
      <c r="AE271">
        <f t="shared" si="230"/>
        <v>-1.5661972307539601E-2</v>
      </c>
      <c r="AF271">
        <f t="shared" si="231"/>
        <v>8.6312116466099997E-3</v>
      </c>
      <c r="AG271">
        <f t="shared" si="246"/>
        <v>1918.1878460914368</v>
      </c>
      <c r="AH271">
        <f t="shared" si="247"/>
        <v>-3596.552395785061</v>
      </c>
      <c r="AJ271">
        <f t="shared" si="232"/>
        <v>22100</v>
      </c>
      <c r="AK271">
        <f t="shared" si="233"/>
        <v>51407.460753052954</v>
      </c>
      <c r="AL271">
        <v>1</v>
      </c>
      <c r="AM271">
        <f t="shared" si="234"/>
        <v>61.688093363914511</v>
      </c>
      <c r="AN271">
        <f t="shared" si="248"/>
        <v>838.93199243452659</v>
      </c>
      <c r="AO271">
        <f t="shared" si="249"/>
        <v>-344.65432222294123</v>
      </c>
      <c r="AQ271">
        <f t="shared" si="235"/>
        <v>3.0778606406259137E-2</v>
      </c>
      <c r="AR271">
        <f t="shared" si="236"/>
        <v>-17.543805651567709</v>
      </c>
      <c r="AT271">
        <f t="shared" si="209"/>
        <v>-63038.177098605222</v>
      </c>
      <c r="AU271">
        <f t="shared" si="210"/>
        <v>-33763.01164563679</v>
      </c>
      <c r="AV271">
        <f t="shared" si="250"/>
        <v>-2.6498751919327805</v>
      </c>
      <c r="AW271">
        <f t="shared" si="251"/>
        <v>-3173.701011010271</v>
      </c>
      <c r="AX271">
        <f t="shared" si="252"/>
        <v>-19564.501834278199</v>
      </c>
      <c r="AY271">
        <f t="shared" si="260"/>
        <v>-1.7316128093177652</v>
      </c>
      <c r="BA271">
        <f t="shared" si="237"/>
        <v>3.6079527759506878</v>
      </c>
      <c r="BB271">
        <f t="shared" si="253"/>
        <v>11.145216889602906</v>
      </c>
      <c r="BC271">
        <f t="shared" si="254"/>
        <v>-0.91826238261501536</v>
      </c>
      <c r="BD271">
        <f t="shared" si="238"/>
        <v>-232.61255906958615</v>
      </c>
      <c r="BF271">
        <f t="shared" si="239"/>
        <v>-27.16202035432913</v>
      </c>
      <c r="BG271">
        <f t="shared" si="240"/>
        <v>-165.19748356263213</v>
      </c>
      <c r="BH271">
        <f t="shared" si="255"/>
        <v>14.802516437367871</v>
      </c>
      <c r="BI271">
        <f t="shared" si="256"/>
        <v>14.802516437367871</v>
      </c>
      <c r="BJ271">
        <f t="shared" si="241"/>
        <v>0</v>
      </c>
      <c r="BK271">
        <f t="shared" si="257"/>
        <v>0</v>
      </c>
      <c r="BM271">
        <f t="shared" si="258"/>
        <v>-38.307237243932036</v>
      </c>
      <c r="BN271">
        <f t="shared" si="242"/>
        <v>-112.58492449304596</v>
      </c>
      <c r="BQ271" s="56">
        <f t="shared" si="259"/>
        <v>28.047177689888045</v>
      </c>
      <c r="BR271" s="59"/>
      <c r="BS271" s="59"/>
      <c r="BT271" s="59">
        <v>40738.027999999998</v>
      </c>
      <c r="BU271" s="59">
        <v>-0.80365399999999998</v>
      </c>
      <c r="BV271" s="59">
        <v>-142.31399999999999</v>
      </c>
      <c r="BY271" s="59"/>
      <c r="BZ271" s="59"/>
      <c r="CA271" s="59"/>
      <c r="CC271" s="59"/>
    </row>
    <row r="272" spans="1:81" x14ac:dyDescent="0.25">
      <c r="A272">
        <f t="shared" si="211"/>
        <v>290000</v>
      </c>
      <c r="B272">
        <f t="shared" si="243"/>
        <v>290</v>
      </c>
      <c r="C272">
        <f t="shared" si="212"/>
        <v>2.6048038452644846</v>
      </c>
      <c r="D272">
        <f t="shared" si="213"/>
        <v>1.1767735114194959</v>
      </c>
      <c r="F272">
        <f t="shared" si="214"/>
        <v>3.0484875155253785E-4</v>
      </c>
      <c r="G272">
        <f t="shared" si="215"/>
        <v>5.9402149784368837E-3</v>
      </c>
      <c r="H272">
        <f t="shared" si="216"/>
        <v>-3.1356524350215635</v>
      </c>
      <c r="J272">
        <f t="shared" si="217"/>
        <v>15</v>
      </c>
      <c r="M272">
        <f t="shared" si="218"/>
        <v>5.1520826610451324E-3</v>
      </c>
      <c r="N272">
        <f t="shared" si="219"/>
        <v>-1.5707963250000001</v>
      </c>
      <c r="O272">
        <f t="shared" si="220"/>
        <v>74.170821845105863</v>
      </c>
      <c r="P272">
        <f t="shared" si="221"/>
        <v>1.5573135275834122</v>
      </c>
      <c r="Q272">
        <f t="shared" si="222"/>
        <v>62.778305655996633</v>
      </c>
      <c r="R272">
        <f t="shared" si="223"/>
        <v>1.5548665834928244</v>
      </c>
      <c r="S272">
        <f t="shared" si="224"/>
        <v>0.3891787490362893</v>
      </c>
      <c r="T272">
        <f t="shared" si="225"/>
        <v>-1.1710564399717887</v>
      </c>
      <c r="U272">
        <f t="shared" si="226"/>
        <v>0.47623233123236686</v>
      </c>
      <c r="V272">
        <f t="shared" si="227"/>
        <v>-1.074431365926465</v>
      </c>
      <c r="X272">
        <f t="shared" si="244"/>
        <v>-25.521115963640977</v>
      </c>
      <c r="Y272">
        <f t="shared" si="228"/>
        <v>-152.57768374787076</v>
      </c>
      <c r="Z272">
        <f t="shared" si="245"/>
        <v>27.422316252129235</v>
      </c>
      <c r="AC272">
        <v>1</v>
      </c>
      <c r="AD272">
        <f t="shared" si="229"/>
        <v>74.16408034337401</v>
      </c>
      <c r="AE272">
        <f t="shared" si="230"/>
        <v>-1.6216335747172426E-2</v>
      </c>
      <c r="AF272">
        <f t="shared" si="231"/>
        <v>8.7826364123399989E-3</v>
      </c>
      <c r="AG272">
        <f t="shared" si="246"/>
        <v>1867.4856947219025</v>
      </c>
      <c r="AH272">
        <f t="shared" si="247"/>
        <v>-3562.0027472271095</v>
      </c>
      <c r="AJ272">
        <f t="shared" si="232"/>
        <v>22100</v>
      </c>
      <c r="AK272">
        <f t="shared" si="233"/>
        <v>52309.346029422311</v>
      </c>
      <c r="AL272">
        <v>1</v>
      </c>
      <c r="AM272">
        <f t="shared" si="234"/>
        <v>62.770340615913014</v>
      </c>
      <c r="AN272">
        <f t="shared" si="248"/>
        <v>838.7410449131811</v>
      </c>
      <c r="AO272">
        <f t="shared" si="249"/>
        <v>-338.71504832485874</v>
      </c>
      <c r="AQ272">
        <f t="shared" si="235"/>
        <v>2.9726427686005689E-2</v>
      </c>
      <c r="AR272">
        <f t="shared" si="236"/>
        <v>-17.241328057883301</v>
      </c>
      <c r="AT272">
        <f t="shared" si="209"/>
        <v>-61358.144229565361</v>
      </c>
      <c r="AU272">
        <f t="shared" si="210"/>
        <v>-32303.819123187226</v>
      </c>
      <c r="AV272">
        <f t="shared" si="250"/>
        <v>-2.6569863557102291</v>
      </c>
      <c r="AW272">
        <f t="shared" si="251"/>
        <v>-3021.2218143121368</v>
      </c>
      <c r="AX272">
        <f t="shared" si="252"/>
        <v>-19252.260839142215</v>
      </c>
      <c r="AY272">
        <f t="shared" si="260"/>
        <v>-1.7264549953060611</v>
      </c>
      <c r="BA272">
        <f t="shared" si="237"/>
        <v>3.5582290959363925</v>
      </c>
      <c r="BB272">
        <f t="shared" si="253"/>
        <v>11.024678132394584</v>
      </c>
      <c r="BC272">
        <f t="shared" si="254"/>
        <v>-0.93053136040416806</v>
      </c>
      <c r="BD272">
        <f t="shared" si="238"/>
        <v>-233.31551971664763</v>
      </c>
      <c r="BF272">
        <f t="shared" si="239"/>
        <v>-27.456307784115769</v>
      </c>
      <c r="BG272">
        <f t="shared" si="240"/>
        <v>-165.55101474442347</v>
      </c>
      <c r="BH272">
        <f t="shared" si="255"/>
        <v>14.448985255576531</v>
      </c>
      <c r="BI272">
        <f t="shared" si="256"/>
        <v>14.448985255576531</v>
      </c>
      <c r="BJ272">
        <f t="shared" si="241"/>
        <v>0</v>
      </c>
      <c r="BK272">
        <f t="shared" si="257"/>
        <v>0</v>
      </c>
      <c r="BM272">
        <f t="shared" si="258"/>
        <v>-38.480985916510349</v>
      </c>
      <c r="BN272">
        <f t="shared" si="242"/>
        <v>-112.23549502777584</v>
      </c>
      <c r="BQ272" s="56">
        <f t="shared" si="259"/>
        <v>27.926638932679715</v>
      </c>
      <c r="BR272" s="59"/>
      <c r="BS272" s="59"/>
      <c r="BT272" s="59">
        <v>41686.938000000002</v>
      </c>
      <c r="BU272" s="59">
        <v>-0.666377</v>
      </c>
      <c r="BV272" s="59">
        <v>-141.465</v>
      </c>
      <c r="BY272" s="59"/>
      <c r="BZ272" s="59"/>
      <c r="CA272" s="59"/>
      <c r="CC272" s="59"/>
    </row>
    <row r="273" spans="1:81" x14ac:dyDescent="0.25">
      <c r="A273">
        <f t="shared" si="211"/>
        <v>295000</v>
      </c>
      <c r="B273">
        <f t="shared" si="243"/>
        <v>295</v>
      </c>
      <c r="C273">
        <f t="shared" si="212"/>
        <v>2.6431431320936425</v>
      </c>
      <c r="D273">
        <f t="shared" si="213"/>
        <v>1.1827967591172401</v>
      </c>
      <c r="F273">
        <f t="shared" si="214"/>
        <v>2.9459960905924004E-4</v>
      </c>
      <c r="G273">
        <f t="shared" si="215"/>
        <v>5.8394754926185139E-3</v>
      </c>
      <c r="H273">
        <f t="shared" si="216"/>
        <v>-3.1357531745073817</v>
      </c>
      <c r="J273">
        <f t="shared" si="217"/>
        <v>15</v>
      </c>
      <c r="M273">
        <f t="shared" si="218"/>
        <v>5.064759226112164E-3</v>
      </c>
      <c r="N273">
        <f t="shared" si="219"/>
        <v>-1.5707963250000001</v>
      </c>
      <c r="O273">
        <f t="shared" si="220"/>
        <v>75.449398632890635</v>
      </c>
      <c r="P273">
        <f t="shared" si="221"/>
        <v>1.5575420226102366</v>
      </c>
      <c r="Q273">
        <f t="shared" si="222"/>
        <v>63.860417924011116</v>
      </c>
      <c r="R273">
        <f t="shared" si="223"/>
        <v>1.55513653462325</v>
      </c>
      <c r="S273">
        <f t="shared" si="224"/>
        <v>0.38356004508295877</v>
      </c>
      <c r="T273">
        <f t="shared" si="225"/>
        <v>-1.1771482196546563</v>
      </c>
      <c r="U273">
        <f t="shared" si="226"/>
        <v>0.46995523168497366</v>
      </c>
      <c r="V273">
        <f t="shared" si="227"/>
        <v>-1.0815562675005355</v>
      </c>
      <c r="X273">
        <f t="shared" si="244"/>
        <v>-25.784394001929954</v>
      </c>
      <c r="Y273">
        <f t="shared" si="228"/>
        <v>-152.96705021770802</v>
      </c>
      <c r="Z273">
        <f t="shared" si="245"/>
        <v>27.032949782291979</v>
      </c>
      <c r="AC273">
        <v>1</v>
      </c>
      <c r="AD273">
        <f t="shared" si="229"/>
        <v>75.442771383777</v>
      </c>
      <c r="AE273">
        <f t="shared" si="230"/>
        <v>-1.6780340290103214E-2</v>
      </c>
      <c r="AF273">
        <f t="shared" si="231"/>
        <v>8.9340611780699998E-3</v>
      </c>
      <c r="AG273">
        <f t="shared" si="246"/>
        <v>1818.5804110082167</v>
      </c>
      <c r="AH273">
        <f t="shared" si="247"/>
        <v>-3527.6675985827578</v>
      </c>
      <c r="AJ273">
        <f t="shared" si="232"/>
        <v>22100</v>
      </c>
      <c r="AK273">
        <f t="shared" si="233"/>
        <v>53211.231305791654</v>
      </c>
      <c r="AL273">
        <v>1</v>
      </c>
      <c r="AM273">
        <f t="shared" si="234"/>
        <v>63.85258786791151</v>
      </c>
      <c r="AN273">
        <f t="shared" si="248"/>
        <v>838.55972089317265</v>
      </c>
      <c r="AO273">
        <f t="shared" si="249"/>
        <v>-332.97695503100442</v>
      </c>
      <c r="AQ273">
        <f t="shared" si="235"/>
        <v>2.8727294664479562E-2</v>
      </c>
      <c r="AR273">
        <f t="shared" si="236"/>
        <v>-16.949103852042942</v>
      </c>
      <c r="AT273">
        <f t="shared" si="209"/>
        <v>-59738.561588528013</v>
      </c>
      <c r="AU273">
        <f t="shared" si="210"/>
        <v>-30924.648596052026</v>
      </c>
      <c r="AV273">
        <f t="shared" si="250"/>
        <v>-2.6639119848488679</v>
      </c>
      <c r="AW273">
        <f t="shared" si="251"/>
        <v>-2877.2202241350133</v>
      </c>
      <c r="AX273">
        <f t="shared" si="252"/>
        <v>-18949.784162238298</v>
      </c>
      <c r="AY273">
        <f t="shared" si="260"/>
        <v>-1.7214793657896825</v>
      </c>
      <c r="BA273">
        <f t="shared" si="237"/>
        <v>3.5095971135038835</v>
      </c>
      <c r="BB273">
        <f t="shared" si="253"/>
        <v>10.905145284161556</v>
      </c>
      <c r="BC273">
        <f t="shared" si="254"/>
        <v>-0.94243261905918541</v>
      </c>
      <c r="BD273">
        <f t="shared" si="238"/>
        <v>-233.99741160925282</v>
      </c>
      <c r="BF273">
        <f t="shared" si="239"/>
        <v>-27.745972575309402</v>
      </c>
      <c r="BG273">
        <f t="shared" si="240"/>
        <v>-165.89357191196598</v>
      </c>
      <c r="BH273">
        <f t="shared" si="255"/>
        <v>14.106428088034022</v>
      </c>
      <c r="BI273">
        <f t="shared" si="256"/>
        <v>14.106428088034022</v>
      </c>
      <c r="BJ273">
        <f t="shared" si="241"/>
        <v>0</v>
      </c>
      <c r="BK273">
        <f t="shared" si="257"/>
        <v>0</v>
      </c>
      <c r="BM273">
        <f t="shared" si="258"/>
        <v>-38.651117859470958</v>
      </c>
      <c r="BN273">
        <f t="shared" si="242"/>
        <v>-111.89616030271317</v>
      </c>
      <c r="BQ273" s="56">
        <f t="shared" si="259"/>
        <v>27.807106084446694</v>
      </c>
      <c r="BR273" s="59"/>
      <c r="BS273" s="59"/>
      <c r="BT273" s="59">
        <v>42657.951999999997</v>
      </c>
      <c r="BU273" s="59">
        <v>-0.55182299999999995</v>
      </c>
      <c r="BV273" s="59">
        <v>-140.39099999999999</v>
      </c>
      <c r="BY273" s="59"/>
      <c r="BZ273" s="59"/>
      <c r="CA273" s="59"/>
      <c r="CC273" s="59"/>
    </row>
    <row r="274" spans="1:81" x14ac:dyDescent="0.25">
      <c r="A274">
        <f t="shared" si="211"/>
        <v>300000</v>
      </c>
      <c r="B274">
        <f t="shared" si="243"/>
        <v>300</v>
      </c>
      <c r="C274">
        <f t="shared" si="212"/>
        <v>2.6815755668816732</v>
      </c>
      <c r="D274">
        <f t="shared" si="213"/>
        <v>1.1886475632502842</v>
      </c>
      <c r="F274">
        <f t="shared" si="214"/>
        <v>2.84858825585516E-4</v>
      </c>
      <c r="G274">
        <f t="shared" si="215"/>
        <v>5.7420968124543463E-3</v>
      </c>
      <c r="H274">
        <f t="shared" si="216"/>
        <v>-3.135850553187546</v>
      </c>
      <c r="J274">
        <f t="shared" si="217"/>
        <v>15</v>
      </c>
      <c r="M274">
        <f t="shared" si="218"/>
        <v>4.9803465723436274E-3</v>
      </c>
      <c r="N274">
        <f t="shared" si="219"/>
        <v>-1.5707963250000001</v>
      </c>
      <c r="O274">
        <f t="shared" si="220"/>
        <v>76.727979228602535</v>
      </c>
      <c r="P274">
        <f t="shared" si="221"/>
        <v>1.5577629024520854</v>
      </c>
      <c r="Q274">
        <f t="shared" si="222"/>
        <v>64.94253469067786</v>
      </c>
      <c r="R274">
        <f t="shared" si="223"/>
        <v>1.5553974895527931</v>
      </c>
      <c r="S274">
        <f t="shared" si="224"/>
        <v>0.37808783329091511</v>
      </c>
      <c r="T274">
        <f t="shared" si="225"/>
        <v>-1.1830663921820768</v>
      </c>
      <c r="U274">
        <f t="shared" si="226"/>
        <v>0.46381881941215425</v>
      </c>
      <c r="V274">
        <f t="shared" si="227"/>
        <v>-1.0884954477727506</v>
      </c>
      <c r="X274">
        <f t="shared" si="244"/>
        <v>-26.044107847278681</v>
      </c>
      <c r="Y274">
        <f t="shared" si="228"/>
        <v>-153.3464681742548</v>
      </c>
      <c r="Z274">
        <f t="shared" si="245"/>
        <v>26.653531825745205</v>
      </c>
      <c r="AC274">
        <v>1</v>
      </c>
      <c r="AD274">
        <f t="shared" si="229"/>
        <v>76.721462424180004</v>
      </c>
      <c r="AE274">
        <f t="shared" si="230"/>
        <v>-1.7353985936331966E-2</v>
      </c>
      <c r="AF274">
        <f t="shared" si="231"/>
        <v>9.085485943799999E-3</v>
      </c>
      <c r="AG274">
        <f t="shared" si="246"/>
        <v>1771.3984635871827</v>
      </c>
      <c r="AH274">
        <f t="shared" si="247"/>
        <v>-3493.574721382095</v>
      </c>
      <c r="AJ274">
        <f t="shared" si="232"/>
        <v>22100</v>
      </c>
      <c r="AK274">
        <f t="shared" si="233"/>
        <v>54113.116582161012</v>
      </c>
      <c r="AL274">
        <v>1</v>
      </c>
      <c r="AM274">
        <f t="shared" si="234"/>
        <v>64.934835119910005</v>
      </c>
      <c r="AN274">
        <f t="shared" si="248"/>
        <v>838.38738444064052</v>
      </c>
      <c r="AO274">
        <f t="shared" si="249"/>
        <v>-327.42999310458282</v>
      </c>
      <c r="AQ274">
        <f t="shared" si="235"/>
        <v>2.7777700617498284E-2</v>
      </c>
      <c r="AR274">
        <f t="shared" si="236"/>
        <v>-16.666620370498972</v>
      </c>
      <c r="AT274">
        <f t="shared" si="209"/>
        <v>-58176.878241051272</v>
      </c>
      <c r="AU274">
        <f t="shared" si="210"/>
        <v>-29620.269190188134</v>
      </c>
      <c r="AV274">
        <f t="shared" si="250"/>
        <v>-2.670658533786999</v>
      </c>
      <c r="AW274">
        <f t="shared" si="251"/>
        <v>-2741.0887790934535</v>
      </c>
      <c r="AX274">
        <f t="shared" si="252"/>
        <v>-18656.612124140556</v>
      </c>
      <c r="AY274">
        <f t="shared" si="260"/>
        <v>-1.716675809639246</v>
      </c>
      <c r="BA274">
        <f t="shared" si="237"/>
        <v>3.4620375486922881</v>
      </c>
      <c r="BB274">
        <f t="shared" si="253"/>
        <v>10.786635477034935</v>
      </c>
      <c r="BC274">
        <f t="shared" si="254"/>
        <v>-0.95398272414775298</v>
      </c>
      <c r="BD274">
        <f t="shared" si="238"/>
        <v>-234.65918388451649</v>
      </c>
      <c r="BF274">
        <f t="shared" si="239"/>
        <v>-28.031144954803541</v>
      </c>
      <c r="BG274">
        <f t="shared" si="240"/>
        <v>-166.22569719065984</v>
      </c>
      <c r="BH274">
        <f t="shared" si="255"/>
        <v>13.774302809340156</v>
      </c>
      <c r="BI274">
        <f t="shared" si="256"/>
        <v>13.774302809340156</v>
      </c>
      <c r="BJ274">
        <f t="shared" si="241"/>
        <v>0</v>
      </c>
      <c r="BK274">
        <f t="shared" si="257"/>
        <v>0</v>
      </c>
      <c r="BM274">
        <f t="shared" si="258"/>
        <v>-38.817780431838472</v>
      </c>
      <c r="BN274">
        <f t="shared" si="242"/>
        <v>-111.56651330614334</v>
      </c>
      <c r="BQ274" s="56">
        <f t="shared" si="259"/>
        <v>27.688596277320073</v>
      </c>
      <c r="BR274" s="59"/>
      <c r="BS274" s="59"/>
      <c r="BT274" s="59">
        <v>43651.582999999999</v>
      </c>
      <c r="BU274" s="59">
        <v>-0.43071199999999998</v>
      </c>
      <c r="BV274" s="59">
        <v>-139.065</v>
      </c>
      <c r="BY274" s="59"/>
      <c r="BZ274" s="59"/>
      <c r="CA274" s="59"/>
      <c r="CC274" s="59"/>
    </row>
    <row r="275" spans="1:81" x14ac:dyDescent="0.25">
      <c r="A275">
        <f t="shared" si="211"/>
        <v>305000</v>
      </c>
      <c r="B275">
        <f t="shared" si="243"/>
        <v>305</v>
      </c>
      <c r="C275">
        <f t="shared" si="212"/>
        <v>2.7200972013502707</v>
      </c>
      <c r="D275">
        <f t="shared" si="213"/>
        <v>1.1943328409058556</v>
      </c>
      <c r="F275">
        <f t="shared" si="214"/>
        <v>2.7559332625557592E-4</v>
      </c>
      <c r="G275">
        <f t="shared" si="215"/>
        <v>5.647913471776107E-3</v>
      </c>
      <c r="H275">
        <f t="shared" si="216"/>
        <v>-3.135944736528224</v>
      </c>
      <c r="J275">
        <f t="shared" si="217"/>
        <v>15</v>
      </c>
      <c r="M275">
        <f t="shared" si="218"/>
        <v>4.8987015465675032E-3</v>
      </c>
      <c r="N275">
        <f t="shared" si="219"/>
        <v>-1.5707963250000001</v>
      </c>
      <c r="O275">
        <f t="shared" si="220"/>
        <v>78.006563444998008</v>
      </c>
      <c r="P275">
        <f t="shared" si="221"/>
        <v>1.5579765415420916</v>
      </c>
      <c r="Q275">
        <f t="shared" si="222"/>
        <v>66.024655734803758</v>
      </c>
      <c r="R275">
        <f t="shared" si="223"/>
        <v>1.5556498905787777</v>
      </c>
      <c r="S275">
        <f t="shared" si="224"/>
        <v>0.3727570584114005</v>
      </c>
      <c r="T275">
        <f t="shared" si="225"/>
        <v>-1.1888178772378799</v>
      </c>
      <c r="U275">
        <f t="shared" si="226"/>
        <v>0.45781939395784227</v>
      </c>
      <c r="V275">
        <f t="shared" si="227"/>
        <v>-1.0952554321133978</v>
      </c>
      <c r="X275">
        <f t="shared" si="244"/>
        <v>-26.300345738665335</v>
      </c>
      <c r="Y275">
        <f t="shared" si="228"/>
        <v>-153.71627432776805</v>
      </c>
      <c r="Z275">
        <f t="shared" si="245"/>
        <v>26.283725672231952</v>
      </c>
      <c r="AC275">
        <v>1</v>
      </c>
      <c r="AD275">
        <f t="shared" si="229"/>
        <v>78.000153464582993</v>
      </c>
      <c r="AE275">
        <f t="shared" si="230"/>
        <v>-1.793727268585868E-2</v>
      </c>
      <c r="AF275">
        <f t="shared" si="231"/>
        <v>9.2369107095299999E-3</v>
      </c>
      <c r="AG275">
        <f t="shared" si="246"/>
        <v>1725.8693006110659</v>
      </c>
      <c r="AH275">
        <f t="shared" si="247"/>
        <v>-3459.7485317511505</v>
      </c>
      <c r="AJ275">
        <f t="shared" si="232"/>
        <v>22100</v>
      </c>
      <c r="AK275">
        <f t="shared" si="233"/>
        <v>55015.001858530355</v>
      </c>
      <c r="AL275">
        <v>1</v>
      </c>
      <c r="AM275">
        <f t="shared" si="234"/>
        <v>66.017082371908501</v>
      </c>
      <c r="AN275">
        <f t="shared" si="248"/>
        <v>838.22345129220332</v>
      </c>
      <c r="AO275">
        <f t="shared" si="249"/>
        <v>-322.06477149246263</v>
      </c>
      <c r="AQ275">
        <f t="shared" si="235"/>
        <v>2.6874423879538083E-2</v>
      </c>
      <c r="AR275">
        <f t="shared" si="236"/>
        <v>-16.393398566518229</v>
      </c>
      <c r="AT275">
        <f t="shared" si="209"/>
        <v>-56670.654877777553</v>
      </c>
      <c r="AU275">
        <f t="shared" si="210"/>
        <v>-28385.842067194157</v>
      </c>
      <c r="AV275">
        <f t="shared" si="250"/>
        <v>-2.677232201367354</v>
      </c>
      <c r="AW275">
        <f t="shared" si="251"/>
        <v>-2612.272504130774</v>
      </c>
      <c r="AX275">
        <f t="shared" si="252"/>
        <v>-18372.31452083866</v>
      </c>
      <c r="AY275">
        <f t="shared" si="260"/>
        <v>-1.7120348843391475</v>
      </c>
      <c r="BA275">
        <f t="shared" si="237"/>
        <v>3.4155299065346316</v>
      </c>
      <c r="BB275">
        <f t="shared" si="253"/>
        <v>10.66916184779271</v>
      </c>
      <c r="BC275">
        <f t="shared" si="254"/>
        <v>-0.96519731702820644</v>
      </c>
      <c r="BD275">
        <f t="shared" si="238"/>
        <v>-235.30173272625817</v>
      </c>
      <c r="BF275">
        <f t="shared" si="239"/>
        <v>-28.311950568325258</v>
      </c>
      <c r="BG275">
        <f t="shared" si="240"/>
        <v>-166.54789992493247</v>
      </c>
      <c r="BH275">
        <f t="shared" si="255"/>
        <v>13.452100075067534</v>
      </c>
      <c r="BI275">
        <f t="shared" si="256"/>
        <v>13.452100075067534</v>
      </c>
      <c r="BJ275">
        <f t="shared" si="241"/>
        <v>0</v>
      </c>
      <c r="BK275">
        <f t="shared" si="257"/>
        <v>0</v>
      </c>
      <c r="BM275">
        <f t="shared" si="258"/>
        <v>-38.981112416117966</v>
      </c>
      <c r="BN275">
        <f t="shared" si="242"/>
        <v>-111.24616719867431</v>
      </c>
      <c r="BQ275" s="56">
        <f t="shared" si="259"/>
        <v>27.571122648077846</v>
      </c>
      <c r="BR275" s="59"/>
      <c r="BS275" s="59"/>
      <c r="BT275" s="59">
        <v>44668.358999999997</v>
      </c>
      <c r="BU275" s="59">
        <v>-0.21105299999999999</v>
      </c>
      <c r="BV275" s="59">
        <v>-136.58699999999999</v>
      </c>
      <c r="BY275" s="59"/>
      <c r="BZ275" s="59"/>
      <c r="CA275" s="59"/>
      <c r="CC275" s="59"/>
    </row>
    <row r="276" spans="1:81" x14ac:dyDescent="0.25">
      <c r="A276">
        <f t="shared" si="211"/>
        <v>310000</v>
      </c>
      <c r="B276">
        <f t="shared" si="243"/>
        <v>310</v>
      </c>
      <c r="C276">
        <f t="shared" si="212"/>
        <v>2.7587042988374475</v>
      </c>
      <c r="D276">
        <f t="shared" si="213"/>
        <v>1.1998591661195934</v>
      </c>
      <c r="F276">
        <f t="shared" si="214"/>
        <v>2.6677268320274923E-4</v>
      </c>
      <c r="G276">
        <f t="shared" si="215"/>
        <v>5.5567706938759601E-3</v>
      </c>
      <c r="H276">
        <f t="shared" si="216"/>
        <v>-3.136035879306124</v>
      </c>
      <c r="J276">
        <f t="shared" si="217"/>
        <v>15</v>
      </c>
      <c r="M276">
        <f t="shared" si="218"/>
        <v>4.8196902313002851E-3</v>
      </c>
      <c r="N276">
        <f t="shared" si="219"/>
        <v>-1.5707963250000001</v>
      </c>
      <c r="O276">
        <f t="shared" si="220"/>
        <v>79.285151106911229</v>
      </c>
      <c r="P276">
        <f t="shared" si="221"/>
        <v>1.558183290163033</v>
      </c>
      <c r="Q276">
        <f t="shared" si="222"/>
        <v>67.106780849462041</v>
      </c>
      <c r="R276">
        <f t="shared" si="223"/>
        <v>1.5558941514741365</v>
      </c>
      <c r="S276">
        <f t="shared" si="224"/>
        <v>0.36756285783860232</v>
      </c>
      <c r="T276">
        <f t="shared" si="225"/>
        <v>-1.1944092543145994</v>
      </c>
      <c r="U276">
        <f t="shared" si="226"/>
        <v>0.45195332179836611</v>
      </c>
      <c r="V276">
        <f t="shared" si="227"/>
        <v>-1.1018424787679353</v>
      </c>
      <c r="X276">
        <f t="shared" si="244"/>
        <v>-26.553192789712355</v>
      </c>
      <c r="Y276">
        <f t="shared" si="228"/>
        <v>-154.07679265284162</v>
      </c>
      <c r="Z276">
        <f t="shared" si="245"/>
        <v>25.923207347158382</v>
      </c>
      <c r="AC276">
        <v>1</v>
      </c>
      <c r="AD276">
        <f t="shared" si="229"/>
        <v>79.278844504985997</v>
      </c>
      <c r="AE276">
        <f t="shared" si="230"/>
        <v>-1.8530200538683358E-2</v>
      </c>
      <c r="AF276">
        <f t="shared" si="231"/>
        <v>9.3883354752599991E-3</v>
      </c>
      <c r="AG276">
        <f t="shared" si="246"/>
        <v>1681.9252748573801</v>
      </c>
      <c r="AH276">
        <f t="shared" si="247"/>
        <v>-3426.2103989521706</v>
      </c>
      <c r="AJ276">
        <f t="shared" si="232"/>
        <v>22100</v>
      </c>
      <c r="AK276">
        <f t="shared" si="233"/>
        <v>55916.887134899705</v>
      </c>
      <c r="AL276">
        <v>1</v>
      </c>
      <c r="AM276">
        <f t="shared" si="234"/>
        <v>67.099329623907011</v>
      </c>
      <c r="AN276">
        <f t="shared" si="248"/>
        <v>838.06738389803149</v>
      </c>
      <c r="AO276">
        <f t="shared" si="249"/>
        <v>-316.87250431972262</v>
      </c>
      <c r="AQ276">
        <f t="shared" si="235"/>
        <v>2.6014500482568984E-2</v>
      </c>
      <c r="AR276">
        <f t="shared" si="236"/>
        <v>-16.128990299192768</v>
      </c>
      <c r="AT276">
        <f t="shared" si="209"/>
        <v>-55217.559841818518</v>
      </c>
      <c r="AU276">
        <f t="shared" si="210"/>
        <v>-27216.887594218737</v>
      </c>
      <c r="AV276">
        <f t="shared" si="250"/>
        <v>-2.6836389403675196</v>
      </c>
      <c r="AW276">
        <f t="shared" si="251"/>
        <v>-2490.2636550478796</v>
      </c>
      <c r="AX276">
        <f t="shared" si="252"/>
        <v>-18096.488197907795</v>
      </c>
      <c r="AY276">
        <f t="shared" si="260"/>
        <v>-1.7075477673224855</v>
      </c>
      <c r="BA276">
        <f t="shared" si="237"/>
        <v>3.3700527686539319</v>
      </c>
      <c r="BB276">
        <f t="shared" si="253"/>
        <v>10.552734023099173</v>
      </c>
      <c r="BC276">
        <f t="shared" si="254"/>
        <v>-0.97609117304503412</v>
      </c>
      <c r="BD276">
        <f t="shared" si="238"/>
        <v>-235.92590469935882</v>
      </c>
      <c r="BF276">
        <f t="shared" si="239"/>
        <v>-28.588510624172866</v>
      </c>
      <c r="BG276">
        <f t="shared" si="240"/>
        <v>-166.86065888322011</v>
      </c>
      <c r="BH276">
        <f t="shared" si="255"/>
        <v>13.139341116779889</v>
      </c>
      <c r="BI276">
        <f t="shared" si="256"/>
        <v>13.139341116779889</v>
      </c>
      <c r="BJ276">
        <f t="shared" si="241"/>
        <v>0</v>
      </c>
      <c r="BK276">
        <f t="shared" si="257"/>
        <v>0</v>
      </c>
      <c r="BM276">
        <f t="shared" si="258"/>
        <v>-39.141244647272039</v>
      </c>
      <c r="BN276">
        <f t="shared" si="242"/>
        <v>-110.93475418386132</v>
      </c>
      <c r="BQ276" s="56">
        <f t="shared" si="259"/>
        <v>27.454694823384308</v>
      </c>
      <c r="BR276" s="59"/>
      <c r="BS276" s="59"/>
      <c r="BT276" s="59">
        <v>45708.819000000003</v>
      </c>
      <c r="BU276" s="59">
        <v>0.52166999999999997</v>
      </c>
      <c r="BV276" s="59">
        <v>-135.751</v>
      </c>
      <c r="BY276" s="59"/>
      <c r="BZ276" s="59"/>
      <c r="CA276" s="59"/>
      <c r="CC276" s="59"/>
    </row>
    <row r="277" spans="1:81" x14ac:dyDescent="0.25">
      <c r="A277">
        <f t="shared" si="211"/>
        <v>315000</v>
      </c>
      <c r="B277">
        <f t="shared" si="243"/>
        <v>315</v>
      </c>
      <c r="C277">
        <f t="shared" si="212"/>
        <v>2.7973933208951305</v>
      </c>
      <c r="D277">
        <f t="shared" si="213"/>
        <v>1.2052327892941834</v>
      </c>
      <c r="F277">
        <f t="shared" si="214"/>
        <v>2.5836886534868743E-4</v>
      </c>
      <c r="G277">
        <f t="shared" si="215"/>
        <v>5.4685235418134286E-3</v>
      </c>
      <c r="H277">
        <f t="shared" si="216"/>
        <v>-3.1361241264581867</v>
      </c>
      <c r="J277">
        <f t="shared" si="217"/>
        <v>15</v>
      </c>
      <c r="M277">
        <f t="shared" si="218"/>
        <v>4.7431872117558354E-3</v>
      </c>
      <c r="N277">
        <f t="shared" si="219"/>
        <v>-1.5707963250000001</v>
      </c>
      <c r="O277">
        <f t="shared" si="220"/>
        <v>80.563742050295872</v>
      </c>
      <c r="P277">
        <f t="shared" si="221"/>
        <v>1.5583834763634132</v>
      </c>
      <c r="Q277">
        <f t="shared" si="222"/>
        <v>68.188909840860575</v>
      </c>
      <c r="R277">
        <f t="shared" si="223"/>
        <v>1.5561306597502351</v>
      </c>
      <c r="S277">
        <f t="shared" si="224"/>
        <v>0.36250055564033862</v>
      </c>
      <c r="T277">
        <f t="shared" si="225"/>
        <v>-1.1998467817286851</v>
      </c>
      <c r="U277">
        <f t="shared" si="226"/>
        <v>0.44621704074811752</v>
      </c>
      <c r="V277">
        <f t="shared" si="227"/>
        <v>-1.1082625899308785</v>
      </c>
      <c r="X277">
        <f t="shared" si="244"/>
        <v>-26.802731141865671</v>
      </c>
      <c r="Y277">
        <f t="shared" si="228"/>
        <v>-154.4283348090292</v>
      </c>
      <c r="Z277">
        <f t="shared" si="245"/>
        <v>25.571665190970805</v>
      </c>
      <c r="AC277">
        <v>1</v>
      </c>
      <c r="AD277">
        <f t="shared" si="229"/>
        <v>80.557535545389001</v>
      </c>
      <c r="AE277">
        <f t="shared" si="230"/>
        <v>-1.9132769494805992E-2</v>
      </c>
      <c r="AF277">
        <f t="shared" si="231"/>
        <v>9.5397602409899983E-3</v>
      </c>
      <c r="AG277">
        <f t="shared" si="246"/>
        <v>1639.5015621357711</v>
      </c>
      <c r="AH277">
        <f t="shared" si="247"/>
        <v>-3392.9789278812113</v>
      </c>
      <c r="AJ277">
        <f t="shared" si="232"/>
        <v>22100</v>
      </c>
      <c r="AK277">
        <f t="shared" si="233"/>
        <v>56818.772411269063</v>
      </c>
      <c r="AL277">
        <v>1</v>
      </c>
      <c r="AM277">
        <f t="shared" si="234"/>
        <v>68.181576875905506</v>
      </c>
      <c r="AN277">
        <f t="shared" si="248"/>
        <v>837.91868701092801</v>
      </c>
      <c r="AO277">
        <f t="shared" si="249"/>
        <v>-311.84496292432948</v>
      </c>
      <c r="AQ277">
        <f t="shared" si="235"/>
        <v>2.5195199810532098E-2</v>
      </c>
      <c r="AR277">
        <f t="shared" si="236"/>
        <v>-15.872975880635222</v>
      </c>
      <c r="AT277">
        <f t="shared" si="209"/>
        <v>-53815.365116314329</v>
      </c>
      <c r="AU277">
        <f t="shared" si="210"/>
        <v>-26109.255534085754</v>
      </c>
      <c r="AV277">
        <f t="shared" si="250"/>
        <v>-2.6898844669030373</v>
      </c>
      <c r="AW277">
        <f t="shared" si="251"/>
        <v>-2374.5970575222641</v>
      </c>
      <c r="AX277">
        <f t="shared" si="252"/>
        <v>-17828.754868795528</v>
      </c>
      <c r="AY277">
        <f t="shared" si="260"/>
        <v>-1.7032062109129891</v>
      </c>
      <c r="BA277">
        <f t="shared" si="237"/>
        <v>3.3255840412149742</v>
      </c>
      <c r="BB277">
        <f t="shared" si="253"/>
        <v>10.437358548288255</v>
      </c>
      <c r="BC277">
        <f t="shared" si="254"/>
        <v>-0.98667825599004821</v>
      </c>
      <c r="BD277">
        <f t="shared" si="238"/>
        <v>-236.53249987015619</v>
      </c>
      <c r="BF277">
        <f t="shared" si="239"/>
        <v>-28.860942038885252</v>
      </c>
      <c r="BG277">
        <f t="shared" si="240"/>
        <v>-167.16442431444102</v>
      </c>
      <c r="BH277">
        <f t="shared" si="255"/>
        <v>12.835575685558979</v>
      </c>
      <c r="BI277">
        <f t="shared" si="256"/>
        <v>12.835575685558979</v>
      </c>
      <c r="BJ277">
        <f t="shared" si="241"/>
        <v>0</v>
      </c>
      <c r="BK277">
        <f t="shared" si="257"/>
        <v>0</v>
      </c>
      <c r="BM277">
        <f t="shared" si="258"/>
        <v>-39.298300587173507</v>
      </c>
      <c r="BN277">
        <f t="shared" si="242"/>
        <v>-110.63192444428483</v>
      </c>
      <c r="BQ277" s="56">
        <f t="shared" si="259"/>
        <v>27.33931934857339</v>
      </c>
      <c r="BR277" s="59"/>
      <c r="BS277" s="59"/>
      <c r="BT277" s="59">
        <v>46773.514000000003</v>
      </c>
      <c r="BU277" s="59">
        <v>0.78233600000000003</v>
      </c>
      <c r="BV277" s="59">
        <v>-137.57599999999999</v>
      </c>
      <c r="BY277" s="59"/>
      <c r="BZ277" s="59"/>
      <c r="CA277" s="59"/>
      <c r="CC277" s="59"/>
    </row>
    <row r="278" spans="1:81" x14ac:dyDescent="0.25">
      <c r="A278">
        <f t="shared" si="211"/>
        <v>320000</v>
      </c>
      <c r="B278">
        <f t="shared" si="243"/>
        <v>320</v>
      </c>
      <c r="C278">
        <f t="shared" si="212"/>
        <v>2.8361609148436884</v>
      </c>
      <c r="D278">
        <f t="shared" si="213"/>
        <v>1.2104596554535796</v>
      </c>
      <c r="F278">
        <f t="shared" si="214"/>
        <v>2.5035601535160435E-4</v>
      </c>
      <c r="G278">
        <f t="shared" si="215"/>
        <v>5.3830361485224573E-3</v>
      </c>
      <c r="H278">
        <f t="shared" si="216"/>
        <v>-3.1362096138514777</v>
      </c>
      <c r="J278">
        <f t="shared" si="217"/>
        <v>15</v>
      </c>
      <c r="M278">
        <f t="shared" si="218"/>
        <v>4.6690749115721516E-3</v>
      </c>
      <c r="N278">
        <f t="shared" si="219"/>
        <v>-1.5707963250000001</v>
      </c>
      <c r="O278">
        <f t="shared" si="220"/>
        <v>81.842336121356453</v>
      </c>
      <c r="P278">
        <f t="shared" si="221"/>
        <v>1.5585774076939731</v>
      </c>
      <c r="Q278">
        <f t="shared" si="222"/>
        <v>69.27104252731597</v>
      </c>
      <c r="R278">
        <f t="shared" si="223"/>
        <v>1.556359778707668</v>
      </c>
      <c r="S278">
        <f t="shared" si="224"/>
        <v>0.35756565644687521</v>
      </c>
      <c r="T278">
        <f t="shared" si="225"/>
        <v>-1.2051364145185777</v>
      </c>
      <c r="U278">
        <f t="shared" si="226"/>
        <v>0.44060706342678985</v>
      </c>
      <c r="V278">
        <f t="shared" si="227"/>
        <v>-1.1145215224942084</v>
      </c>
      <c r="X278">
        <f t="shared" si="244"/>
        <v>-27.049040106705963</v>
      </c>
      <c r="Y278">
        <f t="shared" si="228"/>
        <v>-154.77120056339186</v>
      </c>
      <c r="Z278">
        <f t="shared" si="245"/>
        <v>25.228799436608142</v>
      </c>
      <c r="AC278">
        <v>1</v>
      </c>
      <c r="AD278">
        <f t="shared" si="229"/>
        <v>81.836226585792005</v>
      </c>
      <c r="AE278">
        <f t="shared" si="230"/>
        <v>-1.9744979554226594E-2</v>
      </c>
      <c r="AF278">
        <f t="shared" si="231"/>
        <v>9.6911850067199993E-3</v>
      </c>
      <c r="AG278">
        <f t="shared" si="246"/>
        <v>1598.5360747832115</v>
      </c>
      <c r="AH278">
        <f t="shared" si="247"/>
        <v>-3360.0702174923372</v>
      </c>
      <c r="AJ278">
        <f t="shared" si="232"/>
        <v>22100</v>
      </c>
      <c r="AK278">
        <f t="shared" si="233"/>
        <v>57720.657687638406</v>
      </c>
      <c r="AL278">
        <v>1</v>
      </c>
      <c r="AM278">
        <f t="shared" si="234"/>
        <v>69.263824127904002</v>
      </c>
      <c r="AN278">
        <f t="shared" si="248"/>
        <v>837.77690375375528</v>
      </c>
      <c r="AO278">
        <f t="shared" si="249"/>
        <v>-306.97443238165692</v>
      </c>
      <c r="AQ278">
        <f t="shared" si="235"/>
        <v>2.4414002895500744E-2</v>
      </c>
      <c r="AR278">
        <f t="shared" si="236"/>
        <v>-15.624961853120476</v>
      </c>
      <c r="AT278">
        <f t="shared" ref="AT278:AT341" si="261">-AR278*AH278+AG278*AQ278</f>
        <v>-52461.942307765676</v>
      </c>
      <c r="AU278">
        <f t="shared" ref="AU278:AU341" si="262">AQ278*AH278+AG278*AR278</f>
        <v>-25059.097953343564</v>
      </c>
      <c r="AV278">
        <f t="shared" si="250"/>
        <v>-2.6959742696615923</v>
      </c>
      <c r="AW278">
        <f t="shared" si="251"/>
        <v>-2264.8459659458999</v>
      </c>
      <c r="AX278">
        <f t="shared" si="252"/>
        <v>-17568.759148435853</v>
      </c>
      <c r="AY278">
        <f t="shared" si="260"/>
        <v>-1.6990025006387732</v>
      </c>
      <c r="BA278">
        <f t="shared" si="237"/>
        <v>3.2821011652564192</v>
      </c>
      <c r="BB278">
        <f t="shared" si="253"/>
        <v>10.32303926642861</v>
      </c>
      <c r="BC278">
        <f t="shared" si="254"/>
        <v>-0.99697176902281903</v>
      </c>
      <c r="BD278">
        <f t="shared" si="238"/>
        <v>-237.1222747239708</v>
      </c>
      <c r="BF278">
        <f t="shared" si="239"/>
        <v>-29.129357583488186</v>
      </c>
      <c r="BG278">
        <f t="shared" si="240"/>
        <v>-167.459619863743</v>
      </c>
      <c r="BH278">
        <f t="shared" si="255"/>
        <v>12.540380136256999</v>
      </c>
      <c r="BI278">
        <f t="shared" si="256"/>
        <v>12.540380136256999</v>
      </c>
      <c r="BJ278">
        <f t="shared" si="241"/>
        <v>0</v>
      </c>
      <c r="BK278">
        <f t="shared" si="257"/>
        <v>0</v>
      </c>
      <c r="BM278">
        <f t="shared" si="258"/>
        <v>-39.452396849916795</v>
      </c>
      <c r="BN278">
        <f t="shared" si="242"/>
        <v>-110.33734513977222</v>
      </c>
      <c r="BQ278" s="56">
        <f t="shared" si="259"/>
        <v>27.225000066713747</v>
      </c>
      <c r="BR278" s="59"/>
      <c r="BS278" s="59"/>
      <c r="BT278" s="59">
        <v>47863.008999999998</v>
      </c>
      <c r="BU278" s="59">
        <v>0.81724300000000005</v>
      </c>
      <c r="BV278" s="59">
        <v>-138.25</v>
      </c>
      <c r="BY278" s="59"/>
      <c r="BZ278" s="59"/>
      <c r="CA278" s="59"/>
      <c r="CC278" s="59"/>
    </row>
    <row r="279" spans="1:81" x14ac:dyDescent="0.25">
      <c r="A279">
        <f t="shared" si="211"/>
        <v>325000</v>
      </c>
      <c r="B279">
        <f t="shared" si="243"/>
        <v>325</v>
      </c>
      <c r="C279">
        <f t="shared" si="212"/>
        <v>2.875003902209373</v>
      </c>
      <c r="D279">
        <f t="shared" si="213"/>
        <v>1.2155454213985397</v>
      </c>
      <c r="F279">
        <f t="shared" si="214"/>
        <v>2.4271025040341226E-4</v>
      </c>
      <c r="G279">
        <f t="shared" si="215"/>
        <v>5.3001810181077533E-3</v>
      </c>
      <c r="H279">
        <f t="shared" si="216"/>
        <v>-3.1362924689818925</v>
      </c>
      <c r="J279">
        <f t="shared" si="217"/>
        <v>15</v>
      </c>
      <c r="M279">
        <f t="shared" si="218"/>
        <v>4.5972429898556563E-3</v>
      </c>
      <c r="N279">
        <f t="shared" si="219"/>
        <v>-1.5707963250000001</v>
      </c>
      <c r="O279">
        <f t="shared" si="220"/>
        <v>83.120933175760115</v>
      </c>
      <c r="P279">
        <f t="shared" si="221"/>
        <v>1.558765372783967</v>
      </c>
      <c r="Q279">
        <f t="shared" si="222"/>
        <v>70.353178738322399</v>
      </c>
      <c r="R279">
        <f t="shared" si="223"/>
        <v>1.5565818492978405</v>
      </c>
      <c r="S279">
        <f t="shared" si="224"/>
        <v>0.3527538392674458</v>
      </c>
      <c r="T279">
        <f t="shared" si="225"/>
        <v>-1.2102838212860343</v>
      </c>
      <c r="U279">
        <f t="shared" si="226"/>
        <v>0.4351199799089478</v>
      </c>
      <c r="V279">
        <f t="shared" si="227"/>
        <v>-1.1206247984543165</v>
      </c>
      <c r="X279">
        <f t="shared" si="244"/>
        <v>-27.292196298496204</v>
      </c>
      <c r="Y279">
        <f t="shared" si="228"/>
        <v>-155.10567821182713</v>
      </c>
      <c r="Z279">
        <f t="shared" si="245"/>
        <v>24.894321788172874</v>
      </c>
      <c r="AC279">
        <v>1</v>
      </c>
      <c r="AD279">
        <f t="shared" si="229"/>
        <v>83.114917626195009</v>
      </c>
      <c r="AE279">
        <f t="shared" si="230"/>
        <v>-2.0366830716945155E-2</v>
      </c>
      <c r="AF279">
        <f t="shared" si="231"/>
        <v>9.8426097724499985E-3</v>
      </c>
      <c r="AG279">
        <f t="shared" si="246"/>
        <v>1558.9693717560644</v>
      </c>
      <c r="AH279">
        <f t="shared" si="247"/>
        <v>-3327.4980970119009</v>
      </c>
      <c r="AJ279">
        <f t="shared" si="232"/>
        <v>22100</v>
      </c>
      <c r="AK279">
        <f t="shared" si="233"/>
        <v>58622.542964007764</v>
      </c>
      <c r="AL279">
        <v>1</v>
      </c>
      <c r="AM279">
        <f t="shared" si="234"/>
        <v>70.346071379902511</v>
      </c>
      <c r="AN279">
        <f t="shared" si="248"/>
        <v>837.64161210683346</v>
      </c>
      <c r="AO279">
        <f t="shared" si="249"/>
        <v>-302.25367203615735</v>
      </c>
      <c r="AQ279">
        <f t="shared" si="235"/>
        <v>2.3668583032939568E-2</v>
      </c>
      <c r="AR279">
        <f t="shared" si="236"/>
        <v>-15.384578971410718</v>
      </c>
      <c r="AT279">
        <f t="shared" si="261"/>
        <v>-51155.258654677258</v>
      </c>
      <c r="AU279">
        <f t="shared" si="262"/>
        <v>-24062.844578792803</v>
      </c>
      <c r="AV279">
        <f t="shared" si="250"/>
        <v>-2.701913618935456</v>
      </c>
      <c r="AW279">
        <f t="shared" si="251"/>
        <v>-2160.6183776990956</v>
      </c>
      <c r="AX279">
        <f t="shared" si="252"/>
        <v>-17316.166777245264</v>
      </c>
      <c r="AY279">
        <f t="shared" si="260"/>
        <v>-1.6949294166884536</v>
      </c>
      <c r="BA279">
        <f t="shared" si="237"/>
        <v>3.2395812946131346</v>
      </c>
      <c r="BB279">
        <f t="shared" si="253"/>
        <v>10.209777653578163</v>
      </c>
      <c r="BC279">
        <f t="shared" si="254"/>
        <v>-1.0069842022470024</v>
      </c>
      <c r="BD279">
        <f t="shared" si="238"/>
        <v>-237.69594489102857</v>
      </c>
      <c r="BF279">
        <f t="shared" si="239"/>
        <v>-29.393866029201888</v>
      </c>
      <c r="BG279">
        <f t="shared" si="240"/>
        <v>-167.74664435551944</v>
      </c>
      <c r="BH279">
        <f t="shared" si="255"/>
        <v>12.253355644480564</v>
      </c>
      <c r="BI279">
        <f t="shared" si="256"/>
        <v>12.253355644480564</v>
      </c>
      <c r="BJ279">
        <f t="shared" si="241"/>
        <v>0</v>
      </c>
      <c r="BK279">
        <f t="shared" si="257"/>
        <v>0</v>
      </c>
      <c r="BM279">
        <f t="shared" si="258"/>
        <v>-39.603643682780046</v>
      </c>
      <c r="BN279">
        <f t="shared" si="242"/>
        <v>-110.05069946449088</v>
      </c>
      <c r="BQ279" s="56">
        <f t="shared" si="259"/>
        <v>27.1117384538633</v>
      </c>
      <c r="BR279" s="59"/>
      <c r="BS279" s="59"/>
      <c r="BT279" s="59">
        <v>48977.881999999998</v>
      </c>
      <c r="BU279" s="59">
        <v>0.86195100000000002</v>
      </c>
      <c r="BV279" s="59">
        <v>-138.07900000000001</v>
      </c>
      <c r="BY279" s="59"/>
      <c r="BZ279" s="59"/>
      <c r="CA279" s="59"/>
      <c r="CC279" s="59"/>
    </row>
    <row r="280" spans="1:81" x14ac:dyDescent="0.25">
      <c r="A280">
        <f>A279+5000</f>
        <v>330000</v>
      </c>
      <c r="B280">
        <f t="shared" si="243"/>
        <v>330</v>
      </c>
      <c r="C280">
        <f t="shared" si="212"/>
        <v>2.9139192679765662</v>
      </c>
      <c r="D280">
        <f t="shared" si="213"/>
        <v>1.2204954718269625</v>
      </c>
      <c r="F280">
        <f t="shared" si="214"/>
        <v>2.3540948400521957E-4</v>
      </c>
      <c r="G280">
        <f t="shared" si="215"/>
        <v>5.2198383907655476E-3</v>
      </c>
      <c r="H280">
        <f t="shared" si="216"/>
        <v>-3.1363728116092346</v>
      </c>
      <c r="J280">
        <f t="shared" si="217"/>
        <v>15</v>
      </c>
      <c r="M280">
        <f t="shared" si="218"/>
        <v>4.5275877930396622E-3</v>
      </c>
      <c r="N280">
        <f t="shared" si="219"/>
        <v>-1.5707963250000001</v>
      </c>
      <c r="O280">
        <f t="shared" si="220"/>
        <v>84.399533077919841</v>
      </c>
      <c r="P280">
        <f t="shared" si="221"/>
        <v>1.5589476427741904</v>
      </c>
      <c r="Q280">
        <f t="shared" si="222"/>
        <v>71.435318313705139</v>
      </c>
      <c r="R280">
        <f t="shared" si="223"/>
        <v>1.5567971918154004</v>
      </c>
      <c r="S280">
        <f t="shared" si="224"/>
        <v>0.34806095129162323</v>
      </c>
      <c r="T280">
        <f t="shared" si="225"/>
        <v>-1.2152944000394375</v>
      </c>
      <c r="U280">
        <f t="shared" si="226"/>
        <v>0.42975245966308379</v>
      </c>
      <c r="V280">
        <f t="shared" si="227"/>
        <v>-1.1265777149668419</v>
      </c>
      <c r="X280">
        <f t="shared" si="244"/>
        <v>-27.532273757926291</v>
      </c>
      <c r="Y280">
        <f t="shared" si="228"/>
        <v>-155.43204499660797</v>
      </c>
      <c r="Z280">
        <f t="shared" si="245"/>
        <v>24.567955003392029</v>
      </c>
      <c r="AC280">
        <v>1</v>
      </c>
      <c r="AD280">
        <f t="shared" si="229"/>
        <v>84.393608666597999</v>
      </c>
      <c r="AE280">
        <f t="shared" si="230"/>
        <v>-2.0998322982961681E-2</v>
      </c>
      <c r="AF280">
        <f t="shared" si="231"/>
        <v>9.9940345381799994E-3</v>
      </c>
      <c r="AG280">
        <f t="shared" si="246"/>
        <v>1520.7445665831269</v>
      </c>
      <c r="AH280">
        <f t="shared" si="247"/>
        <v>-3295.2743416968392</v>
      </c>
      <c r="AJ280">
        <f t="shared" si="232"/>
        <v>22100</v>
      </c>
      <c r="AK280">
        <f t="shared" si="233"/>
        <v>59524.428240377107</v>
      </c>
      <c r="AL280">
        <v>1</v>
      </c>
      <c r="AM280">
        <f t="shared" si="234"/>
        <v>71.428318631901007</v>
      </c>
      <c r="AN280">
        <f t="shared" si="248"/>
        <v>837.51242176482526</v>
      </c>
      <c r="AO280">
        <f t="shared" si="249"/>
        <v>-297.6758796158897</v>
      </c>
      <c r="AQ280">
        <f t="shared" si="235"/>
        <v>2.29567884371248E-2</v>
      </c>
      <c r="AR280">
        <f t="shared" si="236"/>
        <v>-15.151480368502368</v>
      </c>
      <c r="AT280">
        <f t="shared" si="261"/>
        <v>-49893.373085767264</v>
      </c>
      <c r="AU280">
        <f t="shared" si="262"/>
        <v>-23117.18036199551</v>
      </c>
      <c r="AV280">
        <f t="shared" si="250"/>
        <v>-2.7077075754267281</v>
      </c>
      <c r="AW280">
        <f t="shared" si="251"/>
        <v>-2061.5537472245687</v>
      </c>
      <c r="AX280">
        <f t="shared" si="252"/>
        <v>-17070.663013832978</v>
      </c>
      <c r="AY280">
        <f t="shared" si="260"/>
        <v>-1.6909801982883776</v>
      </c>
      <c r="BA280">
        <f t="shared" si="237"/>
        <v>3.1980014459321806</v>
      </c>
      <c r="BB280">
        <f t="shared" si="253"/>
        <v>10.09757311541023</v>
      </c>
      <c r="BC280">
        <f t="shared" si="254"/>
        <v>-1.0167273771383505</v>
      </c>
      <c r="BD280">
        <f t="shared" si="238"/>
        <v>-238.25418769199854</v>
      </c>
      <c r="BF280">
        <f t="shared" si="239"/>
        <v>-29.654572291699459</v>
      </c>
      <c r="BG280">
        <f t="shared" si="240"/>
        <v>-168.02587345170676</v>
      </c>
      <c r="BH280">
        <f t="shared" si="255"/>
        <v>11.974126548293242</v>
      </c>
      <c r="BI280">
        <f t="shared" si="256"/>
        <v>11.974126548293242</v>
      </c>
      <c r="BJ280">
        <f t="shared" si="241"/>
        <v>0</v>
      </c>
      <c r="BK280">
        <f t="shared" si="257"/>
        <v>0</v>
      </c>
      <c r="BM280">
        <f t="shared" si="258"/>
        <v>-39.752145407109687</v>
      </c>
      <c r="BN280">
        <f t="shared" si="242"/>
        <v>-109.77168575970821</v>
      </c>
      <c r="BQ280" s="56">
        <f t="shared" si="259"/>
        <v>26.999533915695366</v>
      </c>
      <c r="BR280" s="59"/>
      <c r="BS280" s="59"/>
      <c r="BT280" s="59">
        <v>50118.722999999998</v>
      </c>
      <c r="BU280" s="59">
        <v>0.950021</v>
      </c>
      <c r="BV280" s="59">
        <v>-137.59100000000001</v>
      </c>
      <c r="BY280" s="59"/>
      <c r="BZ280" s="59"/>
      <c r="CA280" s="59"/>
      <c r="CC280" s="59"/>
    </row>
    <row r="281" spans="1:81" x14ac:dyDescent="0.25">
      <c r="A281">
        <f t="shared" si="211"/>
        <v>335000</v>
      </c>
      <c r="B281">
        <f t="shared" si="243"/>
        <v>335</v>
      </c>
      <c r="C281">
        <f t="shared" si="212"/>
        <v>2.9529041505922411</v>
      </c>
      <c r="D281">
        <f t="shared" si="213"/>
        <v>1.2253149344800141</v>
      </c>
      <c r="F281">
        <f t="shared" si="214"/>
        <v>2.2843326623360759E-4</v>
      </c>
      <c r="G281">
        <f t="shared" si="215"/>
        <v>5.1418956646690451E-3</v>
      </c>
      <c r="H281">
        <f t="shared" si="216"/>
        <v>-3.136450754335331</v>
      </c>
      <c r="J281">
        <f t="shared" si="217"/>
        <v>15</v>
      </c>
      <c r="M281">
        <f t="shared" si="218"/>
        <v>4.4600118558301149E-3</v>
      </c>
      <c r="N281">
        <f t="shared" si="219"/>
        <v>-1.5707963250000001</v>
      </c>
      <c r="O281">
        <f t="shared" si="220"/>
        <v>85.678135700341898</v>
      </c>
      <c r="P281">
        <f t="shared" si="221"/>
        <v>1.5591244726217182</v>
      </c>
      <c r="Q281">
        <f t="shared" si="222"/>
        <v>72.517461102849794</v>
      </c>
      <c r="R281">
        <f t="shared" si="223"/>
        <v>1.5570061074391766</v>
      </c>
      <c r="S281">
        <f t="shared" si="224"/>
        <v>0.34348300172215557</v>
      </c>
      <c r="T281">
        <f t="shared" si="225"/>
        <v>-1.2201732930958633</v>
      </c>
      <c r="U281">
        <f t="shared" si="226"/>
        <v>0.42450125287510665</v>
      </c>
      <c r="V281">
        <f t="shared" si="227"/>
        <v>-1.1323853540432363</v>
      </c>
      <c r="X281">
        <f t="shared" si="244"/>
        <v>-27.769344067893584</v>
      </c>
      <c r="Y281">
        <f t="shared" si="228"/>
        <v>-155.75056751804976</v>
      </c>
      <c r="Z281">
        <f t="shared" si="245"/>
        <v>24.249432481950237</v>
      </c>
      <c r="AC281">
        <v>1</v>
      </c>
      <c r="AD281">
        <f t="shared" si="229"/>
        <v>85.672299707001002</v>
      </c>
      <c r="AE281">
        <f t="shared" si="230"/>
        <v>-2.1639456352276168E-2</v>
      </c>
      <c r="AF281">
        <f t="shared" si="231"/>
        <v>1.0145459303909999E-2</v>
      </c>
      <c r="AG281">
        <f t="shared" si="246"/>
        <v>1483.8072342329574</v>
      </c>
      <c r="AH281">
        <f t="shared" si="247"/>
        <v>-3263.4088697803732</v>
      </c>
      <c r="AJ281">
        <f t="shared" si="232"/>
        <v>22100</v>
      </c>
      <c r="AK281">
        <f t="shared" si="233"/>
        <v>60426.313516746457</v>
      </c>
      <c r="AL281">
        <v>1</v>
      </c>
      <c r="AM281">
        <f t="shared" si="234"/>
        <v>72.510565883899517</v>
      </c>
      <c r="AN281">
        <f t="shared" si="248"/>
        <v>837.38897131935084</v>
      </c>
      <c r="AO281">
        <f t="shared" si="249"/>
        <v>-293.23465855617974</v>
      </c>
      <c r="AQ281">
        <f t="shared" si="235"/>
        <v>2.2276626694972834E-2</v>
      </c>
      <c r="AR281">
        <f t="shared" si="236"/>
        <v>-14.925339885631798</v>
      </c>
      <c r="AT281">
        <f t="shared" si="261"/>
        <v>-48674.432347413283</v>
      </c>
      <c r="AU281">
        <f t="shared" si="262"/>
        <v>-22219.025036831321</v>
      </c>
      <c r="AV281">
        <f t="shared" si="250"/>
        <v>-2.7133609988061695</v>
      </c>
      <c r="AW281">
        <f t="shared" si="251"/>
        <v>-1967.320051721498</v>
      </c>
      <c r="AX281">
        <f t="shared" si="252"/>
        <v>-16831.951177559498</v>
      </c>
      <c r="AY281">
        <f t="shared" si="260"/>
        <v>-1.6871485107896536</v>
      </c>
      <c r="BA281">
        <f t="shared" si="237"/>
        <v>3.1573386246736792</v>
      </c>
      <c r="BB281">
        <f t="shared" si="253"/>
        <v>9.9864232497587384</v>
      </c>
      <c r="BC281">
        <f t="shared" si="254"/>
        <v>-1.026212488016516</v>
      </c>
      <c r="BD281">
        <f t="shared" si="238"/>
        <v>-238.79764451415204</v>
      </c>
      <c r="BF281">
        <f t="shared" si="239"/>
        <v>-29.911577573182299</v>
      </c>
      <c r="BG281">
        <f t="shared" si="240"/>
        <v>-168.29766119325811</v>
      </c>
      <c r="BH281">
        <f t="shared" si="255"/>
        <v>11.702338806741892</v>
      </c>
      <c r="BI281">
        <f t="shared" si="256"/>
        <v>11.702338806741892</v>
      </c>
      <c r="BJ281">
        <f t="shared" si="241"/>
        <v>0</v>
      </c>
      <c r="BK281">
        <f t="shared" si="257"/>
        <v>0</v>
      </c>
      <c r="BM281">
        <f t="shared" si="258"/>
        <v>-39.898000822941036</v>
      </c>
      <c r="BN281">
        <f t="shared" si="242"/>
        <v>-109.50001667910607</v>
      </c>
      <c r="BQ281" s="56">
        <f t="shared" si="259"/>
        <v>26.888384050043875</v>
      </c>
      <c r="BR281" s="59"/>
      <c r="BS281" s="59"/>
      <c r="BT281" s="59">
        <v>51286.137999999999</v>
      </c>
      <c r="BU281" s="59">
        <v>1.0492999999999999</v>
      </c>
      <c r="BV281" s="59">
        <v>-137.08699999999999</v>
      </c>
      <c r="BY281" s="59"/>
      <c r="BZ281" s="59"/>
      <c r="CA281" s="59"/>
      <c r="CC281" s="59"/>
    </row>
    <row r="282" spans="1:81" x14ac:dyDescent="0.25">
      <c r="A282">
        <f t="shared" si="211"/>
        <v>340000</v>
      </c>
      <c r="B282">
        <f t="shared" si="243"/>
        <v>340</v>
      </c>
      <c r="C282">
        <f t="shared" si="212"/>
        <v>2.9919558326650666</v>
      </c>
      <c r="D282">
        <f t="shared" si="213"/>
        <v>1.2300086943723663</v>
      </c>
      <c r="F282">
        <f t="shared" si="214"/>
        <v>2.2176264033712151E-4</v>
      </c>
      <c r="G282">
        <f t="shared" si="215"/>
        <v>5.0662468689440104E-3</v>
      </c>
      <c r="H282">
        <f t="shared" si="216"/>
        <v>-3.136526403131056</v>
      </c>
      <c r="J282">
        <f t="shared" si="217"/>
        <v>15</v>
      </c>
      <c r="M282">
        <f t="shared" si="218"/>
        <v>4.3944234461855535E-3</v>
      </c>
      <c r="N282">
        <f t="shared" si="219"/>
        <v>-1.5707963250000001</v>
      </c>
      <c r="O282">
        <f t="shared" si="220"/>
        <v>86.956740923031006</v>
      </c>
      <c r="P282">
        <f t="shared" si="221"/>
        <v>1.5592961022895584</v>
      </c>
      <c r="Q282">
        <f t="shared" si="222"/>
        <v>73.599606963999491</v>
      </c>
      <c r="R282">
        <f t="shared" si="223"/>
        <v>1.5572088796372152</v>
      </c>
      <c r="S282">
        <f t="shared" si="224"/>
        <v>0.33901615567696186</v>
      </c>
      <c r="T282">
        <f t="shared" si="225"/>
        <v>-1.2249254010964814</v>
      </c>
      <c r="U282">
        <f t="shared" si="226"/>
        <v>0.41936319124027499</v>
      </c>
      <c r="V282">
        <f t="shared" si="227"/>
        <v>-1.1380525918865907</v>
      </c>
      <c r="X282">
        <f t="shared" si="244"/>
        <v>-28.003476462053449</v>
      </c>
      <c r="Y282">
        <f t="shared" si="228"/>
        <v>-156.06150213863592</v>
      </c>
      <c r="Z282">
        <f t="shared" si="245"/>
        <v>23.938497861364084</v>
      </c>
      <c r="AC282">
        <v>1</v>
      </c>
      <c r="AD282">
        <f t="shared" si="229"/>
        <v>86.950990747403992</v>
      </c>
      <c r="AE282">
        <f t="shared" si="230"/>
        <v>-2.229023082488862E-2</v>
      </c>
      <c r="AF282">
        <f t="shared" si="231"/>
        <v>1.029688406964E-2</v>
      </c>
      <c r="AG282">
        <f t="shared" si="246"/>
        <v>1448.10531776738</v>
      </c>
      <c r="AH282">
        <f t="shared" si="247"/>
        <v>-3231.9099221389088</v>
      </c>
      <c r="AJ282">
        <f t="shared" si="232"/>
        <v>22100</v>
      </c>
      <c r="AK282">
        <f t="shared" si="233"/>
        <v>61328.1987931158</v>
      </c>
      <c r="AL282">
        <v>1</v>
      </c>
      <c r="AM282">
        <f t="shared" si="234"/>
        <v>73.592813135898012</v>
      </c>
      <c r="AN282">
        <f t="shared" si="248"/>
        <v>837.27092572932247</v>
      </c>
      <c r="AO282">
        <f t="shared" si="249"/>
        <v>-288.92398820257733</v>
      </c>
      <c r="AQ282">
        <f t="shared" si="235"/>
        <v>2.1626250808281122E-2</v>
      </c>
      <c r="AR282">
        <f t="shared" si="236"/>
        <v>-14.705850549631164</v>
      </c>
      <c r="AT282">
        <f t="shared" si="261"/>
        <v>-47496.667216046037</v>
      </c>
      <c r="AU282">
        <f t="shared" si="262"/>
        <v>-21365.514477779187</v>
      </c>
      <c r="AV282">
        <f t="shared" si="250"/>
        <v>-2.7188785560116431</v>
      </c>
      <c r="AW282">
        <f t="shared" si="251"/>
        <v>-1877.6111666488021</v>
      </c>
      <c r="AX282">
        <f t="shared" si="252"/>
        <v>-16599.751324477984</v>
      </c>
      <c r="AY282">
        <f t="shared" si="260"/>
        <v>-1.6834284152646437</v>
      </c>
      <c r="BA282">
        <f t="shared" si="237"/>
        <v>3.11756993045804</v>
      </c>
      <c r="BB282">
        <f t="shared" si="253"/>
        <v>9.8763240790752498</v>
      </c>
      <c r="BC282">
        <f t="shared" si="254"/>
        <v>-1.0354501407469994</v>
      </c>
      <c r="BD282">
        <f t="shared" si="238"/>
        <v>-239.32692302882103</v>
      </c>
      <c r="BF282">
        <f t="shared" si="239"/>
        <v>-30.164979501688805</v>
      </c>
      <c r="BG282">
        <f t="shared" si="240"/>
        <v>-168.56234143246544</v>
      </c>
      <c r="BH282">
        <f t="shared" si="255"/>
        <v>11.437658567534555</v>
      </c>
      <c r="BI282">
        <f t="shared" si="256"/>
        <v>11.437658567534555</v>
      </c>
      <c r="BJ282">
        <f t="shared" si="241"/>
        <v>0</v>
      </c>
      <c r="BK282">
        <f t="shared" si="257"/>
        <v>0</v>
      </c>
      <c r="BM282">
        <f t="shared" si="258"/>
        <v>-40.041303580764058</v>
      </c>
      <c r="BN282">
        <f t="shared" si="242"/>
        <v>-109.23541840364445</v>
      </c>
      <c r="BQ282" s="56">
        <f t="shared" si="259"/>
        <v>26.778284879360385</v>
      </c>
      <c r="BR282" s="59"/>
      <c r="BS282" s="59"/>
      <c r="BT282" s="59">
        <v>52480.745999999999</v>
      </c>
      <c r="BU282" s="59">
        <v>1.1752400000000001</v>
      </c>
      <c r="BV282" s="59">
        <v>-136.553</v>
      </c>
      <c r="BY282" s="59"/>
      <c r="BZ282" s="59"/>
      <c r="CA282" s="59"/>
      <c r="CC282" s="59"/>
    </row>
    <row r="283" spans="1:81" x14ac:dyDescent="0.25">
      <c r="A283">
        <f t="shared" si="211"/>
        <v>345000</v>
      </c>
      <c r="B283">
        <f t="shared" si="243"/>
        <v>345</v>
      </c>
      <c r="C283">
        <f t="shared" si="212"/>
        <v>3.0310717323062439</v>
      </c>
      <c r="D283">
        <f t="shared" si="213"/>
        <v>1.2345814071620893</v>
      </c>
      <c r="F283">
        <f t="shared" si="214"/>
        <v>2.1538001378234391E-4</v>
      </c>
      <c r="G283">
        <f t="shared" si="215"/>
        <v>4.9927921825423166E-3</v>
      </c>
      <c r="H283">
        <f t="shared" si="216"/>
        <v>-3.1365998578174579</v>
      </c>
      <c r="J283">
        <f t="shared" si="217"/>
        <v>15</v>
      </c>
      <c r="M283">
        <f t="shared" si="218"/>
        <v>4.3307361498640248E-3</v>
      </c>
      <c r="N283">
        <f t="shared" si="219"/>
        <v>-1.5707963250000001</v>
      </c>
      <c r="O283">
        <f t="shared" si="220"/>
        <v>88.235348632946881</v>
      </c>
      <c r="P283">
        <f t="shared" si="221"/>
        <v>1.5594627578328879</v>
      </c>
      <c r="Q283">
        <f t="shared" si="222"/>
        <v>74.68175576361331</v>
      </c>
      <c r="R283">
        <f t="shared" si="223"/>
        <v>1.5574057754496917</v>
      </c>
      <c r="S283">
        <f t="shared" si="224"/>
        <v>0.33465672819044667</v>
      </c>
      <c r="T283">
        <f t="shared" si="225"/>
        <v>-1.2295553961875176</v>
      </c>
      <c r="U283">
        <f t="shared" si="226"/>
        <v>0.41433518829780702</v>
      </c>
      <c r="V283">
        <f t="shared" si="227"/>
        <v>-1.1435841078673372</v>
      </c>
      <c r="X283">
        <f t="shared" si="244"/>
        <v>-28.234737926784884</v>
      </c>
      <c r="Y283">
        <f t="shared" si="228"/>
        <v>-156.36509537828715</v>
      </c>
      <c r="Z283">
        <f t="shared" si="245"/>
        <v>23.634904621712849</v>
      </c>
      <c r="AC283">
        <v>1</v>
      </c>
      <c r="AD283">
        <f t="shared" si="229"/>
        <v>88.22968178780701</v>
      </c>
      <c r="AE283">
        <f t="shared" si="230"/>
        <v>-2.2950646400799021E-2</v>
      </c>
      <c r="AF283">
        <f t="shared" si="231"/>
        <v>1.0448308835370001E-2</v>
      </c>
      <c r="AG283">
        <f t="shared" si="246"/>
        <v>1413.5890354973837</v>
      </c>
      <c r="AH283">
        <f t="shared" si="247"/>
        <v>-3200.7842261070273</v>
      </c>
      <c r="AJ283">
        <f t="shared" si="232"/>
        <v>22100</v>
      </c>
      <c r="AK283">
        <f t="shared" si="233"/>
        <v>62230.084069485158</v>
      </c>
      <c r="AL283">
        <v>1</v>
      </c>
      <c r="AM283">
        <f t="shared" si="234"/>
        <v>74.675060387896508</v>
      </c>
      <c r="AN283">
        <f t="shared" si="248"/>
        <v>837.1579740458991</v>
      </c>
      <c r="AO283">
        <f t="shared" si="249"/>
        <v>-284.73819660145102</v>
      </c>
      <c r="AQ283">
        <f t="shared" si="235"/>
        <v>2.1003946641573953E-2</v>
      </c>
      <c r="AR283">
        <f t="shared" si="236"/>
        <v>-14.492723182686026</v>
      </c>
      <c r="AT283">
        <f t="shared" si="261"/>
        <v>-46358.388807802359</v>
      </c>
      <c r="AU283">
        <f t="shared" si="262"/>
        <v>-20553.983686640058</v>
      </c>
      <c r="AV283">
        <f t="shared" si="250"/>
        <v>-2.7242647292766078</v>
      </c>
      <c r="AW283">
        <f t="shared" si="251"/>
        <v>-1792.1445146812412</v>
      </c>
      <c r="AX283">
        <f t="shared" si="252"/>
        <v>-16373.799042255238</v>
      </c>
      <c r="AY283">
        <f t="shared" si="260"/>
        <v>-1.679814340424119</v>
      </c>
      <c r="BA283">
        <f t="shared" si="237"/>
        <v>3.0786726446627384</v>
      </c>
      <c r="BB283">
        <f t="shared" si="253"/>
        <v>9.7672702563054514</v>
      </c>
      <c r="BC283">
        <f t="shared" si="254"/>
        <v>-1.0444503888524888</v>
      </c>
      <c r="BD283">
        <f t="shared" si="238"/>
        <v>-239.84259926042543</v>
      </c>
      <c r="BF283">
        <f t="shared" si="239"/>
        <v>-30.414872267180545</v>
      </c>
      <c r="BG283">
        <f t="shared" si="240"/>
        <v>-168.82022916351497</v>
      </c>
      <c r="BH283">
        <f t="shared" si="255"/>
        <v>11.179770836485034</v>
      </c>
      <c r="BI283">
        <f t="shared" si="256"/>
        <v>11.179770836485034</v>
      </c>
      <c r="BJ283">
        <f t="shared" si="241"/>
        <v>0</v>
      </c>
      <c r="BK283">
        <f t="shared" si="257"/>
        <v>0</v>
      </c>
      <c r="BM283">
        <f t="shared" si="258"/>
        <v>-40.182142523486</v>
      </c>
      <c r="BN283">
        <f t="shared" si="242"/>
        <v>-108.97762990308954</v>
      </c>
      <c r="BQ283" s="56">
        <f t="shared" si="259"/>
        <v>26.66923105659059</v>
      </c>
      <c r="BR283" s="59"/>
      <c r="BS283" s="59"/>
      <c r="BT283" s="59">
        <v>53703.18</v>
      </c>
      <c r="BU283" s="59">
        <v>1.3152900000000001</v>
      </c>
      <c r="BV283" s="59">
        <v>-136.001</v>
      </c>
      <c r="BY283" s="59"/>
      <c r="BZ283" s="59"/>
      <c r="CA283" s="59"/>
      <c r="CC283" s="59"/>
    </row>
    <row r="284" spans="1:81" x14ac:dyDescent="0.25">
      <c r="A284">
        <f t="shared" si="211"/>
        <v>350000</v>
      </c>
      <c r="B284">
        <f t="shared" si="243"/>
        <v>350</v>
      </c>
      <c r="C284">
        <f t="shared" si="212"/>
        <v>3.0702493950634149</v>
      </c>
      <c r="D284">
        <f t="shared" si="213"/>
        <v>1.2390375117129473</v>
      </c>
      <c r="F284">
        <f t="shared" si="214"/>
        <v>2.0926904210912358E-4</v>
      </c>
      <c r="G284">
        <f t="shared" si="215"/>
        <v>4.921437494415877E-3</v>
      </c>
      <c r="H284">
        <f t="shared" si="216"/>
        <v>-3.1366712125055844</v>
      </c>
      <c r="J284">
        <f t="shared" si="217"/>
        <v>15</v>
      </c>
      <c r="M284">
        <f t="shared" si="218"/>
        <v>4.268868490580253E-3</v>
      </c>
      <c r="N284">
        <f t="shared" si="219"/>
        <v>-1.5707963250000001</v>
      </c>
      <c r="O284">
        <f t="shared" si="220"/>
        <v>89.513958723507699</v>
      </c>
      <c r="P284">
        <f t="shared" si="221"/>
        <v>1.5596246523922119</v>
      </c>
      <c r="Q284">
        <f t="shared" si="222"/>
        <v>75.76390737577951</v>
      </c>
      <c r="R284">
        <f t="shared" si="223"/>
        <v>1.5575970466619058</v>
      </c>
      <c r="S284">
        <f t="shared" si="224"/>
        <v>0.33040117833793892</v>
      </c>
      <c r="T284">
        <f t="shared" si="225"/>
        <v>-1.2340677344165709</v>
      </c>
      <c r="U284">
        <f t="shared" si="226"/>
        <v>0.40941423937367205</v>
      </c>
      <c r="V284">
        <f t="shared" si="227"/>
        <v>-1.1489843931419244</v>
      </c>
      <c r="X284">
        <f t="shared" si="244"/>
        <v>-28.463193297139796</v>
      </c>
      <c r="Y284">
        <f t="shared" si="228"/>
        <v>-156.661584299754</v>
      </c>
      <c r="Z284">
        <f t="shared" si="245"/>
        <v>23.338415700246003</v>
      </c>
      <c r="AC284">
        <v>1</v>
      </c>
      <c r="AD284">
        <f t="shared" si="229"/>
        <v>89.50837282821</v>
      </c>
      <c r="AE284">
        <f t="shared" si="230"/>
        <v>-2.3620703080007396E-2</v>
      </c>
      <c r="AF284">
        <f t="shared" si="231"/>
        <v>1.05997336011E-2</v>
      </c>
      <c r="AG284">
        <f t="shared" si="246"/>
        <v>1380.2107892243639</v>
      </c>
      <c r="AH284">
        <f t="shared" si="247"/>
        <v>-3170.0371447641219</v>
      </c>
      <c r="AJ284">
        <f t="shared" si="232"/>
        <v>22100</v>
      </c>
      <c r="AK284">
        <f t="shared" si="233"/>
        <v>63131.969345854515</v>
      </c>
      <c r="AL284">
        <v>1</v>
      </c>
      <c r="AM284">
        <f t="shared" si="234"/>
        <v>75.757307639895004</v>
      </c>
      <c r="AN284">
        <f t="shared" si="248"/>
        <v>837.04982736319209</v>
      </c>
      <c r="AO284">
        <f t="shared" si="249"/>
        <v>-280.67193561983714</v>
      </c>
      <c r="AQ284">
        <f t="shared" si="235"/>
        <v>2.0408121616078335E-2</v>
      </c>
      <c r="AR284">
        <f t="shared" si="236"/>
        <v>-14.285685131254834</v>
      </c>
      <c r="AT284">
        <f t="shared" si="261"/>
        <v>-45257.98499484003</v>
      </c>
      <c r="AU284">
        <f t="shared" si="262"/>
        <v>-19781.951253197829</v>
      </c>
      <c r="AV284">
        <f t="shared" si="250"/>
        <v>-2.7295238238827499</v>
      </c>
      <c r="AW284">
        <f t="shared" si="251"/>
        <v>-1710.6589564430001</v>
      </c>
      <c r="AX284">
        <f t="shared" si="252"/>
        <v>-16153.844351444168</v>
      </c>
      <c r="AY284">
        <f t="shared" si="260"/>
        <v>-1.6763010566780365</v>
      </c>
      <c r="BA284">
        <f t="shared" si="237"/>
        <v>3.0406243027756497</v>
      </c>
      <c r="BB284">
        <f t="shared" si="253"/>
        <v>9.6592552472683799</v>
      </c>
      <c r="BC284">
        <f t="shared" si="254"/>
        <v>-1.0532227672047134</v>
      </c>
      <c r="BD284">
        <f t="shared" si="238"/>
        <v>-240.34521951687415</v>
      </c>
      <c r="BF284">
        <f t="shared" si="239"/>
        <v>-30.661346754058066</v>
      </c>
      <c r="BG284">
        <f t="shared" si="240"/>
        <v>-169.07162175832156</v>
      </c>
      <c r="BH284">
        <f t="shared" si="255"/>
        <v>10.928378241678445</v>
      </c>
      <c r="BI284">
        <f t="shared" si="256"/>
        <v>10.928378241678445</v>
      </c>
      <c r="BJ284">
        <f t="shared" si="241"/>
        <v>0</v>
      </c>
      <c r="BK284">
        <f t="shared" si="257"/>
        <v>0</v>
      </c>
      <c r="BM284">
        <f t="shared" si="258"/>
        <v>-40.320602001326449</v>
      </c>
      <c r="BN284">
        <f t="shared" si="242"/>
        <v>-108.72640224144739</v>
      </c>
      <c r="BQ284" s="56">
        <f t="shared" si="259"/>
        <v>26.561216047553515</v>
      </c>
      <c r="BR284" s="59"/>
      <c r="BS284" s="59"/>
      <c r="BT284" s="59">
        <v>54954.087</v>
      </c>
      <c r="BU284" s="59">
        <v>1.4637500000000001</v>
      </c>
      <c r="BV284" s="59">
        <v>-135.524</v>
      </c>
      <c r="BY284" s="59"/>
      <c r="BZ284" s="59"/>
      <c r="CA284" s="59"/>
      <c r="CC284" s="59"/>
    </row>
    <row r="285" spans="1:81" x14ac:dyDescent="0.25">
      <c r="A285">
        <f t="shared" si="211"/>
        <v>355000</v>
      </c>
      <c r="B285">
        <f t="shared" si="243"/>
        <v>355</v>
      </c>
      <c r="C285">
        <f t="shared" si="212"/>
        <v>3.1094864864029224</v>
      </c>
      <c r="D285">
        <f t="shared" si="213"/>
        <v>1.243381241899034</v>
      </c>
      <c r="F285">
        <f t="shared" si="214"/>
        <v>2.0341452416112538E-4</v>
      </c>
      <c r="G285">
        <f t="shared" si="215"/>
        <v>4.852094000912347E-3</v>
      </c>
      <c r="H285">
        <f t="shared" si="216"/>
        <v>-3.1367405559990877</v>
      </c>
      <c r="J285">
        <f t="shared" si="217"/>
        <v>15</v>
      </c>
      <c r="M285">
        <f t="shared" si="218"/>
        <v>4.2087435822622202E-3</v>
      </c>
      <c r="N285">
        <f t="shared" si="219"/>
        <v>-1.5707963250000001</v>
      </c>
      <c r="O285">
        <f t="shared" si="220"/>
        <v>90.792571094135312</v>
      </c>
      <c r="P285">
        <f t="shared" si="221"/>
        <v>1.5597819871026199</v>
      </c>
      <c r="Q285">
        <f t="shared" si="222"/>
        <v>76.846061681678364</v>
      </c>
      <c r="R285">
        <f t="shared" si="223"/>
        <v>1.5577829308781919</v>
      </c>
      <c r="S285">
        <f t="shared" si="224"/>
        <v>0.32624610350171601</v>
      </c>
      <c r="T285">
        <f t="shared" si="225"/>
        <v>-1.2384666673916158</v>
      </c>
      <c r="U285">
        <f t="shared" si="226"/>
        <v>0.4045974211892836</v>
      </c>
      <c r="V285">
        <f t="shared" si="227"/>
        <v>-1.1542577589196139</v>
      </c>
      <c r="X285">
        <f t="shared" si="244"/>
        <v>-28.68890534727835</v>
      </c>
      <c r="Y285">
        <f t="shared" si="228"/>
        <v>-156.95119688336578</v>
      </c>
      <c r="Z285">
        <f t="shared" si="245"/>
        <v>23.048803116634218</v>
      </c>
      <c r="AC285">
        <v>1</v>
      </c>
      <c r="AD285">
        <f t="shared" si="229"/>
        <v>90.787063868613004</v>
      </c>
      <c r="AE285">
        <f t="shared" si="230"/>
        <v>-2.4300400862513734E-2</v>
      </c>
      <c r="AF285">
        <f t="shared" si="231"/>
        <v>1.0751158366830001E-2</v>
      </c>
      <c r="AG285">
        <f t="shared" si="246"/>
        <v>1347.9250740359371</v>
      </c>
      <c r="AH285">
        <f t="shared" si="247"/>
        <v>-3139.6728129175103</v>
      </c>
      <c r="AJ285">
        <f t="shared" si="232"/>
        <v>22100</v>
      </c>
      <c r="AK285">
        <f t="shared" si="233"/>
        <v>64033.854622223858</v>
      </c>
      <c r="AL285">
        <v>1</v>
      </c>
      <c r="AM285">
        <f t="shared" si="234"/>
        <v>76.839554891893513</v>
      </c>
      <c r="AN285">
        <f t="shared" si="248"/>
        <v>836.94621696948127</v>
      </c>
      <c r="AO285">
        <f t="shared" si="249"/>
        <v>-276.72015816522833</v>
      </c>
      <c r="AQ285">
        <f t="shared" si="235"/>
        <v>1.9837294510425488E-2</v>
      </c>
      <c r="AR285">
        <f t="shared" si="236"/>
        <v>-14.084479102402097</v>
      </c>
      <c r="AT285">
        <f t="shared" si="261"/>
        <v>-44193.916935245048</v>
      </c>
      <c r="AU285">
        <f t="shared" si="262"/>
        <v>-19047.105151119176</v>
      </c>
      <c r="AV285">
        <f t="shared" si="250"/>
        <v>-2.7346599756338907</v>
      </c>
      <c r="AW285">
        <f t="shared" si="251"/>
        <v>-1632.9128953694171</v>
      </c>
      <c r="AX285">
        <f t="shared" si="252"/>
        <v>-15939.65070201207</v>
      </c>
      <c r="AY285">
        <f t="shared" si="260"/>
        <v>-1.672883652174568</v>
      </c>
      <c r="BA285">
        <f t="shared" si="237"/>
        <v>3.0034027536696204</v>
      </c>
      <c r="BB285">
        <f t="shared" si="253"/>
        <v>9.5522714922504939</v>
      </c>
      <c r="BC285">
        <f t="shared" si="254"/>
        <v>-1.0617763234593227</v>
      </c>
      <c r="BD285">
        <f t="shared" si="238"/>
        <v>-240.83530219065099</v>
      </c>
      <c r="BF285">
        <f t="shared" si="239"/>
        <v>-30.904490669849341</v>
      </c>
      <c r="BG285">
        <f t="shared" si="240"/>
        <v>-169.31680011432661</v>
      </c>
      <c r="BH285">
        <f t="shared" si="255"/>
        <v>10.683199885673389</v>
      </c>
      <c r="BI285">
        <f t="shared" si="256"/>
        <v>10.683199885673389</v>
      </c>
      <c r="BJ285">
        <f t="shared" si="241"/>
        <v>0</v>
      </c>
      <c r="BK285">
        <f t="shared" si="257"/>
        <v>0</v>
      </c>
      <c r="BM285">
        <f t="shared" si="258"/>
        <v>-40.456762162099835</v>
      </c>
      <c r="BN285">
        <f t="shared" si="242"/>
        <v>-108.48149792367565</v>
      </c>
      <c r="BQ285" s="56">
        <f t="shared" si="259"/>
        <v>26.454232292535632</v>
      </c>
      <c r="BR285" s="59"/>
      <c r="BS285" s="59"/>
      <c r="BT285" s="59">
        <v>56234.133000000002</v>
      </c>
      <c r="BU285" s="59">
        <v>1.62296</v>
      </c>
      <c r="BV285" s="59">
        <v>-134.983</v>
      </c>
      <c r="BY285" s="59"/>
      <c r="BZ285" s="59"/>
      <c r="CA285" s="59"/>
      <c r="CC285" s="59"/>
    </row>
    <row r="286" spans="1:81" x14ac:dyDescent="0.25">
      <c r="A286">
        <f t="shared" si="211"/>
        <v>360000</v>
      </c>
      <c r="B286">
        <f t="shared" si="243"/>
        <v>360</v>
      </c>
      <c r="C286">
        <f t="shared" si="212"/>
        <v>3.148780784699269</v>
      </c>
      <c r="D286">
        <f t="shared" si="213"/>
        <v>1.2476166376989333</v>
      </c>
      <c r="F286">
        <f t="shared" si="214"/>
        <v>1.9780230743594399E-4</v>
      </c>
      <c r="G286">
        <f t="shared" si="215"/>
        <v>4.7846778367680075E-3</v>
      </c>
      <c r="H286">
        <f t="shared" si="216"/>
        <v>-3.1368079721632323</v>
      </c>
      <c r="J286">
        <f t="shared" si="217"/>
        <v>15</v>
      </c>
      <c r="M286">
        <f t="shared" si="218"/>
        <v>4.1502888102863565E-3</v>
      </c>
      <c r="N286">
        <f t="shared" si="219"/>
        <v>-1.5707963250000001</v>
      </c>
      <c r="O286">
        <f t="shared" si="220"/>
        <v>92.07118564983837</v>
      </c>
      <c r="P286">
        <f t="shared" si="221"/>
        <v>1.5599349519272896</v>
      </c>
      <c r="Q286">
        <f t="shared" si="222"/>
        <v>77.928218569089935</v>
      </c>
      <c r="R286">
        <f t="shared" si="223"/>
        <v>1.5579636525063703</v>
      </c>
      <c r="S286">
        <f t="shared" si="224"/>
        <v>0.32218823379259298</v>
      </c>
      <c r="T286">
        <f t="shared" si="225"/>
        <v>-1.2427562532475511</v>
      </c>
      <c r="U286">
        <f t="shared" si="226"/>
        <v>0.39988189118689049</v>
      </c>
      <c r="V286">
        <f t="shared" si="227"/>
        <v>-1.1594083443841485</v>
      </c>
      <c r="X286">
        <f t="shared" si="244"/>
        <v>-28.911934875836597</v>
      </c>
      <c r="Y286">
        <f t="shared" si="228"/>
        <v>-157.23415239057837</v>
      </c>
      <c r="Z286">
        <f t="shared" si="245"/>
        <v>22.765847609421627</v>
      </c>
      <c r="AC286">
        <v>1</v>
      </c>
      <c r="AD286">
        <f t="shared" si="229"/>
        <v>92.065754909015993</v>
      </c>
      <c r="AE286">
        <f t="shared" si="230"/>
        <v>-2.4989739748318033E-2</v>
      </c>
      <c r="AF286">
        <f t="shared" si="231"/>
        <v>1.090258313256E-2</v>
      </c>
      <c r="AG286">
        <f t="shared" si="246"/>
        <v>1316.6883900286498</v>
      </c>
      <c r="AH286">
        <f t="shared" si="247"/>
        <v>-3109.6942609129187</v>
      </c>
      <c r="AJ286">
        <f t="shared" si="232"/>
        <v>22100</v>
      </c>
      <c r="AK286">
        <f t="shared" si="233"/>
        <v>64935.739898593209</v>
      </c>
      <c r="AL286">
        <v>1</v>
      </c>
      <c r="AM286">
        <f t="shared" si="234"/>
        <v>77.921802143892009</v>
      </c>
      <c r="AN286">
        <f t="shared" si="248"/>
        <v>836.84689267682825</v>
      </c>
      <c r="AO286">
        <f t="shared" si="249"/>
        <v>-272.87809730142271</v>
      </c>
      <c r="AQ286">
        <f t="shared" si="235"/>
        <v>1.9290086245975606E-2</v>
      </c>
      <c r="AR286">
        <f t="shared" si="236"/>
        <v>-13.888862097102436</v>
      </c>
      <c r="AT286">
        <f t="shared" si="261"/>
        <v>-43164.715721367684</v>
      </c>
      <c r="AU286">
        <f t="shared" si="262"/>
        <v>-18347.289744455371</v>
      </c>
      <c r="AV286">
        <f t="shared" si="250"/>
        <v>-2.7396771580508235</v>
      </c>
      <c r="AW286">
        <f t="shared" si="251"/>
        <v>-1558.6825725174901</v>
      </c>
      <c r="AX286">
        <f t="shared" si="252"/>
        <v>-15730.994055353858</v>
      </c>
      <c r="AY286">
        <f t="shared" si="260"/>
        <v>-1.6695575106634446</v>
      </c>
      <c r="BA286">
        <f t="shared" si="237"/>
        <v>2.966986207667119</v>
      </c>
      <c r="BB286">
        <f t="shared" si="253"/>
        <v>9.4463105492017831</v>
      </c>
      <c r="BC286">
        <f t="shared" si="254"/>
        <v>-1.0701196473873789</v>
      </c>
      <c r="BD286">
        <f t="shared" si="238"/>
        <v>-241.31333943938537</v>
      </c>
      <c r="BF286">
        <f t="shared" si="239"/>
        <v>-31.144388669890052</v>
      </c>
      <c r="BG286">
        <f t="shared" si="240"/>
        <v>-169.55602972056289</v>
      </c>
      <c r="BH286">
        <f t="shared" si="255"/>
        <v>10.44397027943711</v>
      </c>
      <c r="BI286">
        <f t="shared" si="256"/>
        <v>10.44397027943711</v>
      </c>
      <c r="BJ286">
        <f t="shared" si="241"/>
        <v>0</v>
      </c>
      <c r="BK286">
        <f t="shared" si="257"/>
        <v>0</v>
      </c>
      <c r="BM286">
        <f t="shared" si="258"/>
        <v>-40.590699219091839</v>
      </c>
      <c r="BN286">
        <f t="shared" si="242"/>
        <v>-108.24269028117753</v>
      </c>
      <c r="BQ286" s="56">
        <f t="shared" si="259"/>
        <v>26.348271349486918</v>
      </c>
      <c r="BR286" s="59"/>
      <c r="BS286" s="59"/>
      <c r="BT286" s="59">
        <v>57543.993999999999</v>
      </c>
      <c r="BU286" s="59">
        <v>1.78169</v>
      </c>
      <c r="BV286" s="59">
        <v>-134.52199999999999</v>
      </c>
      <c r="BY286" s="59"/>
      <c r="BZ286" s="59"/>
      <c r="CA286" s="59"/>
      <c r="CC286" s="59"/>
    </row>
    <row r="287" spans="1:81" x14ac:dyDescent="0.25">
      <c r="A287">
        <f t="shared" si="211"/>
        <v>365000</v>
      </c>
      <c r="B287">
        <f t="shared" si="243"/>
        <v>365</v>
      </c>
      <c r="C287">
        <f t="shared" si="212"/>
        <v>3.1881301746939585</v>
      </c>
      <c r="D287">
        <f t="shared" si="213"/>
        <v>1.2517475556238868</v>
      </c>
      <c r="F287">
        <f t="shared" si="214"/>
        <v>1.9241920245286731E-4</v>
      </c>
      <c r="G287">
        <f t="shared" si="215"/>
        <v>4.7191097364711601E-3</v>
      </c>
      <c r="H287">
        <f t="shared" si="216"/>
        <v>-3.136873540263529</v>
      </c>
      <c r="J287">
        <f t="shared" si="217"/>
        <v>15</v>
      </c>
      <c r="M287">
        <f t="shared" si="218"/>
        <v>4.0934355389125711E-3</v>
      </c>
      <c r="N287">
        <f t="shared" si="219"/>
        <v>-1.5707963250000001</v>
      </c>
      <c r="O287">
        <f t="shared" si="220"/>
        <v>93.349802300829779</v>
      </c>
      <c r="P287">
        <f t="shared" si="221"/>
        <v>1.5600837264225051</v>
      </c>
      <c r="Q287">
        <f t="shared" si="222"/>
        <v>79.010377931942003</v>
      </c>
      <c r="R287">
        <f t="shared" si="223"/>
        <v>1.5581394236613204</v>
      </c>
      <c r="S287">
        <f t="shared" si="224"/>
        <v>0.3182244266373046</v>
      </c>
      <c r="T287">
        <f t="shared" si="225"/>
        <v>-1.2469403669627235</v>
      </c>
      <c r="U287">
        <f t="shared" si="226"/>
        <v>0.39526488661629516</v>
      </c>
      <c r="V287">
        <f t="shared" si="227"/>
        <v>-1.1644401242783313</v>
      </c>
      <c r="X287">
        <f t="shared" si="244"/>
        <v>-29.132340786623203</v>
      </c>
      <c r="Y287">
        <f t="shared" si="228"/>
        <v>-157.51066171594107</v>
      </c>
      <c r="Z287">
        <f t="shared" si="245"/>
        <v>22.489338284058931</v>
      </c>
      <c r="AC287">
        <v>1</v>
      </c>
      <c r="AD287">
        <f t="shared" si="229"/>
        <v>93.344445949418997</v>
      </c>
      <c r="AE287">
        <f t="shared" si="230"/>
        <v>-2.568871973742029E-2</v>
      </c>
      <c r="AF287">
        <f t="shared" si="231"/>
        <v>1.1054007898290001E-2</v>
      </c>
      <c r="AG287">
        <f t="shared" si="246"/>
        <v>1286.4591562478081</v>
      </c>
      <c r="AH287">
        <f t="shared" si="247"/>
        <v>-3080.1035273147481</v>
      </c>
      <c r="AJ287">
        <f t="shared" si="232"/>
        <v>22100</v>
      </c>
      <c r="AK287">
        <f t="shared" si="233"/>
        <v>65837.625174962552</v>
      </c>
      <c r="AL287">
        <v>1</v>
      </c>
      <c r="AM287">
        <f t="shared" si="234"/>
        <v>79.004049395890505</v>
      </c>
      <c r="AN287">
        <f t="shared" si="248"/>
        <v>836.75162130967988</v>
      </c>
      <c r="AO287">
        <f t="shared" si="249"/>
        <v>-269.14124707886629</v>
      </c>
      <c r="AQ287">
        <f t="shared" si="235"/>
        <v>1.8765211549612405E-2</v>
      </c>
      <c r="AR287">
        <f t="shared" si="236"/>
        <v>-13.698604431217055</v>
      </c>
      <c r="AT287">
        <f t="shared" si="261"/>
        <v>-42168.979149664163</v>
      </c>
      <c r="AU287">
        <f t="shared" si="262"/>
        <v>-17680.493892640745</v>
      </c>
      <c r="AV287">
        <f t="shared" si="250"/>
        <v>-2.7445791892887801</v>
      </c>
      <c r="AW287">
        <f t="shared" si="251"/>
        <v>-1487.7605301424392</v>
      </c>
      <c r="AX287">
        <f t="shared" si="252"/>
        <v>-15527.662043168391</v>
      </c>
      <c r="AY287">
        <f t="shared" si="260"/>
        <v>-1.6663182910406951</v>
      </c>
      <c r="BA287">
        <f t="shared" si="237"/>
        <v>2.9313532750083233</v>
      </c>
      <c r="BB287">
        <f t="shared" si="253"/>
        <v>9.341363220636536</v>
      </c>
      <c r="BC287">
        <f t="shared" si="254"/>
        <v>-1.078260898248085</v>
      </c>
      <c r="BD287">
        <f t="shared" si="238"/>
        <v>-241.77979875419408</v>
      </c>
      <c r="BF287">
        <f t="shared" si="239"/>
        <v>-31.381122477878268</v>
      </c>
      <c r="BG287">
        <f t="shared" si="240"/>
        <v>-169.78956164790839</v>
      </c>
      <c r="BH287">
        <f t="shared" si="255"/>
        <v>10.210438352091614</v>
      </c>
      <c r="BI287">
        <f t="shared" si="256"/>
        <v>10.210438352091614</v>
      </c>
      <c r="BJ287">
        <f t="shared" si="241"/>
        <v>0</v>
      </c>
      <c r="BK287">
        <f t="shared" si="257"/>
        <v>0</v>
      </c>
      <c r="BM287">
        <f t="shared" si="258"/>
        <v>-40.722485698514809</v>
      </c>
      <c r="BN287">
        <f t="shared" si="242"/>
        <v>-108.0097628937143</v>
      </c>
      <c r="BQ287" s="56">
        <f t="shared" si="259"/>
        <v>26.243324020921669</v>
      </c>
      <c r="BR287" s="59"/>
      <c r="BS287" s="59"/>
      <c r="BT287" s="59">
        <v>58884.366000000002</v>
      </c>
      <c r="BU287" s="59">
        <v>1.9421999999999999</v>
      </c>
      <c r="BV287" s="59">
        <v>-134.059</v>
      </c>
      <c r="BY287" s="59"/>
      <c r="BZ287" s="59"/>
      <c r="CA287" s="59"/>
      <c r="CC287" s="59"/>
    </row>
    <row r="288" spans="1:81" x14ac:dyDescent="0.25">
      <c r="A288">
        <f t="shared" si="211"/>
        <v>370000</v>
      </c>
      <c r="B288">
        <f t="shared" si="243"/>
        <v>370</v>
      </c>
      <c r="C288">
        <f t="shared" si="212"/>
        <v>3.2275326413888905</v>
      </c>
      <c r="D288">
        <f t="shared" si="213"/>
        <v>1.2557776785218453</v>
      </c>
      <c r="F288">
        <f t="shared" si="214"/>
        <v>1.8725290516955007E-4</v>
      </c>
      <c r="G288">
        <f t="shared" si="215"/>
        <v>4.6553147231187851E-3</v>
      </c>
      <c r="H288">
        <f t="shared" si="216"/>
        <v>-3.1369373352768815</v>
      </c>
      <c r="J288">
        <f t="shared" si="217"/>
        <v>15</v>
      </c>
      <c r="M288">
        <f t="shared" si="218"/>
        <v>4.0381188424407789E-3</v>
      </c>
      <c r="N288">
        <f t="shared" si="219"/>
        <v>-1.5707963250000001</v>
      </c>
      <c r="O288">
        <f t="shared" si="220"/>
        <v>94.628420962175099</v>
      </c>
      <c r="P288">
        <f t="shared" si="221"/>
        <v>1.5602284804406636</v>
      </c>
      <c r="Q288">
        <f t="shared" si="222"/>
        <v>80.092539669894848</v>
      </c>
      <c r="R288">
        <f t="shared" si="223"/>
        <v>1.5583104449953147</v>
      </c>
      <c r="S288">
        <f t="shared" si="224"/>
        <v>0.31435166153878807</v>
      </c>
      <c r="T288">
        <f t="shared" si="225"/>
        <v>-1.2510227100654745</v>
      </c>
      <c r="U288">
        <f t="shared" si="226"/>
        <v>0.39074372342205893</v>
      </c>
      <c r="V288">
        <f t="shared" si="227"/>
        <v>-1.1693569161605322</v>
      </c>
      <c r="X288">
        <f t="shared" si="244"/>
        <v>-29.350180164999916</v>
      </c>
      <c r="Y288">
        <f t="shared" si="228"/>
        <v>-157.78092772725054</v>
      </c>
      <c r="Z288">
        <f t="shared" si="245"/>
        <v>22.219072272749457</v>
      </c>
      <c r="AC288">
        <v>1</v>
      </c>
      <c r="AD288">
        <f t="shared" si="229"/>
        <v>94.623136989822001</v>
      </c>
      <c r="AE288">
        <f t="shared" si="230"/>
        <v>-2.6397340829820513E-2</v>
      </c>
      <c r="AF288">
        <f t="shared" si="231"/>
        <v>1.120543266402E-2</v>
      </c>
      <c r="AG288">
        <f t="shared" si="246"/>
        <v>1257.1976270650887</v>
      </c>
      <c r="AH288">
        <f t="shared" si="247"/>
        <v>-3050.9017614152622</v>
      </c>
      <c r="AJ288">
        <f t="shared" si="232"/>
        <v>22100</v>
      </c>
      <c r="AK288">
        <f t="shared" si="233"/>
        <v>66739.510451331909</v>
      </c>
      <c r="AL288">
        <v>1</v>
      </c>
      <c r="AM288">
        <f t="shared" si="234"/>
        <v>80.086296647889014</v>
      </c>
      <c r="AN288">
        <f t="shared" si="248"/>
        <v>836.66018533540966</v>
      </c>
      <c r="AO288">
        <f t="shared" si="249"/>
        <v>-265.50534491751989</v>
      </c>
      <c r="AQ288">
        <f t="shared" si="235"/>
        <v>1.8261471399796569E-2</v>
      </c>
      <c r="AR288">
        <f t="shared" si="236"/>
        <v>-13.51348883584946</v>
      </c>
      <c r="AT288">
        <f t="shared" si="261"/>
        <v>-41205.368613648061</v>
      </c>
      <c r="AU288">
        <f t="shared" si="262"/>
        <v>-17044.840053060183</v>
      </c>
      <c r="AV288">
        <f t="shared" si="250"/>
        <v>-2.7493697387809002</v>
      </c>
      <c r="AW288">
        <f t="shared" si="251"/>
        <v>-1419.9542254506855</v>
      </c>
      <c r="AX288">
        <f t="shared" si="252"/>
        <v>-15329.45319557402</v>
      </c>
      <c r="AY288">
        <f t="shared" si="260"/>
        <v>-1.6631619084424014</v>
      </c>
      <c r="BA288">
        <f t="shared" si="237"/>
        <v>2.8964829961152074</v>
      </c>
      <c r="BB288">
        <f t="shared" si="253"/>
        <v>9.2374196660920784</v>
      </c>
      <c r="BC288">
        <f t="shared" si="254"/>
        <v>-1.0862078303384988</v>
      </c>
      <c r="BD288">
        <f t="shared" si="238"/>
        <v>-242.23512442357216</v>
      </c>
      <c r="BF288">
        <f t="shared" si="239"/>
        <v>-31.614771002238719</v>
      </c>
      <c r="BG288">
        <f t="shared" si="240"/>
        <v>-170.01763346907379</v>
      </c>
      <c r="BH288">
        <f t="shared" si="255"/>
        <v>9.982366530926214</v>
      </c>
      <c r="BI288">
        <f t="shared" si="256"/>
        <v>9.982366530926214</v>
      </c>
      <c r="BJ288">
        <f t="shared" si="241"/>
        <v>0</v>
      </c>
      <c r="BK288">
        <f t="shared" si="257"/>
        <v>0</v>
      </c>
      <c r="BM288">
        <f t="shared" si="258"/>
        <v>-40.852190668330799</v>
      </c>
      <c r="BN288">
        <f t="shared" si="242"/>
        <v>-107.78250904550164</v>
      </c>
      <c r="BQ288" s="56">
        <f t="shared" si="259"/>
        <v>26.139380466377212</v>
      </c>
      <c r="BR288" s="59"/>
      <c r="BS288" s="59"/>
      <c r="BT288" s="59">
        <v>60255.959000000003</v>
      </c>
      <c r="BU288" s="59">
        <v>2.1075200000000001</v>
      </c>
      <c r="BV288" s="59">
        <v>-133.65100000000001</v>
      </c>
      <c r="BY288" s="59"/>
      <c r="BZ288" s="59"/>
      <c r="CA288" s="59"/>
      <c r="CC288" s="59"/>
    </row>
    <row r="289" spans="1:81" x14ac:dyDescent="0.25">
      <c r="A289">
        <f t="shared" si="211"/>
        <v>375000</v>
      </c>
      <c r="B289">
        <f t="shared" si="243"/>
        <v>375</v>
      </c>
      <c r="C289">
        <f t="shared" si="212"/>
        <v>3.2669862643422913</v>
      </c>
      <c r="D289">
        <f t="shared" si="213"/>
        <v>1.2597105247967653</v>
      </c>
      <c r="F289">
        <f t="shared" si="214"/>
        <v>1.8229192659439207E-4</v>
      </c>
      <c r="G289">
        <f t="shared" si="215"/>
        <v>4.5932218221966161E-3</v>
      </c>
      <c r="H289">
        <f t="shared" si="216"/>
        <v>-3.1369994281778038</v>
      </c>
      <c r="J289">
        <f t="shared" si="217"/>
        <v>15</v>
      </c>
      <c r="M289">
        <f t="shared" si="218"/>
        <v>3.9842772578749025E-3</v>
      </c>
      <c r="N289">
        <f t="shared" si="219"/>
        <v>-1.5707963250000001</v>
      </c>
      <c r="O289">
        <f t="shared" si="220"/>
        <v>95.907041553469099</v>
      </c>
      <c r="P289">
        <f t="shared" si="221"/>
        <v>1.5603693747770542</v>
      </c>
      <c r="Q289">
        <f t="shared" si="222"/>
        <v>81.174703687959138</v>
      </c>
      <c r="R289">
        <f t="shared" si="223"/>
        <v>1.5584769064619532</v>
      </c>
      <c r="S289">
        <f t="shared" si="224"/>
        <v>0.31056703501387956</v>
      </c>
      <c r="T289">
        <f t="shared" si="225"/>
        <v>-1.2550068197684578</v>
      </c>
      <c r="U289">
        <f t="shared" si="226"/>
        <v>0.38631579496549823</v>
      </c>
      <c r="V289">
        <f t="shared" si="227"/>
        <v>-1.1741623873428813</v>
      </c>
      <c r="X289">
        <f t="shared" si="244"/>
        <v>-29.565508350263421</v>
      </c>
      <c r="Y289">
        <f t="shared" si="228"/>
        <v>-158.04514559378237</v>
      </c>
      <c r="Z289">
        <f t="shared" si="245"/>
        <v>21.954854406217635</v>
      </c>
      <c r="AC289">
        <v>1</v>
      </c>
      <c r="AD289">
        <f t="shared" si="229"/>
        <v>95.901828030225005</v>
      </c>
      <c r="AE289">
        <f t="shared" si="230"/>
        <v>-2.71156030255187E-2</v>
      </c>
      <c r="AF289">
        <f t="shared" si="231"/>
        <v>1.1356857429749999E-2</v>
      </c>
      <c r="AG289">
        <f t="shared" si="246"/>
        <v>1228.8658111560762</v>
      </c>
      <c r="AH289">
        <f t="shared" si="247"/>
        <v>-3022.0893164541303</v>
      </c>
      <c r="AJ289">
        <f t="shared" si="232"/>
        <v>22100</v>
      </c>
      <c r="AK289">
        <f t="shared" si="233"/>
        <v>67641.395727701267</v>
      </c>
      <c r="AL289">
        <v>1</v>
      </c>
      <c r="AM289">
        <f t="shared" si="234"/>
        <v>81.16854389988751</v>
      </c>
      <c r="AN289">
        <f t="shared" si="248"/>
        <v>836.57238162175418</v>
      </c>
      <c r="AO289">
        <f t="shared" si="249"/>
        <v>-261.96635539753368</v>
      </c>
      <c r="AQ289">
        <f t="shared" si="235"/>
        <v>1.7777746172895691E-2</v>
      </c>
      <c r="AR289">
        <f t="shared" si="236"/>
        <v>-13.333309629671769</v>
      </c>
      <c r="AT289">
        <f t="shared" si="261"/>
        <v>-40272.606120334749</v>
      </c>
      <c r="AU289">
        <f t="shared" si="262"/>
        <v>-16438.57429024146</v>
      </c>
      <c r="AV289">
        <f t="shared" si="250"/>
        <v>-2.7540523336124094</v>
      </c>
      <c r="AW289">
        <f t="shared" si="251"/>
        <v>-1355.084778187671</v>
      </c>
      <c r="AX289">
        <f t="shared" si="252"/>
        <v>-15136.176231708121</v>
      </c>
      <c r="AY289">
        <f t="shared" si="260"/>
        <v>-1.6600845167650831</v>
      </c>
      <c r="BA289">
        <f t="shared" si="237"/>
        <v>2.862354864853613</v>
      </c>
      <c r="BB289">
        <f t="shared" si="253"/>
        <v>9.1344695017803641</v>
      </c>
      <c r="BC289">
        <f t="shared" si="254"/>
        <v>-1.0939678168473264</v>
      </c>
      <c r="BD289">
        <f t="shared" si="238"/>
        <v>-242.67973890011447</v>
      </c>
      <c r="BF289">
        <f t="shared" si="239"/>
        <v>-31.845410448274883</v>
      </c>
      <c r="BG289">
        <f t="shared" si="240"/>
        <v>-170.2404701134966</v>
      </c>
      <c r="BH289">
        <f t="shared" si="255"/>
        <v>9.759529886503401</v>
      </c>
      <c r="BI289">
        <f t="shared" si="256"/>
        <v>9.759529886503401</v>
      </c>
      <c r="BJ289">
        <f t="shared" si="241"/>
        <v>0</v>
      </c>
      <c r="BK289">
        <f t="shared" si="257"/>
        <v>0</v>
      </c>
      <c r="BM289">
        <f t="shared" si="258"/>
        <v>-40.979879950055249</v>
      </c>
      <c r="BN289">
        <f t="shared" si="242"/>
        <v>-107.56073121338214</v>
      </c>
      <c r="BQ289" s="56">
        <f t="shared" si="259"/>
        <v>26.036430302065501</v>
      </c>
      <c r="BR289" s="59"/>
      <c r="BS289" s="59"/>
      <c r="BT289" s="59">
        <v>61659.5</v>
      </c>
      <c r="BU289" s="59">
        <v>2.2781099999999999</v>
      </c>
      <c r="BV289" s="59">
        <v>-133.24799999999999</v>
      </c>
      <c r="BY289" s="59"/>
      <c r="BZ289" s="59"/>
      <c r="CA289" s="59"/>
      <c r="CC289" s="59"/>
    </row>
    <row r="290" spans="1:81" x14ac:dyDescent="0.25">
      <c r="A290">
        <f t="shared" si="211"/>
        <v>380000</v>
      </c>
      <c r="B290">
        <f t="shared" si="243"/>
        <v>380</v>
      </c>
      <c r="C290">
        <f t="shared" si="212"/>
        <v>3.3064892123376839</v>
      </c>
      <c r="D290">
        <f t="shared" si="213"/>
        <v>1.263549457080106</v>
      </c>
      <c r="F290">
        <f t="shared" si="214"/>
        <v>1.7752552884183433E-4</v>
      </c>
      <c r="G290">
        <f t="shared" si="215"/>
        <v>4.532763797983781E-3</v>
      </c>
      <c r="H290">
        <f t="shared" si="216"/>
        <v>-3.1370598862020165</v>
      </c>
      <c r="J290">
        <f t="shared" si="217"/>
        <v>15</v>
      </c>
      <c r="M290">
        <f t="shared" si="218"/>
        <v>3.9318525571133906E-3</v>
      </c>
      <c r="N290">
        <f t="shared" si="219"/>
        <v>-1.5707963250000001</v>
      </c>
      <c r="O290">
        <f t="shared" si="220"/>
        <v>97.185663998537834</v>
      </c>
      <c r="P290">
        <f t="shared" si="221"/>
        <v>1.5605065617655907</v>
      </c>
      <c r="Q290">
        <f t="shared" si="222"/>
        <v>82.256869896144067</v>
      </c>
      <c r="R290">
        <f t="shared" si="223"/>
        <v>1.5586389880198084</v>
      </c>
      <c r="S290">
        <f t="shared" si="224"/>
        <v>0.30686775571079583</v>
      </c>
      <c r="T290">
        <f t="shared" si="225"/>
        <v>-1.2588960775662443</v>
      </c>
      <c r="U290">
        <f t="shared" si="226"/>
        <v>0.38197857061146617</v>
      </c>
      <c r="V290">
        <f t="shared" si="227"/>
        <v>-1.1788600615214271</v>
      </c>
      <c r="X290">
        <f t="shared" si="244"/>
        <v>-29.778379004314274</v>
      </c>
      <c r="Y290">
        <f t="shared" si="228"/>
        <v>-158.30350310259126</v>
      </c>
      <c r="Z290">
        <f t="shared" si="245"/>
        <v>21.696496897408736</v>
      </c>
      <c r="AC290">
        <v>1</v>
      </c>
      <c r="AD290">
        <f t="shared" si="229"/>
        <v>97.180519070627994</v>
      </c>
      <c r="AE290">
        <f t="shared" si="230"/>
        <v>-2.784350632451485E-2</v>
      </c>
      <c r="AF290">
        <f t="shared" si="231"/>
        <v>1.150828219548E-2</v>
      </c>
      <c r="AG290">
        <f t="shared" si="246"/>
        <v>1201.4273931906826</v>
      </c>
      <c r="AH290">
        <f t="shared" si="247"/>
        <v>-2993.6658343572358</v>
      </c>
      <c r="AJ290">
        <f t="shared" si="232"/>
        <v>22100</v>
      </c>
      <c r="AK290">
        <f t="shared" si="233"/>
        <v>68543.28100407061</v>
      </c>
      <c r="AL290">
        <v>1</v>
      </c>
      <c r="AM290">
        <f t="shared" si="234"/>
        <v>82.25079115188602</v>
      </c>
      <c r="AN290">
        <f t="shared" si="248"/>
        <v>836.48802030788977</v>
      </c>
      <c r="AO290">
        <f t="shared" si="249"/>
        <v>-258.52045532822251</v>
      </c>
      <c r="AQ290">
        <f t="shared" si="235"/>
        <v>1.7312989416569571E-2</v>
      </c>
      <c r="AR290">
        <f t="shared" si="236"/>
        <v>-13.157871956592873</v>
      </c>
      <c r="AT290">
        <f t="shared" si="261"/>
        <v>-39369.471429556186</v>
      </c>
      <c r="AU290">
        <f t="shared" si="262"/>
        <v>-15860.057109653133</v>
      </c>
      <c r="AV290">
        <f t="shared" si="250"/>
        <v>-2.758630364631288</v>
      </c>
      <c r="AW290">
        <f t="shared" si="251"/>
        <v>-1292.9858376715254</v>
      </c>
      <c r="AX290">
        <f t="shared" si="252"/>
        <v>-14947.649406813685</v>
      </c>
      <c r="AY290">
        <f t="shared" si="260"/>
        <v>-1.6570824924997307</v>
      </c>
      <c r="BA290">
        <f t="shared" si="237"/>
        <v>2.8289488458305039</v>
      </c>
      <c r="BB290">
        <f t="shared" si="253"/>
        <v>9.0325018888754389</v>
      </c>
      <c r="BC290">
        <f t="shared" si="254"/>
        <v>-1.1015478721315572</v>
      </c>
      <c r="BD290">
        <f t="shared" si="238"/>
        <v>-243.11404407687303</v>
      </c>
      <c r="BF290">
        <f t="shared" si="239"/>
        <v>-32.073114426122594</v>
      </c>
      <c r="BG290">
        <f t="shared" si="240"/>
        <v>-170.4582846619609</v>
      </c>
      <c r="BH290">
        <f t="shared" si="255"/>
        <v>9.5417153380390971</v>
      </c>
      <c r="BI290">
        <f t="shared" si="256"/>
        <v>9.5417153380390971</v>
      </c>
      <c r="BJ290">
        <f t="shared" si="241"/>
        <v>0</v>
      </c>
      <c r="BK290">
        <f t="shared" si="257"/>
        <v>0</v>
      </c>
      <c r="BM290">
        <f t="shared" si="258"/>
        <v>-41.105616314998031</v>
      </c>
      <c r="BN290">
        <f t="shared" si="242"/>
        <v>-107.3442405850879</v>
      </c>
      <c r="BQ290" s="56">
        <f t="shared" si="259"/>
        <v>25.934462689160576</v>
      </c>
      <c r="BR290" s="59"/>
      <c r="BS290" s="59"/>
      <c r="BT290" s="59">
        <v>63095.733999999997</v>
      </c>
      <c r="BU290" s="59">
        <v>2.4499300000000002</v>
      </c>
      <c r="BV290" s="59">
        <v>-132.86600000000001</v>
      </c>
      <c r="BY290" s="59"/>
      <c r="BZ290" s="59"/>
      <c r="CA290" s="59"/>
      <c r="CC290" s="59"/>
    </row>
    <row r="291" spans="1:81" x14ac:dyDescent="0.25">
      <c r="A291">
        <f t="shared" si="211"/>
        <v>385000</v>
      </c>
      <c r="B291">
        <f t="shared" si="243"/>
        <v>385</v>
      </c>
      <c r="C291">
        <f t="shared" si="212"/>
        <v>3.3460397383987521</v>
      </c>
      <c r="D291">
        <f t="shared" si="213"/>
        <v>1.2672976903891899</v>
      </c>
      <c r="F291">
        <f t="shared" si="214"/>
        <v>1.7294366696524535E-4</v>
      </c>
      <c r="G291">
        <f t="shared" si="215"/>
        <v>4.4738769105223388E-3</v>
      </c>
      <c r="H291">
        <f t="shared" si="216"/>
        <v>-3.1371187730894778</v>
      </c>
      <c r="J291">
        <f t="shared" si="217"/>
        <v>15</v>
      </c>
      <c r="M291">
        <f t="shared" si="218"/>
        <v>3.8807895368911391E-3</v>
      </c>
      <c r="N291">
        <f t="shared" si="219"/>
        <v>-1.5707963250000001</v>
      </c>
      <c r="O291">
        <f t="shared" si="220"/>
        <v>98.464288225163884</v>
      </c>
      <c r="P291">
        <f t="shared" si="221"/>
        <v>1.5606401858281334</v>
      </c>
      <c r="Q291">
        <f t="shared" si="222"/>
        <v>83.339038209132767</v>
      </c>
      <c r="R291">
        <f t="shared" si="223"/>
        <v>1.5587968602812592</v>
      </c>
      <c r="S291">
        <f t="shared" si="224"/>
        <v>0.30325113970701978</v>
      </c>
      <c r="T291">
        <f t="shared" si="225"/>
        <v>-1.262693717329602</v>
      </c>
      <c r="U291">
        <f t="shared" si="226"/>
        <v>0.37772959420610636</v>
      </c>
      <c r="V291">
        <f t="shared" si="227"/>
        <v>-1.183453325108907</v>
      </c>
      <c r="X291">
        <f t="shared" si="244"/>
        <v>-29.988844176870472</v>
      </c>
      <c r="Y291">
        <f t="shared" si="228"/>
        <v>-158.55618096295609</v>
      </c>
      <c r="Z291">
        <f t="shared" si="245"/>
        <v>21.443819037043909</v>
      </c>
      <c r="AC291">
        <v>1</v>
      </c>
      <c r="AD291">
        <f t="shared" si="229"/>
        <v>98.459210111030998</v>
      </c>
      <c r="AE291">
        <f t="shared" si="230"/>
        <v>-2.8581050726808947E-2</v>
      </c>
      <c r="AF291">
        <f t="shared" si="231"/>
        <v>1.1659706961209999E-2</v>
      </c>
      <c r="AG291">
        <f t="shared" si="246"/>
        <v>1174.8476583083925</v>
      </c>
      <c r="AH291">
        <f t="shared" si="247"/>
        <v>-2965.6303227363833</v>
      </c>
      <c r="AJ291">
        <f t="shared" si="232"/>
        <v>22100</v>
      </c>
      <c r="AK291">
        <f t="shared" si="233"/>
        <v>69445.166280439968</v>
      </c>
      <c r="AL291">
        <v>1</v>
      </c>
      <c r="AM291">
        <f t="shared" si="234"/>
        <v>83.333038403884515</v>
      </c>
      <c r="AN291">
        <f t="shared" si="248"/>
        <v>836.40692377742721</v>
      </c>
      <c r="AO291">
        <f t="shared" si="249"/>
        <v>-255.16401997927613</v>
      </c>
      <c r="AQ291">
        <f t="shared" si="235"/>
        <v>1.6866222185491338E-2</v>
      </c>
      <c r="AR291">
        <f t="shared" si="236"/>
        <v>-12.986991082828331</v>
      </c>
      <c r="AT291">
        <f t="shared" si="261"/>
        <v>-38494.799314703581</v>
      </c>
      <c r="AU291">
        <f t="shared" si="262"/>
        <v>-15307.755042076142</v>
      </c>
      <c r="AV291">
        <f t="shared" si="250"/>
        <v>-2.7631070923020054</v>
      </c>
      <c r="AW291">
        <f t="shared" si="251"/>
        <v>-1233.5025565826279</v>
      </c>
      <c r="AX291">
        <f t="shared" si="252"/>
        <v>-14763.699910478621</v>
      </c>
      <c r="AY291">
        <f t="shared" si="260"/>
        <v>-1.6541524197753381</v>
      </c>
      <c r="BA291">
        <f t="shared" si="237"/>
        <v>2.7962453866213073</v>
      </c>
      <c r="BB291">
        <f t="shared" si="253"/>
        <v>8.9315056117115184</v>
      </c>
      <c r="BC291">
        <f t="shared" si="254"/>
        <v>-1.1089546725266672</v>
      </c>
      <c r="BD291">
        <f t="shared" si="238"/>
        <v>-243.53842247969357</v>
      </c>
      <c r="BF291">
        <f t="shared" si="239"/>
        <v>-32.297954054547318</v>
      </c>
      <c r="BG291">
        <f t="shared" si="240"/>
        <v>-170.67127908541926</v>
      </c>
      <c r="BH291">
        <f t="shared" si="255"/>
        <v>9.3287209145807424</v>
      </c>
      <c r="BI291">
        <f t="shared" si="256"/>
        <v>9.3287209145807424</v>
      </c>
      <c r="BJ291">
        <f t="shared" si="241"/>
        <v>0</v>
      </c>
      <c r="BK291">
        <f t="shared" si="257"/>
        <v>0</v>
      </c>
      <c r="BM291">
        <f t="shared" si="258"/>
        <v>-41.22945966625884</v>
      </c>
      <c r="BN291">
        <f t="shared" si="242"/>
        <v>-107.13285660572571</v>
      </c>
      <c r="BQ291" s="56">
        <f t="shared" si="259"/>
        <v>25.833466411996653</v>
      </c>
      <c r="BR291" s="59"/>
      <c r="BS291" s="59"/>
      <c r="BT291" s="59">
        <v>64565.423000000003</v>
      </c>
      <c r="BU291" s="59">
        <v>2.6258699999999999</v>
      </c>
      <c r="BV291" s="59">
        <v>-132.49799999999999</v>
      </c>
      <c r="BY291" s="59"/>
      <c r="BZ291" s="59"/>
      <c r="CA291" s="59"/>
      <c r="CC291" s="59"/>
    </row>
    <row r="292" spans="1:81" x14ac:dyDescent="0.25">
      <c r="A292">
        <f t="shared" si="211"/>
        <v>390000</v>
      </c>
      <c r="B292">
        <f t="shared" si="243"/>
        <v>390</v>
      </c>
      <c r="C292">
        <f t="shared" si="212"/>
        <v>3.3856361751250734</v>
      </c>
      <c r="D292">
        <f t="shared" si="213"/>
        <v>1.2709582998049056</v>
      </c>
      <c r="F292">
        <f t="shared" si="214"/>
        <v>1.6853693597837993E-4</v>
      </c>
      <c r="G292">
        <f t="shared" si="215"/>
        <v>4.4165006913036162E-3</v>
      </c>
      <c r="H292">
        <f t="shared" si="216"/>
        <v>-3.1371761493086967</v>
      </c>
      <c r="J292">
        <f t="shared" si="217"/>
        <v>15</v>
      </c>
      <c r="M292">
        <f t="shared" si="218"/>
        <v>3.8310358248797136E-3</v>
      </c>
      <c r="N292">
        <f t="shared" si="219"/>
        <v>-1.5707963250000001</v>
      </c>
      <c r="O292">
        <f t="shared" si="220"/>
        <v>99.742914164832868</v>
      </c>
      <c r="P292">
        <f t="shared" si="221"/>
        <v>1.5607703839815681</v>
      </c>
      <c r="Q292">
        <f t="shared" si="222"/>
        <v>84.42120854598285</v>
      </c>
      <c r="R292">
        <f t="shared" si="223"/>
        <v>1.558950685111433</v>
      </c>
      <c r="S292">
        <f t="shared" si="224"/>
        <v>0.29971460598676797</v>
      </c>
      <c r="T292">
        <f t="shared" si="225"/>
        <v>-1.2664028329278041</v>
      </c>
      <c r="U292">
        <f t="shared" si="226"/>
        <v>0.37356648246838853</v>
      </c>
      <c r="V292">
        <f t="shared" si="227"/>
        <v>-1.1879454332809727</v>
      </c>
      <c r="X292">
        <f t="shared" si="244"/>
        <v>-30.196954367458716</v>
      </c>
      <c r="Y292">
        <f t="shared" si="228"/>
        <v>-158.80335309911104</v>
      </c>
      <c r="Z292">
        <f t="shared" si="245"/>
        <v>21.196646900888965</v>
      </c>
      <c r="AC292">
        <v>1</v>
      </c>
      <c r="AD292">
        <f t="shared" si="229"/>
        <v>99.737901151434002</v>
      </c>
      <c r="AE292">
        <f t="shared" si="230"/>
        <v>-2.9328236232401023E-2</v>
      </c>
      <c r="AF292">
        <f t="shared" si="231"/>
        <v>1.181113172694E-2</v>
      </c>
      <c r="AG292">
        <f t="shared" si="246"/>
        <v>1149.0934194161498</v>
      </c>
      <c r="AH292">
        <f t="shared" si="247"/>
        <v>-2937.9812248292087</v>
      </c>
      <c r="AJ292">
        <f t="shared" si="232"/>
        <v>22100</v>
      </c>
      <c r="AK292">
        <f t="shared" si="233"/>
        <v>70347.051556809311</v>
      </c>
      <c r="AL292">
        <v>1</v>
      </c>
      <c r="AM292">
        <f t="shared" si="234"/>
        <v>84.415285655883011</v>
      </c>
      <c r="AN292">
        <f t="shared" si="248"/>
        <v>836.32892572293508</v>
      </c>
      <c r="AO292">
        <f t="shared" si="249"/>
        <v>-251.89361037002158</v>
      </c>
      <c r="AQ292">
        <f t="shared" si="235"/>
        <v>1.6436527882104073E-2</v>
      </c>
      <c r="AR292">
        <f t="shared" si="236"/>
        <v>-12.820491748041176</v>
      </c>
      <c r="AT292">
        <f t="shared" si="261"/>
        <v>-37647.476942795402</v>
      </c>
      <c r="AU292">
        <f t="shared" si="262"/>
        <v>-14780.23291167217</v>
      </c>
      <c r="AV292">
        <f t="shared" si="250"/>
        <v>-2.7674856523095626</v>
      </c>
      <c r="AW292">
        <f t="shared" si="251"/>
        <v>-1176.4906603000184</v>
      </c>
      <c r="AX292">
        <f t="shared" si="252"/>
        <v>-14584.163311273813</v>
      </c>
      <c r="AY292">
        <f t="shared" si="260"/>
        <v>-1.6512910765160138</v>
      </c>
      <c r="BA292">
        <f t="shared" si="237"/>
        <v>2.7642254256993288</v>
      </c>
      <c r="BB292">
        <f t="shared" si="253"/>
        <v>8.8314691470187228</v>
      </c>
      <c r="BC292">
        <f t="shared" si="254"/>
        <v>-1.1161945757935487</v>
      </c>
      <c r="BD292">
        <f t="shared" si="238"/>
        <v>-243.95323838144284</v>
      </c>
      <c r="BF292">
        <f t="shared" si="239"/>
        <v>-32.519998060650188</v>
      </c>
      <c r="BG292">
        <f t="shared" si="240"/>
        <v>-170.87964493217191</v>
      </c>
      <c r="BH292">
        <f t="shared" si="255"/>
        <v>9.1203550678280862</v>
      </c>
      <c r="BI292">
        <f t="shared" si="256"/>
        <v>9.1203550678280862</v>
      </c>
      <c r="BJ292">
        <f t="shared" si="241"/>
        <v>0</v>
      </c>
      <c r="BK292">
        <f t="shared" si="257"/>
        <v>0</v>
      </c>
      <c r="BM292">
        <f t="shared" si="258"/>
        <v>-41.351467207668911</v>
      </c>
      <c r="BN292">
        <f t="shared" si="242"/>
        <v>-106.9264065507291</v>
      </c>
      <c r="BQ292" s="56">
        <f t="shared" si="259"/>
        <v>25.733429947303858</v>
      </c>
      <c r="BR292" s="59"/>
      <c r="BS292" s="59"/>
      <c r="BT292" s="59">
        <v>66069.345000000001</v>
      </c>
      <c r="BU292" s="59">
        <v>2.7940900000000002</v>
      </c>
      <c r="BV292" s="59">
        <v>-132.279</v>
      </c>
      <c r="BY292" s="59"/>
      <c r="BZ292" s="59"/>
      <c r="CA292" s="59"/>
      <c r="CC292" s="59"/>
    </row>
    <row r="293" spans="1:81" x14ac:dyDescent="0.25">
      <c r="A293">
        <f t="shared" si="211"/>
        <v>395000</v>
      </c>
      <c r="B293">
        <f t="shared" si="243"/>
        <v>395</v>
      </c>
      <c r="C293">
        <f t="shared" si="212"/>
        <v>3.4252769303256798</v>
      </c>
      <c r="D293">
        <f t="shared" si="213"/>
        <v>1.2745342276991762</v>
      </c>
      <c r="F293">
        <f t="shared" si="214"/>
        <v>1.6429652254310205E-4</v>
      </c>
      <c r="G293">
        <f t="shared" si="215"/>
        <v>4.3605777360107229E-3</v>
      </c>
      <c r="H293">
        <f t="shared" si="216"/>
        <v>-3.1372320722639895</v>
      </c>
      <c r="J293">
        <f t="shared" si="217"/>
        <v>15</v>
      </c>
      <c r="M293">
        <f t="shared" si="218"/>
        <v>3.7825417005141479E-3</v>
      </c>
      <c r="N293">
        <f t="shared" si="219"/>
        <v>-1.5707963250000001</v>
      </c>
      <c r="O293">
        <f t="shared" si="220"/>
        <v>101.02154175249902</v>
      </c>
      <c r="P293">
        <f t="shared" si="221"/>
        <v>1.5608972863063788</v>
      </c>
      <c r="Q293">
        <f t="shared" si="222"/>
        <v>85.503380829849547</v>
      </c>
      <c r="R293">
        <f t="shared" si="223"/>
        <v>1.5591006161816716</v>
      </c>
      <c r="S293">
        <f t="shared" si="224"/>
        <v>0.29625567209606724</v>
      </c>
      <c r="T293">
        <f t="shared" si="225"/>
        <v>-1.270026385408382</v>
      </c>
      <c r="U293">
        <f t="shared" si="226"/>
        <v>0.36948692331525462</v>
      </c>
      <c r="V293">
        <f t="shared" si="227"/>
        <v>-1.1923395157468148</v>
      </c>
      <c r="X293">
        <f t="shared" si="244"/>
        <v>-30.402758584394949</v>
      </c>
      <c r="Y293">
        <f t="shared" si="228"/>
        <v>-159.04518693146062</v>
      </c>
      <c r="Z293">
        <f t="shared" si="245"/>
        <v>20.95481306853938</v>
      </c>
      <c r="AC293">
        <v>1</v>
      </c>
      <c r="AD293">
        <f t="shared" si="229"/>
        <v>101.01659219183699</v>
      </c>
      <c r="AE293">
        <f t="shared" si="230"/>
        <v>-3.0085062841291057E-2</v>
      </c>
      <c r="AF293">
        <f t="shared" si="231"/>
        <v>1.1962556492669999E-2</v>
      </c>
      <c r="AG293">
        <f t="shared" si="246"/>
        <v>1124.1329473185808</v>
      </c>
      <c r="AH293">
        <f t="shared" si="247"/>
        <v>-2910.716483001002</v>
      </c>
      <c r="AJ293">
        <f t="shared" si="232"/>
        <v>22100</v>
      </c>
      <c r="AK293">
        <f t="shared" si="233"/>
        <v>71248.936833178654</v>
      </c>
      <c r="AL293">
        <v>1</v>
      </c>
      <c r="AM293">
        <f t="shared" si="234"/>
        <v>85.497532907881507</v>
      </c>
      <c r="AN293">
        <f t="shared" si="248"/>
        <v>836.25387029279784</v>
      </c>
      <c r="AO293">
        <f t="shared" si="249"/>
        <v>-248.70596152309588</v>
      </c>
      <c r="AQ293">
        <f t="shared" si="235"/>
        <v>1.6023047551598221E-2</v>
      </c>
      <c r="AR293">
        <f t="shared" si="236"/>
        <v>-12.658207565762593</v>
      </c>
      <c r="AT293">
        <f t="shared" si="261"/>
        <v>-36826.441371243964</v>
      </c>
      <c r="AU293">
        <f t="shared" si="262"/>
        <v>-14276.146727287407</v>
      </c>
      <c r="AV293">
        <f t="shared" si="250"/>
        <v>-2.7717690609214976</v>
      </c>
      <c r="AW293">
        <f t="shared" si="251"/>
        <v>-1121.815601868662</v>
      </c>
      <c r="AX293">
        <f t="shared" si="252"/>
        <v>-14408.883043545919</v>
      </c>
      <c r="AY293">
        <f t="shared" si="260"/>
        <v>-1.6484954216234058</v>
      </c>
      <c r="BA293">
        <f t="shared" si="237"/>
        <v>2.7328703967328956</v>
      </c>
      <c r="BB293">
        <f t="shared" si="253"/>
        <v>8.7323807251933658</v>
      </c>
      <c r="BC293">
        <f t="shared" si="254"/>
        <v>-1.1232736392980918</v>
      </c>
      <c r="BD293">
        <f t="shared" si="238"/>
        <v>-244.35883884362173</v>
      </c>
      <c r="BF293">
        <f t="shared" si="239"/>
        <v>-32.739312875565702</v>
      </c>
      <c r="BG293">
        <f t="shared" si="240"/>
        <v>-171.08356396725171</v>
      </c>
      <c r="BH293">
        <f t="shared" si="255"/>
        <v>8.9164360327482939</v>
      </c>
      <c r="BI293">
        <f t="shared" si="256"/>
        <v>8.9164360327482939</v>
      </c>
      <c r="BJ293">
        <f t="shared" si="241"/>
        <v>0</v>
      </c>
      <c r="BK293">
        <f t="shared" si="257"/>
        <v>0</v>
      </c>
      <c r="BM293">
        <f t="shared" si="258"/>
        <v>-41.471693600759068</v>
      </c>
      <c r="BN293">
        <f t="shared" si="242"/>
        <v>-106.72472512363001</v>
      </c>
      <c r="BQ293" s="56">
        <f t="shared" si="259"/>
        <v>25.634341525478504</v>
      </c>
      <c r="BR293" s="59"/>
      <c r="BS293" s="59"/>
      <c r="BT293" s="59">
        <v>67608.297999999995</v>
      </c>
      <c r="BU293" s="59">
        <v>2.9581400000000002</v>
      </c>
      <c r="BV293" s="59">
        <v>-132.03399999999999</v>
      </c>
      <c r="BY293" s="59"/>
      <c r="BZ293" s="59"/>
      <c r="CA293" s="59"/>
      <c r="CC293" s="59"/>
    </row>
    <row r="294" spans="1:81" x14ac:dyDescent="0.25">
      <c r="A294">
        <f t="shared" si="211"/>
        <v>400000</v>
      </c>
      <c r="B294">
        <f t="shared" si="243"/>
        <v>400</v>
      </c>
      <c r="C294">
        <f t="shared" si="212"/>
        <v>3.4649604829291945</v>
      </c>
      <c r="D294">
        <f t="shared" si="213"/>
        <v>1.278028290540659</v>
      </c>
      <c r="F294">
        <f t="shared" si="214"/>
        <v>1.6021416085948014E-4</v>
      </c>
      <c r="G294">
        <f t="shared" si="215"/>
        <v>4.3060535128228595E-3</v>
      </c>
      <c r="H294">
        <f t="shared" si="216"/>
        <v>-3.1372865964871774</v>
      </c>
      <c r="J294">
        <f t="shared" si="217"/>
        <v>15</v>
      </c>
      <c r="M294">
        <f t="shared" si="218"/>
        <v>3.735259929257721E-3</v>
      </c>
      <c r="N294">
        <f t="shared" si="219"/>
        <v>-1.5707963250000001</v>
      </c>
      <c r="O294">
        <f t="shared" si="220"/>
        <v>102.30017092636845</v>
      </c>
      <c r="P294">
        <f t="shared" si="221"/>
        <v>1.5610210163800886</v>
      </c>
      <c r="Q294">
        <f t="shared" si="222"/>
        <v>86.585554987729637</v>
      </c>
      <c r="R294">
        <f t="shared" si="223"/>
        <v>1.5592467994815025</v>
      </c>
      <c r="S294">
        <f t="shared" si="224"/>
        <v>0.29287194997253557</v>
      </c>
      <c r="T294">
        <f t="shared" si="225"/>
        <v>-1.2735672097618995</v>
      </c>
      <c r="U294">
        <f t="shared" si="226"/>
        <v>0.3654886741375703</v>
      </c>
      <c r="V294">
        <f t="shared" si="227"/>
        <v>-1.1966385822551164</v>
      </c>
      <c r="X294">
        <f t="shared" si="244"/>
        <v>-30.606304400946538</v>
      </c>
      <c r="Y294">
        <f t="shared" si="228"/>
        <v>-159.28184364651784</v>
      </c>
      <c r="Z294">
        <f t="shared" si="245"/>
        <v>20.718156353482158</v>
      </c>
      <c r="AC294">
        <v>1</v>
      </c>
      <c r="AD294">
        <f t="shared" si="229"/>
        <v>102.29528323224</v>
      </c>
      <c r="AE294">
        <f t="shared" si="230"/>
        <v>-3.0851530553479053E-2</v>
      </c>
      <c r="AF294">
        <f t="shared" si="231"/>
        <v>1.21139812584E-2</v>
      </c>
      <c r="AG294">
        <f t="shared" si="246"/>
        <v>1099.9359036671433</v>
      </c>
      <c r="AH294">
        <f t="shared" si="247"/>
        <v>-2883.8335963770178</v>
      </c>
      <c r="AJ294">
        <f t="shared" si="232"/>
        <v>22100</v>
      </c>
      <c r="AK294">
        <f t="shared" si="233"/>
        <v>72150.822109547997</v>
      </c>
      <c r="AL294">
        <v>1</v>
      </c>
      <c r="AM294">
        <f t="shared" si="234"/>
        <v>86.579780159880002</v>
      </c>
      <c r="AN294">
        <f t="shared" si="248"/>
        <v>836.18161131221996</v>
      </c>
      <c r="AO294">
        <f t="shared" si="249"/>
        <v>-245.59797159823663</v>
      </c>
      <c r="AQ294">
        <f t="shared" si="235"/>
        <v>1.5624975585975647E-2</v>
      </c>
      <c r="AR294">
        <f t="shared" si="236"/>
        <v>-12.499980468780517</v>
      </c>
      <c r="AT294">
        <f t="shared" si="261"/>
        <v>-36030.67715828486</v>
      </c>
      <c r="AU294">
        <f t="shared" si="262"/>
        <v>-13794.237142287147</v>
      </c>
      <c r="AV294">
        <f t="shared" si="250"/>
        <v>-2.775960220115862</v>
      </c>
      <c r="AW294">
        <f t="shared" si="251"/>
        <v>-1069.351793812499</v>
      </c>
      <c r="AX294">
        <f t="shared" si="252"/>
        <v>-14237.709932568501</v>
      </c>
      <c r="AY294">
        <f t="shared" si="260"/>
        <v>-1.645762583103284</v>
      </c>
      <c r="BA294">
        <f t="shared" si="237"/>
        <v>2.7021622298240846</v>
      </c>
      <c r="BB294">
        <f t="shared" si="253"/>
        <v>8.6342283844855015</v>
      </c>
      <c r="BC294">
        <f t="shared" si="254"/>
        <v>-1.1301976370125779</v>
      </c>
      <c r="BD294">
        <f t="shared" si="238"/>
        <v>-244.75555469047333</v>
      </c>
      <c r="BF294">
        <f t="shared" si="239"/>
        <v>-32.955962726248288</v>
      </c>
      <c r="BG294">
        <f t="shared" si="240"/>
        <v>-171.28320876757758</v>
      </c>
      <c r="BH294">
        <f t="shared" si="255"/>
        <v>8.7167912324224233</v>
      </c>
      <c r="BI294">
        <f t="shared" si="256"/>
        <v>8.7167912324224233</v>
      </c>
      <c r="BJ294">
        <f t="shared" si="241"/>
        <v>0</v>
      </c>
      <c r="BK294">
        <f t="shared" si="257"/>
        <v>0</v>
      </c>
      <c r="BM294">
        <f t="shared" si="258"/>
        <v>-41.590191110733784</v>
      </c>
      <c r="BN294">
        <f t="shared" si="242"/>
        <v>-106.52765407710427</v>
      </c>
      <c r="BQ294" s="56">
        <f t="shared" si="259"/>
        <v>25.536189184770638</v>
      </c>
      <c r="BR294" s="59"/>
      <c r="BS294" s="59"/>
      <c r="BT294" s="59">
        <v>69183.096999999994</v>
      </c>
      <c r="BU294" s="59">
        <v>3.15646</v>
      </c>
      <c r="BV294" s="59">
        <v>-131.40799999999999</v>
      </c>
      <c r="BY294" s="59"/>
      <c r="BZ294" s="59"/>
      <c r="CA294" s="59"/>
      <c r="CC294" s="59"/>
    </row>
    <row r="295" spans="1:81" x14ac:dyDescent="0.25">
      <c r="A295">
        <f t="shared" si="211"/>
        <v>405000</v>
      </c>
      <c r="B295">
        <f t="shared" si="243"/>
        <v>405</v>
      </c>
      <c r="C295">
        <f t="shared" si="212"/>
        <v>3.5046853791509385</v>
      </c>
      <c r="D295">
        <f t="shared" si="213"/>
        <v>1.2814431853053085</v>
      </c>
      <c r="F295">
        <f t="shared" si="214"/>
        <v>1.5628209234561086E-4</v>
      </c>
      <c r="G295">
        <f t="shared" si="215"/>
        <v>4.2528761849349112E-3</v>
      </c>
      <c r="H295">
        <f t="shared" si="216"/>
        <v>-3.1373397738150652</v>
      </c>
      <c r="J295">
        <f t="shared" si="217"/>
        <v>15</v>
      </c>
      <c r="M295">
        <f t="shared" si="218"/>
        <v>3.689145609143428E-3</v>
      </c>
      <c r="N295">
        <f t="shared" si="219"/>
        <v>-1.5707963250000001</v>
      </c>
      <c r="O295">
        <f t="shared" si="220"/>
        <v>103.57880162769847</v>
      </c>
      <c r="P295">
        <f t="shared" si="221"/>
        <v>1.561141691678599</v>
      </c>
      <c r="Q295">
        <f t="shared" si="222"/>
        <v>87.667730950224438</v>
      </c>
      <c r="R295">
        <f t="shared" si="223"/>
        <v>1.5593893737926972</v>
      </c>
      <c r="S295">
        <f t="shared" si="224"/>
        <v>0.28956114194623306</v>
      </c>
      <c r="T295">
        <f t="shared" si="225"/>
        <v>-1.2770280212975924</v>
      </c>
      <c r="U295">
        <f t="shared" si="226"/>
        <v>0.36156956004175139</v>
      </c>
      <c r="V295">
        <f t="shared" si="227"/>
        <v>-1.2008455278461756</v>
      </c>
      <c r="X295">
        <f t="shared" si="244"/>
        <v>-30.807638008851981</v>
      </c>
      <c r="Y295">
        <f t="shared" si="228"/>
        <v>-159.51347845584027</v>
      </c>
      <c r="Z295">
        <f t="shared" si="245"/>
        <v>20.486521544159729</v>
      </c>
      <c r="AC295">
        <v>1</v>
      </c>
      <c r="AD295">
        <f t="shared" si="229"/>
        <v>103.57397427264301</v>
      </c>
      <c r="AE295">
        <f t="shared" si="230"/>
        <v>-3.162763936896501E-2</v>
      </c>
      <c r="AF295">
        <f t="shared" si="231"/>
        <v>1.226540602413E-2</v>
      </c>
      <c r="AG295">
        <f t="shared" si="246"/>
        <v>1076.473276696107</v>
      </c>
      <c r="AH295">
        <f t="shared" si="247"/>
        <v>-2857.3296731249825</v>
      </c>
      <c r="AJ295">
        <f t="shared" si="232"/>
        <v>22100</v>
      </c>
      <c r="AK295">
        <f t="shared" si="233"/>
        <v>73052.707385917354</v>
      </c>
      <c r="AL295">
        <v>1</v>
      </c>
      <c r="AM295">
        <f t="shared" si="234"/>
        <v>87.662027411878512</v>
      </c>
      <c r="AN295">
        <f t="shared" si="248"/>
        <v>836.11201157111043</v>
      </c>
      <c r="AO295">
        <f t="shared" si="249"/>
        <v>-242.56669183021378</v>
      </c>
      <c r="AQ295">
        <f t="shared" si="235"/>
        <v>1.524155579704954E-2</v>
      </c>
      <c r="AR295">
        <f t="shared" si="236"/>
        <v>-12.345660195610128</v>
      </c>
      <c r="AT295">
        <f t="shared" si="261"/>
        <v>-35259.214083723993</v>
      </c>
      <c r="AU295">
        <f t="shared" si="262"/>
        <v>-13333.323433388634</v>
      </c>
      <c r="AV295">
        <f t="shared" si="250"/>
        <v>-2.7800619224833603</v>
      </c>
      <c r="AW295">
        <f t="shared" si="251"/>
        <v>-1018.9819089987842</v>
      </c>
      <c r="AX295">
        <f t="shared" si="252"/>
        <v>-14070.50175465045</v>
      </c>
      <c r="AY295">
        <f t="shared" si="260"/>
        <v>-1.6430898470616846</v>
      </c>
      <c r="BA295">
        <f t="shared" si="237"/>
        <v>2.6720833501834487</v>
      </c>
      <c r="BB295">
        <f t="shared" si="253"/>
        <v>8.5370000188857453</v>
      </c>
      <c r="BC295">
        <f t="shared" si="254"/>
        <v>-1.1369720754216757</v>
      </c>
      <c r="BD295">
        <f t="shared" si="238"/>
        <v>-245.14370142032948</v>
      </c>
      <c r="BF295">
        <f t="shared" si="239"/>
        <v>-33.170009723455266</v>
      </c>
      <c r="BG295">
        <f t="shared" si="240"/>
        <v>-171.47874327617163</v>
      </c>
      <c r="BH295">
        <f t="shared" si="255"/>
        <v>8.5212567238283725</v>
      </c>
      <c r="BI295">
        <f t="shared" si="256"/>
        <v>8.5212567238283725</v>
      </c>
      <c r="BJ295">
        <f t="shared" si="241"/>
        <v>0</v>
      </c>
      <c r="BK295">
        <f t="shared" si="257"/>
        <v>0</v>
      </c>
      <c r="BM295">
        <f t="shared" si="258"/>
        <v>-41.707009742341015</v>
      </c>
      <c r="BN295">
        <f t="shared" si="242"/>
        <v>-106.33504185584219</v>
      </c>
      <c r="BQ295" s="56">
        <f t="shared" si="259"/>
        <v>25.43896081917088</v>
      </c>
      <c r="BR295" s="59"/>
      <c r="BS295" s="59"/>
      <c r="BT295" s="59">
        <v>70794.577999999994</v>
      </c>
      <c r="BU295" s="59">
        <v>3.32565</v>
      </c>
      <c r="BV295" s="59">
        <v>-131.172</v>
      </c>
      <c r="BY295" s="59"/>
      <c r="BZ295" s="59"/>
      <c r="CA295" s="59"/>
      <c r="CC295" s="59"/>
    </row>
    <row r="296" spans="1:81" x14ac:dyDescent="0.25">
      <c r="A296">
        <f t="shared" si="211"/>
        <v>410000</v>
      </c>
      <c r="B296">
        <f t="shared" si="243"/>
        <v>410</v>
      </c>
      <c r="C296">
        <f t="shared" si="212"/>
        <v>3.5444502288989232</v>
      </c>
      <c r="D296">
        <f t="shared" si="213"/>
        <v>1.2847814955167076</v>
      </c>
      <c r="F296">
        <f t="shared" si="214"/>
        <v>1.5249302873955952E-4</v>
      </c>
      <c r="G296">
        <f t="shared" si="215"/>
        <v>4.2009964460773003E-3</v>
      </c>
      <c r="H296">
        <f t="shared" si="216"/>
        <v>-3.137391653553923</v>
      </c>
      <c r="J296">
        <f t="shared" si="217"/>
        <v>15</v>
      </c>
      <c r="M296">
        <f t="shared" si="218"/>
        <v>3.644156028544118E-3</v>
      </c>
      <c r="N296">
        <f t="shared" si="219"/>
        <v>-1.5707963250000001</v>
      </c>
      <c r="O296">
        <f t="shared" si="220"/>
        <v>104.85743380061157</v>
      </c>
      <c r="P296">
        <f t="shared" si="221"/>
        <v>1.5612594239481699</v>
      </c>
      <c r="Q296">
        <f t="shared" si="222"/>
        <v>88.749908651319998</v>
      </c>
      <c r="R296">
        <f t="shared" si="223"/>
        <v>1.5595284711286534</v>
      </c>
      <c r="S296">
        <f t="shared" si="224"/>
        <v>0.28632103690738203</v>
      </c>
      <c r="T296">
        <f t="shared" si="225"/>
        <v>-1.2804114216540747</v>
      </c>
      <c r="U296">
        <f t="shared" si="226"/>
        <v>0.35772747206988675</v>
      </c>
      <c r="V296">
        <f t="shared" si="227"/>
        <v>-1.2049631378608885</v>
      </c>
      <c r="X296">
        <f t="shared" si="244"/>
        <v>-31.006804269358817</v>
      </c>
      <c r="Y296">
        <f t="shared" si="228"/>
        <v>-159.74024084426222</v>
      </c>
      <c r="Z296">
        <f t="shared" si="245"/>
        <v>20.259759155737783</v>
      </c>
      <c r="AC296">
        <v>1</v>
      </c>
      <c r="AD296">
        <f t="shared" si="229"/>
        <v>104.852665313046</v>
      </c>
      <c r="AE296">
        <f t="shared" si="230"/>
        <v>-3.241338928774893E-2</v>
      </c>
      <c r="AF296">
        <f t="shared" si="231"/>
        <v>1.2416830789860001E-2</v>
      </c>
      <c r="AG296">
        <f t="shared" si="246"/>
        <v>1053.7173196981892</v>
      </c>
      <c r="AH296">
        <f t="shared" si="247"/>
        <v>-2831.2014778625457</v>
      </c>
      <c r="AJ296">
        <f t="shared" si="232"/>
        <v>22100</v>
      </c>
      <c r="AK296">
        <f t="shared" si="233"/>
        <v>73954.592662286712</v>
      </c>
      <c r="AL296">
        <v>1</v>
      </c>
      <c r="AM296">
        <f t="shared" si="234"/>
        <v>88.744274663877007</v>
      </c>
      <c r="AN296">
        <f t="shared" si="248"/>
        <v>836.04494217235947</v>
      </c>
      <c r="AO296">
        <f t="shared" si="249"/>
        <v>-239.6093172023304</v>
      </c>
      <c r="AQ296">
        <f t="shared" si="235"/>
        <v>1.4872077822608831E-2</v>
      </c>
      <c r="AR296">
        <f t="shared" si="236"/>
        <v>-12.195103814539241</v>
      </c>
      <c r="AT296">
        <f t="shared" si="261"/>
        <v>-34511.124976429084</v>
      </c>
      <c r="AU296">
        <f t="shared" si="262"/>
        <v>-12892.297953607707</v>
      </c>
      <c r="AV296">
        <f t="shared" si="250"/>
        <v>-2.784076855911946</v>
      </c>
      <c r="AW296">
        <f t="shared" si="251"/>
        <v>-970.59624362845523</v>
      </c>
      <c r="AX296">
        <f t="shared" si="252"/>
        <v>-13907.122829148799</v>
      </c>
      <c r="AY296">
        <f t="shared" si="260"/>
        <v>-1.6404746475020926</v>
      </c>
      <c r="BA296">
        <f t="shared" si="237"/>
        <v>2.6426166746665203</v>
      </c>
      <c r="BB296">
        <f t="shared" si="253"/>
        <v>8.4406834204046817</v>
      </c>
      <c r="BC296">
        <f t="shared" si="254"/>
        <v>-1.1436022084098534</v>
      </c>
      <c r="BD296">
        <f t="shared" si="238"/>
        <v>-245.52358005859659</v>
      </c>
      <c r="BF296">
        <f t="shared" si="239"/>
        <v>-33.381513946041522</v>
      </c>
      <c r="BG296">
        <f t="shared" si="240"/>
        <v>-171.67032331848381</v>
      </c>
      <c r="BH296">
        <f t="shared" si="255"/>
        <v>8.3296766815161902</v>
      </c>
      <c r="BI296">
        <f t="shared" si="256"/>
        <v>8.3296766815161902</v>
      </c>
      <c r="BJ296">
        <f t="shared" si="241"/>
        <v>0</v>
      </c>
      <c r="BK296">
        <f t="shared" si="257"/>
        <v>0</v>
      </c>
      <c r="BM296">
        <f t="shared" si="258"/>
        <v>-41.822197366446197</v>
      </c>
      <c r="BN296">
        <f t="shared" si="242"/>
        <v>-106.14674325988723</v>
      </c>
      <c r="BQ296" s="56">
        <f t="shared" si="259"/>
        <v>25.34264422068982</v>
      </c>
      <c r="BR296" s="59"/>
      <c r="BS296" s="59"/>
      <c r="BT296" s="59">
        <v>72443.596000000005</v>
      </c>
      <c r="BU296" s="59">
        <v>3.4992100000000002</v>
      </c>
      <c r="BV296" s="59">
        <v>-130.929</v>
      </c>
      <c r="BY296" s="59"/>
      <c r="BZ296" s="59"/>
      <c r="CA296" s="59"/>
      <c r="CC296" s="59"/>
    </row>
    <row r="297" spans="1:81" x14ac:dyDescent="0.25">
      <c r="A297">
        <f t="shared" si="211"/>
        <v>415000</v>
      </c>
      <c r="B297">
        <f t="shared" si="243"/>
        <v>415</v>
      </c>
      <c r="C297">
        <f t="shared" si="212"/>
        <v>3.5842537024020396</v>
      </c>
      <c r="D297">
        <f t="shared" si="213"/>
        <v>1.2880456969394469</v>
      </c>
      <c r="F297">
        <f t="shared" si="214"/>
        <v>1.488401182954422E-4</v>
      </c>
      <c r="G297">
        <f t="shared" si="215"/>
        <v>4.1503673679384049E-3</v>
      </c>
      <c r="H297">
        <f t="shared" si="216"/>
        <v>-3.1374422826320618</v>
      </c>
      <c r="J297">
        <f t="shared" si="217"/>
        <v>15</v>
      </c>
      <c r="M297">
        <f t="shared" si="218"/>
        <v>3.6002505342243095E-3</v>
      </c>
      <c r="N297">
        <f t="shared" si="219"/>
        <v>-1.5707963250000001</v>
      </c>
      <c r="O297">
        <f t="shared" si="220"/>
        <v>106.13606739192279</v>
      </c>
      <c r="P297">
        <f t="shared" si="221"/>
        <v>1.561374319550517</v>
      </c>
      <c r="Q297">
        <f t="shared" si="222"/>
        <v>89.83208802818325</v>
      </c>
      <c r="R297">
        <f t="shared" si="223"/>
        <v>1.5596642171420247</v>
      </c>
      <c r="S297">
        <f t="shared" si="224"/>
        <v>0.28314950663632438</v>
      </c>
      <c r="T297">
        <f t="shared" si="225"/>
        <v>-1.2837199044677705</v>
      </c>
      <c r="U297">
        <f t="shared" si="226"/>
        <v>0.35396036540937387</v>
      </c>
      <c r="V297">
        <f t="shared" si="227"/>
        <v>-1.2089940927170684</v>
      </c>
      <c r="X297">
        <f t="shared" si="244"/>
        <v>-31.203846761927593</v>
      </c>
      <c r="Y297">
        <f t="shared" si="228"/>
        <v>-159.96227480774255</v>
      </c>
      <c r="Z297">
        <f t="shared" si="245"/>
        <v>20.037725192257454</v>
      </c>
      <c r="AC297">
        <v>1</v>
      </c>
      <c r="AD297">
        <f t="shared" si="229"/>
        <v>106.13135635344901</v>
      </c>
      <c r="AE297">
        <f t="shared" si="230"/>
        <v>-3.3208780309830814E-2</v>
      </c>
      <c r="AF297">
        <f t="shared" si="231"/>
        <v>1.2568255555590001E-2</v>
      </c>
      <c r="AG297">
        <f t="shared" si="246"/>
        <v>1031.6414921807866</v>
      </c>
      <c r="AH297">
        <f t="shared" si="247"/>
        <v>-2805.4454746231936</v>
      </c>
      <c r="AJ297">
        <f t="shared" si="232"/>
        <v>22100</v>
      </c>
      <c r="AK297">
        <f t="shared" si="233"/>
        <v>74856.477938656055</v>
      </c>
      <c r="AL297">
        <v>1</v>
      </c>
      <c r="AM297">
        <f t="shared" si="234"/>
        <v>89.826521915875517</v>
      </c>
      <c r="AN297">
        <f t="shared" si="248"/>
        <v>835.98028193472726</v>
      </c>
      <c r="AO297">
        <f t="shared" si="249"/>
        <v>-236.72317779351948</v>
      </c>
      <c r="AQ297">
        <f t="shared" si="235"/>
        <v>1.4515873833830985E-2</v>
      </c>
      <c r="AR297">
        <f t="shared" si="236"/>
        <v>-12.048175282079718</v>
      </c>
      <c r="AT297">
        <f t="shared" si="261"/>
        <v>-33785.523644835324</v>
      </c>
      <c r="AU297">
        <f t="shared" si="262"/>
        <v>-12470.121018617712</v>
      </c>
      <c r="AV297">
        <f t="shared" si="250"/>
        <v>-2.7880076080622032</v>
      </c>
      <c r="AW297">
        <f t="shared" si="251"/>
        <v>-924.09213619097807</v>
      </c>
      <c r="AX297">
        <f t="shared" si="252"/>
        <v>-13747.443639641606</v>
      </c>
      <c r="AY297">
        <f t="shared" si="260"/>
        <v>-1.6379145568607247</v>
      </c>
      <c r="BA297">
        <f t="shared" si="237"/>
        <v>2.6137456065384908</v>
      </c>
      <c r="BB297">
        <f t="shared" si="253"/>
        <v>8.3452663163600462</v>
      </c>
      <c r="BC297">
        <f t="shared" si="254"/>
        <v>-1.1500930512014784</v>
      </c>
      <c r="BD297">
        <f t="shared" si="238"/>
        <v>-245.89547795646456</v>
      </c>
      <c r="BF297">
        <f t="shared" si="239"/>
        <v>-33.590533521686645</v>
      </c>
      <c r="BG297">
        <f t="shared" si="240"/>
        <v>-171.85809708363584</v>
      </c>
      <c r="BH297">
        <f t="shared" si="255"/>
        <v>8.1419029163641596</v>
      </c>
      <c r="BI297">
        <f t="shared" si="256"/>
        <v>8.1419029163641596</v>
      </c>
      <c r="BJ297">
        <f t="shared" si="241"/>
        <v>0</v>
      </c>
      <c r="BK297">
        <f t="shared" si="257"/>
        <v>0</v>
      </c>
      <c r="BM297">
        <f t="shared" si="258"/>
        <v>-41.935799838046691</v>
      </c>
      <c r="BN297">
        <f t="shared" si="242"/>
        <v>-105.96261912717125</v>
      </c>
      <c r="BQ297" s="56">
        <f t="shared" si="259"/>
        <v>25.247227116645185</v>
      </c>
      <c r="BR297" s="59"/>
      <c r="BS297" s="59"/>
      <c r="BT297" s="59">
        <v>74131.024000000005</v>
      </c>
      <c r="BU297" s="59">
        <v>3.6540400000000002</v>
      </c>
      <c r="BV297" s="59">
        <v>-130.88900000000001</v>
      </c>
      <c r="BY297" s="59"/>
      <c r="BZ297" s="59"/>
      <c r="CA297" s="59"/>
      <c r="CC297" s="59"/>
    </row>
    <row r="298" spans="1:81" x14ac:dyDescent="0.25">
      <c r="A298">
        <f t="shared" si="211"/>
        <v>420000</v>
      </c>
      <c r="B298">
        <f t="shared" si="243"/>
        <v>420</v>
      </c>
      <c r="C298">
        <f t="shared" si="212"/>
        <v>3.6240945270450191</v>
      </c>
      <c r="D298">
        <f t="shared" si="213"/>
        <v>1.2912381629473078</v>
      </c>
      <c r="F298">
        <f t="shared" si="214"/>
        <v>1.4531691478062082E-4</v>
      </c>
      <c r="G298">
        <f t="shared" si="215"/>
        <v>4.1009442584964704E-3</v>
      </c>
      <c r="H298">
        <f t="shared" si="216"/>
        <v>-3.1374917057415037</v>
      </c>
      <c r="J298">
        <f t="shared" si="217"/>
        <v>15</v>
      </c>
      <c r="M298">
        <f t="shared" si="218"/>
        <v>3.5573904088168767E-3</v>
      </c>
      <c r="N298">
        <f t="shared" si="219"/>
        <v>-1.5707963250000001</v>
      </c>
      <c r="O298">
        <f t="shared" si="220"/>
        <v>107.41470235097954</v>
      </c>
      <c r="P298">
        <f t="shared" si="221"/>
        <v>1.5614864797832613</v>
      </c>
      <c r="Q298">
        <f t="shared" si="222"/>
        <v>90.914269020972725</v>
      </c>
      <c r="R298">
        <f t="shared" si="223"/>
        <v>1.5597967315032408</v>
      </c>
      <c r="S298">
        <f t="shared" si="224"/>
        <v>0.28004450229077199</v>
      </c>
      <c r="T298">
        <f t="shared" si="225"/>
        <v>-1.2869558607202749</v>
      </c>
      <c r="U298">
        <f t="shared" si="226"/>
        <v>0.35026625760149432</v>
      </c>
      <c r="V298">
        <f t="shared" si="227"/>
        <v>-1.2129409724633413</v>
      </c>
      <c r="X298">
        <f t="shared" si="244"/>
        <v>-31.398807830737454</v>
      </c>
      <c r="Y298">
        <f t="shared" si="228"/>
        <v>-160.17971908115959</v>
      </c>
      <c r="Z298">
        <f t="shared" si="245"/>
        <v>19.82028091884041</v>
      </c>
      <c r="AC298">
        <v>1</v>
      </c>
      <c r="AD298">
        <f t="shared" si="229"/>
        <v>107.410047393852</v>
      </c>
      <c r="AE298">
        <f t="shared" si="230"/>
        <v>-3.4013812435210664E-2</v>
      </c>
      <c r="AF298">
        <f t="shared" si="231"/>
        <v>1.2719680321320001E-2</v>
      </c>
      <c r="AG298">
        <f t="shared" si="246"/>
        <v>1010.2204036344662</v>
      </c>
      <c r="AH298">
        <f t="shared" si="247"/>
        <v>-2780.0578657762885</v>
      </c>
      <c r="AJ298">
        <f t="shared" si="232"/>
        <v>22100</v>
      </c>
      <c r="AK298">
        <f t="shared" si="233"/>
        <v>75758.363215025413</v>
      </c>
      <c r="AL298">
        <v>1</v>
      </c>
      <c r="AM298">
        <f t="shared" si="234"/>
        <v>90.908769167874013</v>
      </c>
      <c r="AN298">
        <f t="shared" si="248"/>
        <v>835.91791684517796</v>
      </c>
      <c r="AO298">
        <f t="shared" si="249"/>
        <v>-233.90573074296202</v>
      </c>
      <c r="AQ298">
        <f t="shared" si="235"/>
        <v>1.4172315515425856E-2</v>
      </c>
      <c r="AR298">
        <f t="shared" si="236"/>
        <v>-11.90474503295772</v>
      </c>
      <c r="AT298">
        <f t="shared" si="261"/>
        <v>-33081.562906634877</v>
      </c>
      <c r="AU298">
        <f t="shared" si="262"/>
        <v>-12065.816189584879</v>
      </c>
      <c r="AV298">
        <f t="shared" si="250"/>
        <v>-2.7918566706417907</v>
      </c>
      <c r="AW298">
        <f t="shared" si="251"/>
        <v>-879.3734368942562</v>
      </c>
      <c r="AX298">
        <f t="shared" si="252"/>
        <v>-13591.340481789466</v>
      </c>
      <c r="AY298">
        <f t="shared" si="260"/>
        <v>-1.6354072772221198</v>
      </c>
      <c r="BA298">
        <f t="shared" si="237"/>
        <v>2.5854540287821037</v>
      </c>
      <c r="BB298">
        <f t="shared" si="253"/>
        <v>8.2507364022178216</v>
      </c>
      <c r="BC298">
        <f t="shared" si="254"/>
        <v>-1.1564493934196709</v>
      </c>
      <c r="BD298">
        <f t="shared" si="238"/>
        <v>-246.25966953912399</v>
      </c>
      <c r="BF298">
        <f t="shared" si="239"/>
        <v>-33.797124704178742</v>
      </c>
      <c r="BG298">
        <f t="shared" si="240"/>
        <v>-172.04220557318146</v>
      </c>
      <c r="BH298">
        <f t="shared" si="255"/>
        <v>7.9577944268185377</v>
      </c>
      <c r="BI298">
        <f t="shared" si="256"/>
        <v>7.9577944268185377</v>
      </c>
      <c r="BJ298">
        <f t="shared" si="241"/>
        <v>0</v>
      </c>
      <c r="BK298">
        <f t="shared" si="257"/>
        <v>0</v>
      </c>
      <c r="BM298">
        <f t="shared" si="258"/>
        <v>-42.047861106396567</v>
      </c>
      <c r="BN298">
        <f t="shared" si="242"/>
        <v>-105.78253603405751</v>
      </c>
      <c r="BQ298" s="56">
        <f t="shared" si="259"/>
        <v>25.152697202502956</v>
      </c>
      <c r="BR298" s="59"/>
      <c r="BS298" s="59"/>
      <c r="BT298" s="59">
        <v>75857.758000000002</v>
      </c>
      <c r="BU298" s="59">
        <v>3.8307899999999999</v>
      </c>
      <c r="BV298" s="59">
        <v>-130.62200000000001</v>
      </c>
      <c r="BY298" s="59"/>
      <c r="BZ298" s="59"/>
      <c r="CA298" s="59"/>
      <c r="CC298" s="59"/>
    </row>
    <row r="299" spans="1:81" x14ac:dyDescent="0.25">
      <c r="A299">
        <f t="shared" si="211"/>
        <v>425000</v>
      </c>
      <c r="B299">
        <f t="shared" si="243"/>
        <v>425</v>
      </c>
      <c r="C299">
        <f t="shared" si="212"/>
        <v>3.6639714843959181</v>
      </c>
      <c r="D299">
        <f t="shared" si="213"/>
        <v>1.2943611695865824</v>
      </c>
      <c r="F299">
        <f t="shared" si="214"/>
        <v>1.4191734901183617E-4</v>
      </c>
      <c r="G299">
        <f t="shared" si="215"/>
        <v>4.0526845303615906E-3</v>
      </c>
      <c r="H299">
        <f t="shared" si="216"/>
        <v>-3.1375399654696388</v>
      </c>
      <c r="J299">
        <f t="shared" si="217"/>
        <v>15</v>
      </c>
      <c r="M299">
        <f t="shared" si="218"/>
        <v>3.5155387569484431E-3</v>
      </c>
      <c r="N299">
        <f t="shared" si="219"/>
        <v>-1.5707963250000001</v>
      </c>
      <c r="O299">
        <f t="shared" si="220"/>
        <v>108.69333862951261</v>
      </c>
      <c r="P299">
        <f t="shared" si="221"/>
        <v>1.5615960011777659</v>
      </c>
      <c r="Q299">
        <f t="shared" si="222"/>
        <v>91.996451572662608</v>
      </c>
      <c r="R299">
        <f t="shared" si="223"/>
        <v>1.5599261282523182</v>
      </c>
      <c r="S299">
        <f t="shared" si="224"/>
        <v>0.27700405104518577</v>
      </c>
      <c r="T299">
        <f t="shared" si="225"/>
        <v>-1.2901215837844868</v>
      </c>
      <c r="U299">
        <f t="shared" si="226"/>
        <v>0.34664322675696296</v>
      </c>
      <c r="V299">
        <f t="shared" si="227"/>
        <v>-1.2168062611205683</v>
      </c>
      <c r="X299">
        <f t="shared" si="244"/>
        <v>-31.591728629118844</v>
      </c>
      <c r="Y299">
        <f t="shared" si="228"/>
        <v>-160.39270735639292</v>
      </c>
      <c r="Z299">
        <f t="shared" si="245"/>
        <v>19.607292643607082</v>
      </c>
      <c r="AC299">
        <v>1</v>
      </c>
      <c r="AD299">
        <f t="shared" si="229"/>
        <v>108.688738434255</v>
      </c>
      <c r="AE299">
        <f t="shared" si="230"/>
        <v>-3.4828485663888464E-2</v>
      </c>
      <c r="AF299">
        <f t="shared" si="231"/>
        <v>1.287110508705E-2</v>
      </c>
      <c r="AG299">
        <f t="shared" si="246"/>
        <v>989.42975983834936</v>
      </c>
      <c r="AH299">
        <f t="shared" si="247"/>
        <v>-2755.0346272622896</v>
      </c>
      <c r="AJ299">
        <f t="shared" si="232"/>
        <v>22100</v>
      </c>
      <c r="AK299">
        <f t="shared" si="233"/>
        <v>76660.248491394756</v>
      </c>
      <c r="AL299">
        <v>1</v>
      </c>
      <c r="AM299">
        <f t="shared" si="234"/>
        <v>91.991016419872508</v>
      </c>
      <c r="AN299">
        <f t="shared" si="248"/>
        <v>835.85773955602883</v>
      </c>
      <c r="AO299">
        <f t="shared" si="249"/>
        <v>-231.15455278142085</v>
      </c>
      <c r="AQ299">
        <f t="shared" si="235"/>
        <v>1.384081129299475E-2</v>
      </c>
      <c r="AR299">
        <f t="shared" si="236"/>
        <v>-11.764689599045537</v>
      </c>
      <c r="AT299">
        <f t="shared" si="261"/>
        <v>-32398.432713769362</v>
      </c>
      <c r="AU299">
        <f t="shared" si="262"/>
        <v>-11678.465918937956</v>
      </c>
      <c r="AV299">
        <f t="shared" si="250"/>
        <v>-2.7956264434871376</v>
      </c>
      <c r="AW299">
        <f t="shared" si="251"/>
        <v>-836.35002267258199</v>
      </c>
      <c r="AX299">
        <f t="shared" si="252"/>
        <v>-13438.695135656715</v>
      </c>
      <c r="AY299">
        <f t="shared" si="260"/>
        <v>-1.6329506321619751</v>
      </c>
      <c r="BA299">
        <f t="shared" si="237"/>
        <v>2.5577262962194061</v>
      </c>
      <c r="BB299">
        <f t="shared" si="253"/>
        <v>8.1570813704724809</v>
      </c>
      <c r="BC299">
        <f t="shared" si="254"/>
        <v>-1.1626758113251625</v>
      </c>
      <c r="BD299">
        <f t="shared" si="238"/>
        <v>-246.61641700700096</v>
      </c>
      <c r="BF299">
        <f t="shared" si="239"/>
        <v>-34.001341947380666</v>
      </c>
      <c r="BG299">
        <f t="shared" si="240"/>
        <v>-172.22278301977801</v>
      </c>
      <c r="BH299">
        <f t="shared" si="255"/>
        <v>7.7772169802219935</v>
      </c>
      <c r="BI299">
        <f t="shared" si="256"/>
        <v>7.7772169802219935</v>
      </c>
      <c r="BJ299">
        <f t="shared" si="241"/>
        <v>0</v>
      </c>
      <c r="BK299">
        <f t="shared" si="257"/>
        <v>0</v>
      </c>
      <c r="BM299">
        <f t="shared" si="258"/>
        <v>-42.158423317853149</v>
      </c>
      <c r="BN299">
        <f t="shared" si="242"/>
        <v>-105.60636601277702</v>
      </c>
      <c r="BQ299" s="56">
        <f t="shared" si="259"/>
        <v>25.059042170757614</v>
      </c>
      <c r="BR299" s="59"/>
      <c r="BS299" s="59"/>
      <c r="BT299" s="59">
        <v>77624.712</v>
      </c>
      <c r="BU299" s="59">
        <v>4.0309799999999996</v>
      </c>
      <c r="BV299" s="59">
        <v>-130.36099999999999</v>
      </c>
      <c r="BY299" s="59"/>
      <c r="BZ299" s="59"/>
      <c r="CA299" s="59"/>
      <c r="CC299" s="59"/>
    </row>
    <row r="300" spans="1:81" x14ac:dyDescent="0.25">
      <c r="A300">
        <f t="shared" ref="A300:A363" si="263">A299+5000</f>
        <v>430000</v>
      </c>
      <c r="B300">
        <f t="shared" si="243"/>
        <v>430</v>
      </c>
      <c r="C300">
        <f t="shared" si="212"/>
        <v>3.7038834074129579</v>
      </c>
      <c r="D300">
        <f t="shared" si="213"/>
        <v>1.2974169003535261</v>
      </c>
      <c r="F300">
        <f t="shared" si="214"/>
        <v>1.3863570269539326E-4</v>
      </c>
      <c r="G300">
        <f t="shared" si="215"/>
        <v>4.0055475783120371E-3</v>
      </c>
      <c r="H300">
        <f t="shared" si="216"/>
        <v>-3.1375871024216884</v>
      </c>
      <c r="J300">
        <f t="shared" si="217"/>
        <v>15</v>
      </c>
      <c r="M300">
        <f t="shared" si="218"/>
        <v>3.4746603993095078E-3</v>
      </c>
      <c r="N300">
        <f t="shared" si="219"/>
        <v>-1.5707963250000001</v>
      </c>
      <c r="O300">
        <f t="shared" si="220"/>
        <v>109.97197618149761</v>
      </c>
      <c r="P300">
        <f t="shared" si="221"/>
        <v>1.5617029757761971</v>
      </c>
      <c r="Q300">
        <f t="shared" si="222"/>
        <v>93.078635628879013</v>
      </c>
      <c r="R300">
        <f t="shared" si="223"/>
        <v>1.5600525161261309</v>
      </c>
      <c r="S300">
        <f t="shared" si="224"/>
        <v>0.2740262528769814</v>
      </c>
      <c r="T300">
        <f t="shared" si="225"/>
        <v>-1.2932192741880741</v>
      </c>
      <c r="U300">
        <f t="shared" si="226"/>
        <v>0.34308940978525598</v>
      </c>
      <c r="V300">
        <f t="shared" si="227"/>
        <v>-1.2205923508204513</v>
      </c>
      <c r="X300">
        <f t="shared" si="244"/>
        <v>-31.782649162029056</v>
      </c>
      <c r="Y300">
        <f t="shared" si="228"/>
        <v>-160.60136849103742</v>
      </c>
      <c r="Z300">
        <f t="shared" si="245"/>
        <v>19.39863150896258</v>
      </c>
      <c r="AC300">
        <v>1</v>
      </c>
      <c r="AD300">
        <f t="shared" si="229"/>
        <v>109.967429474658</v>
      </c>
      <c r="AE300">
        <f t="shared" si="230"/>
        <v>-3.5652799995864223E-2</v>
      </c>
      <c r="AF300">
        <f t="shared" si="231"/>
        <v>1.3022529852780001E-2</v>
      </c>
      <c r="AG300">
        <f t="shared" si="246"/>
        <v>969.24631162187654</v>
      </c>
      <c r="AH300">
        <f t="shared" si="247"/>
        <v>-2730.3715404724849</v>
      </c>
      <c r="AJ300">
        <f t="shared" si="232"/>
        <v>22100</v>
      </c>
      <c r="AK300">
        <f t="shared" si="233"/>
        <v>77562.133767764113</v>
      </c>
      <c r="AL300">
        <v>1</v>
      </c>
      <c r="AM300">
        <f t="shared" si="234"/>
        <v>93.073263671871018</v>
      </c>
      <c r="AN300">
        <f t="shared" si="248"/>
        <v>835.79964892278201</v>
      </c>
      <c r="AO300">
        <f t="shared" si="249"/>
        <v>-228.46733328320761</v>
      </c>
      <c r="AQ300">
        <f t="shared" si="235"/>
        <v>1.3520803784743395E-2</v>
      </c>
      <c r="AR300">
        <f t="shared" si="236"/>
        <v>-11.627891254879319</v>
      </c>
      <c r="AT300">
        <f t="shared" si="261"/>
        <v>-31735.358368832858</v>
      </c>
      <c r="AU300">
        <f t="shared" si="262"/>
        <v>-11307.20752859023</v>
      </c>
      <c r="AV300">
        <f t="shared" si="250"/>
        <v>-2.7993192384604351</v>
      </c>
      <c r="AW300">
        <f t="shared" si="251"/>
        <v>-794.93735339838929</v>
      </c>
      <c r="AX300">
        <f t="shared" si="252"/>
        <v>-13289.394560478959</v>
      </c>
      <c r="AY300">
        <f t="shared" si="260"/>
        <v>-1.6305425591685083</v>
      </c>
      <c r="BA300">
        <f t="shared" si="237"/>
        <v>2.5305472266795426</v>
      </c>
      <c r="BB300">
        <f t="shared" si="253"/>
        <v>8.0642889359977676</v>
      </c>
      <c r="BC300">
        <f t="shared" si="254"/>
        <v>-1.1687766792919267</v>
      </c>
      <c r="BD300">
        <f t="shared" si="238"/>
        <v>-246.96597099326254</v>
      </c>
      <c r="BF300">
        <f t="shared" si="239"/>
        <v>-34.203237976005319</v>
      </c>
      <c r="BG300">
        <f t="shared" si="240"/>
        <v>-172.39995727797998</v>
      </c>
      <c r="BH300">
        <f t="shared" si="255"/>
        <v>7.6000427220200208</v>
      </c>
      <c r="BI300">
        <f t="shared" si="256"/>
        <v>7.6000427220200208</v>
      </c>
      <c r="BJ300">
        <f t="shared" si="241"/>
        <v>0</v>
      </c>
      <c r="BK300">
        <f t="shared" si="257"/>
        <v>0</v>
      </c>
      <c r="BM300">
        <f t="shared" si="258"/>
        <v>-42.267526912003092</v>
      </c>
      <c r="BN300">
        <f t="shared" si="242"/>
        <v>-105.43398628471746</v>
      </c>
      <c r="BQ300" s="56">
        <f t="shared" si="259"/>
        <v>24.966249736282904</v>
      </c>
      <c r="BR300" s="59"/>
      <c r="BS300" s="59"/>
      <c r="BT300" s="59">
        <v>79432.823000000004</v>
      </c>
      <c r="BU300" s="59">
        <v>4.23407</v>
      </c>
      <c r="BV300" s="59">
        <v>-130.17400000000001</v>
      </c>
      <c r="BY300" s="59"/>
      <c r="BZ300" s="59"/>
      <c r="CA300" s="59"/>
      <c r="CC300" s="59"/>
    </row>
    <row r="301" spans="1:81" x14ac:dyDescent="0.25">
      <c r="A301">
        <f t="shared" si="263"/>
        <v>435000</v>
      </c>
      <c r="B301">
        <f t="shared" si="243"/>
        <v>435</v>
      </c>
      <c r="C301">
        <f t="shared" si="212"/>
        <v>3.7438291778185406</v>
      </c>
      <c r="D301">
        <f t="shared" si="213"/>
        <v>1.3004074507036893</v>
      </c>
      <c r="F301">
        <f t="shared" si="214"/>
        <v>1.3546658436068009E-4</v>
      </c>
      <c r="G301">
        <f t="shared" si="215"/>
        <v>3.9594946652843971E-3</v>
      </c>
      <c r="H301">
        <f t="shared" si="216"/>
        <v>-3.1376331553347159</v>
      </c>
      <c r="J301">
        <f t="shared" si="217"/>
        <v>15</v>
      </c>
      <c r="M301">
        <f t="shared" si="218"/>
        <v>3.4347217740300878E-3</v>
      </c>
      <c r="N301">
        <f t="shared" si="219"/>
        <v>-1.5707963250000001</v>
      </c>
      <c r="O301">
        <f t="shared" si="220"/>
        <v>111.25061496302604</v>
      </c>
      <c r="P301">
        <f t="shared" si="221"/>
        <v>1.5618074913894808</v>
      </c>
      <c r="Q301">
        <f t="shared" si="222"/>
        <v>94.160821137747689</v>
      </c>
      <c r="R301">
        <f t="shared" si="223"/>
        <v>1.5601759988631196</v>
      </c>
      <c r="S301">
        <f t="shared" si="224"/>
        <v>0.2711092774941864</v>
      </c>
      <c r="T301">
        <f t="shared" si="225"/>
        <v>-1.2962510441116295</v>
      </c>
      <c r="U301">
        <f t="shared" si="226"/>
        <v>0.33960300064345078</v>
      </c>
      <c r="V301">
        <f t="shared" si="227"/>
        <v>-1.2243015457506572</v>
      </c>
      <c r="X301">
        <f t="shared" si="244"/>
        <v>-31.971608326677913</v>
      </c>
      <c r="Y301">
        <f t="shared" si="228"/>
        <v>-160.80582670809602</v>
      </c>
      <c r="Z301">
        <f t="shared" si="245"/>
        <v>19.194173291903979</v>
      </c>
      <c r="AC301">
        <v>1</v>
      </c>
      <c r="AD301">
        <f t="shared" si="229"/>
        <v>111.24612051506099</v>
      </c>
      <c r="AE301">
        <f t="shared" si="230"/>
        <v>-3.6486755431137961E-2</v>
      </c>
      <c r="AF301">
        <f t="shared" si="231"/>
        <v>1.317395461851E-2</v>
      </c>
      <c r="AG301">
        <f t="shared" si="246"/>
        <v>949.64780599885398</v>
      </c>
      <c r="AH301">
        <f t="shared" si="247"/>
        <v>-2706.0642210735782</v>
      </c>
      <c r="AJ301">
        <f t="shared" si="232"/>
        <v>22100</v>
      </c>
      <c r="AK301">
        <f t="shared" si="233"/>
        <v>78464.019044133456</v>
      </c>
      <c r="AL301">
        <v>1</v>
      </c>
      <c r="AM301">
        <f t="shared" si="234"/>
        <v>94.1555109238695</v>
      </c>
      <c r="AN301">
        <f t="shared" si="248"/>
        <v>835.74354957890841</v>
      </c>
      <c r="AO301">
        <f t="shared" si="249"/>
        <v>-225.84186779693164</v>
      </c>
      <c r="AQ301">
        <f t="shared" si="235"/>
        <v>1.3211767457038635E-2</v>
      </c>
      <c r="AR301">
        <f t="shared" si="236"/>
        <v>-11.494237687623613</v>
      </c>
      <c r="AT301">
        <f t="shared" si="261"/>
        <v>-31091.598829014816</v>
      </c>
      <c r="AU301">
        <f t="shared" si="262"/>
        <v>-10951.229492893741</v>
      </c>
      <c r="AV301">
        <f t="shared" si="250"/>
        <v>-2.8029372831698116</v>
      </c>
      <c r="AW301">
        <f t="shared" si="251"/>
        <v>-755.05606538566724</v>
      </c>
      <c r="AX301">
        <f t="shared" si="252"/>
        <v>-13143.330610055209</v>
      </c>
      <c r="AY301">
        <f t="shared" si="260"/>
        <v>-1.6281811025976152</v>
      </c>
      <c r="BA301">
        <f t="shared" si="237"/>
        <v>2.5039020914115881</v>
      </c>
      <c r="BB301">
        <f t="shared" si="253"/>
        <v>7.97234685825181</v>
      </c>
      <c r="BC301">
        <f t="shared" si="254"/>
        <v>-1.1747561805721964</v>
      </c>
      <c r="BD301">
        <f t="shared" si="238"/>
        <v>-247.30857118060655</v>
      </c>
      <c r="BF301">
        <f t="shared" si="239"/>
        <v>-34.402863853325655</v>
      </c>
      <c r="BG301">
        <f t="shared" si="240"/>
        <v>-172.57385018919626</v>
      </c>
      <c r="BH301">
        <f t="shared" si="255"/>
        <v>7.4261498108037358</v>
      </c>
      <c r="BI301">
        <f t="shared" si="256"/>
        <v>7.4261498108037358</v>
      </c>
      <c r="BJ301">
        <f t="shared" si="241"/>
        <v>0</v>
      </c>
      <c r="BK301">
        <f t="shared" si="257"/>
        <v>0</v>
      </c>
      <c r="BM301">
        <f t="shared" si="258"/>
        <v>-42.375210711577466</v>
      </c>
      <c r="BN301">
        <f t="shared" si="242"/>
        <v>-105.26527900858972</v>
      </c>
      <c r="BQ301" s="56">
        <f t="shared" si="259"/>
        <v>24.874307658536946</v>
      </c>
      <c r="BR301" s="59"/>
      <c r="BS301" s="59"/>
      <c r="BT301" s="59">
        <v>81283.051999999996</v>
      </c>
      <c r="BU301" s="59">
        <v>4.4202000000000004</v>
      </c>
      <c r="BV301" s="59">
        <v>-130.05699999999999</v>
      </c>
      <c r="BY301" s="59"/>
      <c r="BZ301" s="59"/>
      <c r="CA301" s="59"/>
      <c r="CC301" s="59"/>
    </row>
    <row r="302" spans="1:81" x14ac:dyDescent="0.25">
      <c r="A302">
        <f t="shared" si="263"/>
        <v>440000</v>
      </c>
      <c r="B302">
        <f t="shared" si="243"/>
        <v>440</v>
      </c>
      <c r="C302">
        <f t="shared" si="212"/>
        <v>3.7838077236291636</v>
      </c>
      <c r="D302">
        <f t="shared" si="213"/>
        <v>1.3033348323097111</v>
      </c>
      <c r="F302">
        <f t="shared" si="214"/>
        <v>1.3240490719773694E-4</v>
      </c>
      <c r="G302">
        <f t="shared" si="215"/>
        <v>3.9144888161443004E-3</v>
      </c>
      <c r="H302">
        <f t="shared" si="216"/>
        <v>-3.1376781611838558</v>
      </c>
      <c r="J302">
        <f t="shared" si="217"/>
        <v>15</v>
      </c>
      <c r="M302">
        <f t="shared" si="218"/>
        <v>3.3956908447797464E-3</v>
      </c>
      <c r="N302">
        <f t="shared" si="219"/>
        <v>-1.5707963250000001</v>
      </c>
      <c r="O302">
        <f t="shared" si="220"/>
        <v>112.529254932185</v>
      </c>
      <c r="P302">
        <f t="shared" si="221"/>
        <v>1.5619096318376744</v>
      </c>
      <c r="Q302">
        <f t="shared" si="222"/>
        <v>95.243008049751964</v>
      </c>
      <c r="R302">
        <f t="shared" si="223"/>
        <v>1.5602966754872276</v>
      </c>
      <c r="S302">
        <f t="shared" si="224"/>
        <v>0.2682513613991544</v>
      </c>
      <c r="T302">
        <f t="shared" si="225"/>
        <v>-1.299218921637761</v>
      </c>
      <c r="U302">
        <f t="shared" si="226"/>
        <v>0.33618224860936591</v>
      </c>
      <c r="V302">
        <f t="shared" si="227"/>
        <v>-1.2279360659154643</v>
      </c>
      <c r="X302">
        <f t="shared" si="244"/>
        <v>-32.158643951403263</v>
      </c>
      <c r="Y302">
        <f t="shared" si="228"/>
        <v>-161.0062017869962</v>
      </c>
      <c r="Z302">
        <f t="shared" si="245"/>
        <v>18.993798213003799</v>
      </c>
      <c r="AC302">
        <v>1</v>
      </c>
      <c r="AD302">
        <f t="shared" si="229"/>
        <v>112.52481155546401</v>
      </c>
      <c r="AE302">
        <f t="shared" si="230"/>
        <v>-3.7330351969709651E-2</v>
      </c>
      <c r="AF302">
        <f t="shared" si="231"/>
        <v>1.3325379384240001E-2</v>
      </c>
      <c r="AG302">
        <f t="shared" si="246"/>
        <v>930.61293958742544</v>
      </c>
      <c r="AH302">
        <f t="shared" si="247"/>
        <v>-2682.108145050996</v>
      </c>
      <c r="AJ302">
        <f t="shared" si="232"/>
        <v>22100</v>
      </c>
      <c r="AK302">
        <f t="shared" si="233"/>
        <v>79365.904320502814</v>
      </c>
      <c r="AL302">
        <v>1</v>
      </c>
      <c r="AM302">
        <f t="shared" si="234"/>
        <v>95.237758175868009</v>
      </c>
      <c r="AN302">
        <f t="shared" si="248"/>
        <v>835.68935154425594</v>
      </c>
      <c r="AO302">
        <f t="shared" si="249"/>
        <v>-223.2760520169808</v>
      </c>
      <c r="AQ302">
        <f t="shared" si="235"/>
        <v>1.2913206465384214E-2</v>
      </c>
      <c r="AR302">
        <f t="shared" si="236"/>
        <v>-11.363621689538107</v>
      </c>
      <c r="AT302">
        <f t="shared" si="261"/>
        <v>-30466.445093760067</v>
      </c>
      <c r="AU302">
        <f t="shared" si="262"/>
        <v>-10609.768001100017</v>
      </c>
      <c r="AV302">
        <f t="shared" si="250"/>
        <v>-2.8064827245203561</v>
      </c>
      <c r="AW302">
        <f t="shared" si="251"/>
        <v>-716.63159868179446</v>
      </c>
      <c r="AX302">
        <f t="shared" si="252"/>
        <v>-13000.399767114466</v>
      </c>
      <c r="AY302">
        <f t="shared" si="260"/>
        <v>-1.625864407120744</v>
      </c>
      <c r="BA302">
        <f t="shared" si="237"/>
        <v>2.4777766049126178</v>
      </c>
      <c r="BB302">
        <f t="shared" si="253"/>
        <v>7.8812429606781622</v>
      </c>
      <c r="BC302">
        <f t="shared" si="254"/>
        <v>-1.1806183173996121</v>
      </c>
      <c r="BD302">
        <f t="shared" si="238"/>
        <v>-247.64444688012946</v>
      </c>
      <c r="BF302">
        <f t="shared" si="239"/>
        <v>-34.600269045943854</v>
      </c>
      <c r="BG302">
        <f t="shared" si="240"/>
        <v>-172.7445779226903</v>
      </c>
      <c r="BH302">
        <f t="shared" si="255"/>
        <v>7.2554220773097029</v>
      </c>
      <c r="BI302">
        <f t="shared" si="256"/>
        <v>7.2554220773097029</v>
      </c>
      <c r="BJ302">
        <f t="shared" si="241"/>
        <v>0</v>
      </c>
      <c r="BK302">
        <f t="shared" si="257"/>
        <v>0</v>
      </c>
      <c r="BM302">
        <f t="shared" si="258"/>
        <v>-42.481512006622012</v>
      </c>
      <c r="BN302">
        <f t="shared" si="242"/>
        <v>-105.10013104256086</v>
      </c>
      <c r="BQ302" s="56">
        <f t="shared" si="259"/>
        <v>24.783203760963296</v>
      </c>
      <c r="BR302" s="59"/>
      <c r="BS302" s="59"/>
      <c r="BT302" s="59">
        <v>83176.376999999993</v>
      </c>
      <c r="BU302" s="59">
        <v>4.5639399999999997</v>
      </c>
      <c r="BV302" s="59">
        <v>-130.11600000000001</v>
      </c>
      <c r="BY302" s="59"/>
      <c r="BZ302" s="59"/>
      <c r="CA302" s="59"/>
      <c r="CC302" s="59"/>
    </row>
    <row r="303" spans="1:81" x14ac:dyDescent="0.25">
      <c r="A303">
        <f t="shared" si="263"/>
        <v>445000</v>
      </c>
      <c r="B303">
        <f t="shared" si="243"/>
        <v>445</v>
      </c>
      <c r="C303">
        <f t="shared" si="212"/>
        <v>3.823818016830796</v>
      </c>
      <c r="D303">
        <f t="shared" si="213"/>
        <v>1.3062009770830649</v>
      </c>
      <c r="F303">
        <f t="shared" si="214"/>
        <v>1.2944586862863401E-4</v>
      </c>
      <c r="G303">
        <f t="shared" si="215"/>
        <v>3.8704947186251745E-3</v>
      </c>
      <c r="H303">
        <f t="shared" si="216"/>
        <v>-3.137722155281375</v>
      </c>
      <c r="J303">
        <f t="shared" si="217"/>
        <v>15</v>
      </c>
      <c r="M303">
        <f t="shared" si="218"/>
        <v>3.3575370150631203E-3</v>
      </c>
      <c r="N303">
        <f t="shared" si="219"/>
        <v>-1.5707963250000001</v>
      </c>
      <c r="O303">
        <f t="shared" si="220"/>
        <v>113.80789604894515</v>
      </c>
      <c r="P303">
        <f t="shared" si="221"/>
        <v>1.5620094771741384</v>
      </c>
      <c r="Q303">
        <f t="shared" si="222"/>
        <v>96.325196317600287</v>
      </c>
      <c r="R303">
        <f t="shared" si="223"/>
        <v>1.5604146405727015</v>
      </c>
      <c r="S303">
        <f t="shared" si="224"/>
        <v>0.26545080508296581</v>
      </c>
      <c r="T303">
        <f t="shared" si="225"/>
        <v>-1.3021248547662985</v>
      </c>
      <c r="U303">
        <f t="shared" si="226"/>
        <v>0.33282545658297114</v>
      </c>
      <c r="V303">
        <f t="shared" si="227"/>
        <v>-1.2314980507206024</v>
      </c>
      <c r="X303">
        <f t="shared" si="244"/>
        <v>-32.343792832888958</v>
      </c>
      <c r="Y303">
        <f t="shared" si="228"/>
        <v>-161.20260924627092</v>
      </c>
      <c r="Z303">
        <f t="shared" si="245"/>
        <v>18.797390753729076</v>
      </c>
      <c r="AC303">
        <v>1</v>
      </c>
      <c r="AD303">
        <f t="shared" si="229"/>
        <v>113.80350259586699</v>
      </c>
      <c r="AE303">
        <f t="shared" si="230"/>
        <v>-3.8183589611579305E-2</v>
      </c>
      <c r="AF303">
        <f t="shared" si="231"/>
        <v>1.347680414997E-2</v>
      </c>
      <c r="AG303">
        <f t="shared" si="246"/>
        <v>912.12131422839798</v>
      </c>
      <c r="AH303">
        <f t="shared" si="247"/>
        <v>-2658.4986722205413</v>
      </c>
      <c r="AJ303">
        <f t="shared" si="232"/>
        <v>22100</v>
      </c>
      <c r="AK303">
        <f t="shared" si="233"/>
        <v>80267.789596872157</v>
      </c>
      <c r="AL303">
        <v>1</v>
      </c>
      <c r="AM303">
        <f t="shared" si="234"/>
        <v>96.320005427866505</v>
      </c>
      <c r="AN303">
        <f t="shared" si="248"/>
        <v>835.63696986407126</v>
      </c>
      <c r="AO303">
        <f t="shared" si="249"/>
        <v>-220.76787616110227</v>
      </c>
      <c r="AQ303">
        <f t="shared" si="235"/>
        <v>1.2624652664243575E-2</v>
      </c>
      <c r="AR303">
        <f t="shared" si="236"/>
        <v>-11.235940871176782</v>
      </c>
      <c r="AT303">
        <f t="shared" si="261"/>
        <v>-29859.218672392199</v>
      </c>
      <c r="AU303">
        <f t="shared" si="262"/>
        <v>-10282.103776355474</v>
      </c>
      <c r="AV303">
        <f t="shared" si="250"/>
        <v>-2.8099576321034729</v>
      </c>
      <c r="AW303">
        <f t="shared" si="251"/>
        <v>-679.59385500705071</v>
      </c>
      <c r="AX303">
        <f t="shared" si="252"/>
        <v>-12860.502895159238</v>
      </c>
      <c r="AY303">
        <f t="shared" si="260"/>
        <v>-1.6235907116277659</v>
      </c>
      <c r="BA303">
        <f t="shared" si="237"/>
        <v>2.4521569143163524</v>
      </c>
      <c r="BB303">
        <f t="shared" si="253"/>
        <v>7.7909651476070092</v>
      </c>
      <c r="BC303">
        <f t="shared" si="254"/>
        <v>-1.186366920475707</v>
      </c>
      <c r="BD303">
        <f t="shared" si="238"/>
        <v>-247.97381757486198</v>
      </c>
      <c r="BF303">
        <f t="shared" si="239"/>
        <v>-34.795501485742001</v>
      </c>
      <c r="BG303">
        <f t="shared" si="240"/>
        <v>-172.91225129436276</v>
      </c>
      <c r="BH303">
        <f t="shared" si="255"/>
        <v>7.0877487056372388</v>
      </c>
      <c r="BI303">
        <f t="shared" si="256"/>
        <v>7.0877487056372388</v>
      </c>
      <c r="BJ303">
        <f t="shared" si="241"/>
        <v>0</v>
      </c>
      <c r="BK303">
        <f t="shared" si="257"/>
        <v>0</v>
      </c>
      <c r="BM303">
        <f t="shared" si="258"/>
        <v>-42.586466633349012</v>
      </c>
      <c r="BN303">
        <f t="shared" si="242"/>
        <v>-104.93843371950078</v>
      </c>
      <c r="BQ303" s="56">
        <f t="shared" si="259"/>
        <v>24.692925947892146</v>
      </c>
      <c r="BR303" s="59"/>
      <c r="BS303" s="59"/>
      <c r="BT303" s="59">
        <v>85113.804000000004</v>
      </c>
      <c r="BU303" s="59">
        <v>4.7605300000000002</v>
      </c>
      <c r="BV303" s="59">
        <v>-129.97300000000001</v>
      </c>
      <c r="BY303" s="59"/>
      <c r="BZ303" s="59"/>
      <c r="CA303" s="59"/>
      <c r="CC303" s="59"/>
    </row>
    <row r="304" spans="1:81" x14ac:dyDescent="0.25">
      <c r="A304">
        <f t="shared" si="263"/>
        <v>450000</v>
      </c>
      <c r="B304">
        <f t="shared" si="243"/>
        <v>450</v>
      </c>
      <c r="C304">
        <f t="shared" si="212"/>
        <v>3.8638590711900616</v>
      </c>
      <c r="D304">
        <f t="shared" si="213"/>
        <v>1.3090077409742333</v>
      </c>
      <c r="F304">
        <f t="shared" si="214"/>
        <v>1.2658493145934965E-4</v>
      </c>
      <c r="G304">
        <f t="shared" si="215"/>
        <v>3.8274786308769258E-3</v>
      </c>
      <c r="H304">
        <f t="shared" si="216"/>
        <v>-3.1377651713691233</v>
      </c>
      <c r="J304">
        <f t="shared" si="217"/>
        <v>15</v>
      </c>
      <c r="M304">
        <f t="shared" si="218"/>
        <v>3.3202310482290851E-3</v>
      </c>
      <c r="N304">
        <f t="shared" si="219"/>
        <v>-1.5707963250000001</v>
      </c>
      <c r="O304">
        <f t="shared" si="220"/>
        <v>115.08653827505604</v>
      </c>
      <c r="P304">
        <f t="shared" si="221"/>
        <v>1.5621071038947638</v>
      </c>
      <c r="Q304">
        <f t="shared" si="222"/>
        <v>97.407385896102724</v>
      </c>
      <c r="R304">
        <f t="shared" si="223"/>
        <v>1.5605299844912439</v>
      </c>
      <c r="S304">
        <f t="shared" si="224"/>
        <v>0.26270597034520776</v>
      </c>
      <c r="T304">
        <f t="shared" si="225"/>
        <v>-1.3049707152098249</v>
      </c>
      <c r="U304">
        <f t="shared" si="226"/>
        <v>0.32953097941931181</v>
      </c>
      <c r="V304">
        <f t="shared" si="227"/>
        <v>-1.2349895623906106</v>
      </c>
      <c r="X304">
        <f t="shared" si="244"/>
        <v>-32.527090771811579</v>
      </c>
      <c r="Y304">
        <f t="shared" si="228"/>
        <v>-161.39516051824131</v>
      </c>
      <c r="Z304">
        <f t="shared" si="245"/>
        <v>18.604839481758688</v>
      </c>
      <c r="AC304">
        <v>1</v>
      </c>
      <c r="AD304">
        <f t="shared" si="229"/>
        <v>115.08219363627001</v>
      </c>
      <c r="AE304">
        <f t="shared" si="230"/>
        <v>-3.9046468356746925E-2</v>
      </c>
      <c r="AF304">
        <f t="shared" si="231"/>
        <v>1.3628228915700001E-2</v>
      </c>
      <c r="AG304">
        <f t="shared" si="246"/>
        <v>894.15339471410584</v>
      </c>
      <c r="AH304">
        <f t="shared" si="247"/>
        <v>-2635.2310674359928</v>
      </c>
      <c r="AJ304">
        <f t="shared" si="232"/>
        <v>22100</v>
      </c>
      <c r="AK304">
        <f t="shared" si="233"/>
        <v>81169.674873241514</v>
      </c>
      <c r="AL304">
        <v>1</v>
      </c>
      <c r="AM304">
        <f t="shared" si="234"/>
        <v>97.402252679865015</v>
      </c>
      <c r="AN304">
        <f t="shared" si="248"/>
        <v>835.58632427593284</v>
      </c>
      <c r="AO304">
        <f t="shared" si="249"/>
        <v>-218.31541972252396</v>
      </c>
      <c r="AQ304">
        <f t="shared" si="235"/>
        <v>1.2345663770785468E-2</v>
      </c>
      <c r="AR304">
        <f t="shared" si="236"/>
        <v>-11.111097393706922</v>
      </c>
      <c r="AT304">
        <f t="shared" si="261"/>
        <v>-29269.270128032924</v>
      </c>
      <c r="AU304">
        <f t="shared" si="262"/>
        <v>-9967.5591302989924</v>
      </c>
      <c r="AV304">
        <f t="shared" si="250"/>
        <v>-2.8133640014317756</v>
      </c>
      <c r="AW304">
        <f t="shared" si="251"/>
        <v>-643.87688352252781</v>
      </c>
      <c r="AX304">
        <f t="shared" si="252"/>
        <v>-12723.545006425516</v>
      </c>
      <c r="AY304">
        <f t="shared" si="260"/>
        <v>-1.6213583435501866</v>
      </c>
      <c r="BA304">
        <f t="shared" si="237"/>
        <v>2.4270295884662372</v>
      </c>
      <c r="BB304">
        <f t="shared" si="253"/>
        <v>7.701501418927819</v>
      </c>
      <c r="BC304">
        <f t="shared" si="254"/>
        <v>-1.192005657881589</v>
      </c>
      <c r="BD304">
        <f t="shared" si="238"/>
        <v>-248.29689343037074</v>
      </c>
      <c r="BF304">
        <f t="shared" si="239"/>
        <v>-34.988607629133625</v>
      </c>
      <c r="BG304">
        <f t="shared" si="240"/>
        <v>-173.07697606491604</v>
      </c>
      <c r="BH304">
        <f t="shared" si="255"/>
        <v>6.9230239350839611</v>
      </c>
      <c r="BI304">
        <f t="shared" si="256"/>
        <v>6.9230239350839611</v>
      </c>
      <c r="BJ304">
        <f t="shared" si="241"/>
        <v>0</v>
      </c>
      <c r="BK304">
        <f t="shared" si="257"/>
        <v>0</v>
      </c>
      <c r="BM304">
        <f t="shared" si="258"/>
        <v>-42.690109048061444</v>
      </c>
      <c r="BN304">
        <f t="shared" si="242"/>
        <v>-104.78008263454529</v>
      </c>
      <c r="BQ304" s="56">
        <f t="shared" si="259"/>
        <v>24.603462219212954</v>
      </c>
      <c r="BR304" s="59"/>
      <c r="BS304" s="59"/>
      <c r="BT304" s="59">
        <v>87096.358999999997</v>
      </c>
      <c r="BU304" s="59">
        <v>4.9475499999999997</v>
      </c>
      <c r="BV304" s="59">
        <v>-129.96199999999999</v>
      </c>
      <c r="BY304" s="59"/>
      <c r="BZ304" s="59"/>
      <c r="CA304" s="59"/>
      <c r="CC304" s="59"/>
    </row>
    <row r="305" spans="1:81" x14ac:dyDescent="0.25">
      <c r="A305">
        <f t="shared" si="263"/>
        <v>455000</v>
      </c>
      <c r="B305">
        <f t="shared" si="243"/>
        <v>455</v>
      </c>
      <c r="C305">
        <f t="shared" si="212"/>
        <v>3.9039299401922518</v>
      </c>
      <c r="D305">
        <f t="shared" si="213"/>
        <v>1.3117569075648348</v>
      </c>
      <c r="F305">
        <f t="shared" si="214"/>
        <v>1.2381780647392651E-4</v>
      </c>
      <c r="G305">
        <f t="shared" si="215"/>
        <v>3.7854082951155926E-3</v>
      </c>
      <c r="H305">
        <f t="shared" si="216"/>
        <v>-3.1378072417048846</v>
      </c>
      <c r="J305">
        <f t="shared" si="217"/>
        <v>15</v>
      </c>
      <c r="M305">
        <f t="shared" si="218"/>
        <v>3.2837449927540403E-3</v>
      </c>
      <c r="N305">
        <f t="shared" si="219"/>
        <v>-1.5707963250000001</v>
      </c>
      <c r="O305">
        <f t="shared" si="220"/>
        <v>116.36518157394845</v>
      </c>
      <c r="P305">
        <f t="shared" si="221"/>
        <v>1.5622025851334085</v>
      </c>
      <c r="Q305">
        <f t="shared" si="222"/>
        <v>98.489576742055419</v>
      </c>
      <c r="R305">
        <f t="shared" si="223"/>
        <v>1.5606427936428728</v>
      </c>
      <c r="S305">
        <f t="shared" si="224"/>
        <v>0.2600152777339107</v>
      </c>
      <c r="T305">
        <f t="shared" si="225"/>
        <v>-1.3077583019828163</v>
      </c>
      <c r="U305">
        <f t="shared" si="226"/>
        <v>0.32629722229557045</v>
      </c>
      <c r="V305">
        <f t="shared" si="227"/>
        <v>-1.2384125892267113</v>
      </c>
      <c r="X305">
        <f t="shared" si="244"/>
        <v>-32.708572606996654</v>
      </c>
      <c r="Y305">
        <f t="shared" si="228"/>
        <v>-161.58396311603073</v>
      </c>
      <c r="Z305">
        <f t="shared" si="245"/>
        <v>18.416036883969269</v>
      </c>
      <c r="AC305">
        <v>1</v>
      </c>
      <c r="AD305">
        <f t="shared" si="229"/>
        <v>116.36088467667301</v>
      </c>
      <c r="AE305">
        <f t="shared" si="230"/>
        <v>-3.9918988205212509E-2</v>
      </c>
      <c r="AF305">
        <f t="shared" si="231"/>
        <v>1.377965368143E-2</v>
      </c>
      <c r="AG305">
        <f t="shared" si="246"/>
        <v>876.69046854038788</v>
      </c>
      <c r="AH305">
        <f t="shared" si="247"/>
        <v>-2612.3005197000266</v>
      </c>
      <c r="AJ305">
        <f t="shared" si="232"/>
        <v>22100</v>
      </c>
      <c r="AK305">
        <f t="shared" si="233"/>
        <v>82071.560149610857</v>
      </c>
      <c r="AL305">
        <v>1</v>
      </c>
      <c r="AM305">
        <f t="shared" si="234"/>
        <v>98.48449993186351</v>
      </c>
      <c r="AN305">
        <f t="shared" si="248"/>
        <v>835.53733890215483</v>
      </c>
      <c r="AO305">
        <f t="shared" si="249"/>
        <v>-215.91684656783207</v>
      </c>
      <c r="AQ305">
        <f t="shared" si="235"/>
        <v>1.207582166909592E-2</v>
      </c>
      <c r="AR305">
        <f t="shared" si="236"/>
        <v>-10.988997718877286</v>
      </c>
      <c r="AT305">
        <f t="shared" si="261"/>
        <v>-28695.97769424845</v>
      </c>
      <c r="AU305">
        <f t="shared" si="262"/>
        <v>-9665.4952341737644</v>
      </c>
      <c r="AV305">
        <f t="shared" si="250"/>
        <v>-2.816703757026533</v>
      </c>
      <c r="AW305">
        <f t="shared" si="251"/>
        <v>-609.41859189301533</v>
      </c>
      <c r="AX305">
        <f t="shared" si="252"/>
        <v>-12589.435044721404</v>
      </c>
      <c r="AY305">
        <f t="shared" si="260"/>
        <v>-1.6191657135728641</v>
      </c>
      <c r="BA305">
        <f t="shared" si="237"/>
        <v>2.4023816067781514</v>
      </c>
      <c r="BB305">
        <f t="shared" si="253"/>
        <v>7.6128398827750985</v>
      </c>
      <c r="BC305">
        <f t="shared" si="254"/>
        <v>-1.1975380434536689</v>
      </c>
      <c r="BD305">
        <f t="shared" si="238"/>
        <v>-248.61387577465217</v>
      </c>
      <c r="BF305">
        <f t="shared" si="239"/>
        <v>-35.179632513732834</v>
      </c>
      <c r="BG305">
        <f t="shared" si="240"/>
        <v>-173.23885321888224</v>
      </c>
      <c r="BH305">
        <f t="shared" si="255"/>
        <v>6.761146781117759</v>
      </c>
      <c r="BI305">
        <f t="shared" si="256"/>
        <v>6.761146781117759</v>
      </c>
      <c r="BJ305">
        <f t="shared" si="241"/>
        <v>0</v>
      </c>
      <c r="BK305">
        <f t="shared" si="257"/>
        <v>0</v>
      </c>
      <c r="BM305">
        <f t="shared" si="258"/>
        <v>-42.792472396507932</v>
      </c>
      <c r="BN305">
        <f t="shared" si="242"/>
        <v>-104.62497744423005</v>
      </c>
      <c r="BQ305" s="56">
        <f t="shared" si="259"/>
        <v>24.514800683060237</v>
      </c>
      <c r="BR305" s="59"/>
      <c r="BS305" s="59"/>
      <c r="BT305" s="59">
        <v>89125.093999999997</v>
      </c>
      <c r="BU305" s="59">
        <v>5.2143100000000002</v>
      </c>
      <c r="BV305" s="59">
        <v>-129.73099999999999</v>
      </c>
      <c r="BY305" s="59"/>
      <c r="BZ305" s="59"/>
      <c r="CA305" s="59"/>
      <c r="CC305" s="59"/>
    </row>
    <row r="306" spans="1:81" x14ac:dyDescent="0.25">
      <c r="A306">
        <f t="shared" si="263"/>
        <v>460000</v>
      </c>
      <c r="B306">
        <f t="shared" si="243"/>
        <v>460</v>
      </c>
      <c r="C306">
        <f t="shared" si="212"/>
        <v>3.94402971509788</v>
      </c>
      <c r="D306">
        <f t="shared" si="213"/>
        <v>1.3144501914643445</v>
      </c>
      <c r="F306">
        <f t="shared" si="214"/>
        <v>1.2114043634613449E-4</v>
      </c>
      <c r="G306">
        <f t="shared" si="215"/>
        <v>3.7442528569093195E-3</v>
      </c>
      <c r="H306">
        <f t="shared" si="216"/>
        <v>-3.1378483971430908</v>
      </c>
      <c r="J306">
        <f t="shared" si="217"/>
        <v>15</v>
      </c>
      <c r="M306">
        <f t="shared" si="218"/>
        <v>3.2480521123980184E-3</v>
      </c>
      <c r="N306">
        <f t="shared" si="219"/>
        <v>-1.5707963250000001</v>
      </c>
      <c r="O306">
        <f t="shared" si="220"/>
        <v>117.6438259106429</v>
      </c>
      <c r="P306">
        <f t="shared" si="221"/>
        <v>1.5622959908445881</v>
      </c>
      <c r="Q306">
        <f t="shared" si="222"/>
        <v>99.571768814132724</v>
      </c>
      <c r="R306">
        <f t="shared" si="223"/>
        <v>1.5607531506717296</v>
      </c>
      <c r="S306">
        <f t="shared" si="224"/>
        <v>0.25737720410053455</v>
      </c>
      <c r="T306">
        <f t="shared" si="225"/>
        <v>-1.3104893447968182</v>
      </c>
      <c r="U306">
        <f t="shared" si="226"/>
        <v>0.3231226391143398</v>
      </c>
      <c r="V306">
        <f t="shared" si="227"/>
        <v>-1.2417690487128465</v>
      </c>
      <c r="X306">
        <f t="shared" si="244"/>
        <v>-32.888272248159709</v>
      </c>
      <c r="Y306">
        <f t="shared" si="228"/>
        <v>-161.76912079323102</v>
      </c>
      <c r="Z306">
        <f t="shared" si="245"/>
        <v>18.230879206768975</v>
      </c>
      <c r="AC306">
        <v>1</v>
      </c>
      <c r="AD306">
        <f t="shared" si="229"/>
        <v>117.639575717076</v>
      </c>
      <c r="AE306">
        <f t="shared" si="230"/>
        <v>-4.0801149156976052E-2</v>
      </c>
      <c r="AF306">
        <f t="shared" si="231"/>
        <v>1.393107844716E-2</v>
      </c>
      <c r="AG306">
        <f t="shared" si="246"/>
        <v>859.71460759533022</v>
      </c>
      <c r="AH306">
        <f t="shared" si="247"/>
        <v>-2589.702159367494</v>
      </c>
      <c r="AJ306">
        <f t="shared" si="232"/>
        <v>22100</v>
      </c>
      <c r="AK306">
        <f t="shared" si="233"/>
        <v>82973.445425980201</v>
      </c>
      <c r="AL306">
        <v>1</v>
      </c>
      <c r="AM306">
        <f t="shared" si="234"/>
        <v>99.566747183862006</v>
      </c>
      <c r="AN306">
        <f t="shared" si="248"/>
        <v>835.48994196546016</v>
      </c>
      <c r="AO306">
        <f t="shared" si="249"/>
        <v>-213.57040035431766</v>
      </c>
      <c r="AQ306">
        <f t="shared" si="235"/>
        <v>1.1814730842709308E-2</v>
      </c>
      <c r="AR306">
        <f t="shared" si="236"/>
        <v>-10.869552375292562</v>
      </c>
      <c r="AT306">
        <f t="shared" si="261"/>
        <v>-28138.745960962937</v>
      </c>
      <c r="AU306">
        <f t="shared" si="262"/>
        <v>-9375.3095890372442</v>
      </c>
      <c r="AV306">
        <f t="shared" si="250"/>
        <v>-2.8199787553643825</v>
      </c>
      <c r="AW306">
        <f t="shared" si="251"/>
        <v>-576.16048036552843</v>
      </c>
      <c r="AX306">
        <f t="shared" si="252"/>
        <v>-12458.085682016634</v>
      </c>
      <c r="AY306">
        <f t="shared" si="260"/>
        <v>-1.6170113107049693</v>
      </c>
      <c r="BA306">
        <f t="shared" si="237"/>
        <v>2.3782003479819371</v>
      </c>
      <c r="BB306">
        <f t="shared" si="253"/>
        <v>7.5249687664431715</v>
      </c>
      <c r="BC306">
        <f t="shared" si="254"/>
        <v>-1.2029674446594132</v>
      </c>
      <c r="BD306">
        <f t="shared" si="238"/>
        <v>-248.92495754938005</v>
      </c>
      <c r="BF306">
        <f t="shared" si="239"/>
        <v>-35.368619812553924</v>
      </c>
      <c r="BG306">
        <f t="shared" si="240"/>
        <v>-173.39797922587724</v>
      </c>
      <c r="BH306">
        <f t="shared" si="255"/>
        <v>6.6020207741227637</v>
      </c>
      <c r="BI306">
        <f t="shared" si="256"/>
        <v>6.6020207741227637</v>
      </c>
      <c r="BJ306">
        <f t="shared" si="241"/>
        <v>0</v>
      </c>
      <c r="BK306">
        <f t="shared" si="257"/>
        <v>0</v>
      </c>
      <c r="BM306">
        <f t="shared" si="258"/>
        <v>-42.893588578997097</v>
      </c>
      <c r="BN306">
        <f t="shared" si="242"/>
        <v>-104.47302167649721</v>
      </c>
      <c r="BQ306" s="56">
        <f t="shared" si="259"/>
        <v>24.426929566728308</v>
      </c>
      <c r="BR306" s="59"/>
      <c r="BS306" s="59"/>
      <c r="BT306" s="59">
        <v>91201.084000000003</v>
      </c>
      <c r="BU306" s="59">
        <v>5.4050900000000004</v>
      </c>
      <c r="BV306" s="59">
        <v>-129.68299999999999</v>
      </c>
      <c r="BY306" s="59"/>
      <c r="BZ306" s="59"/>
      <c r="CA306" s="59"/>
      <c r="CC306" s="59"/>
    </row>
    <row r="307" spans="1:81" x14ac:dyDescent="0.25">
      <c r="A307">
        <f t="shared" si="263"/>
        <v>465000</v>
      </c>
      <c r="B307">
        <f t="shared" si="243"/>
        <v>465</v>
      </c>
      <c r="C307">
        <f t="shared" si="212"/>
        <v>3.984157523110059</v>
      </c>
      <c r="D307">
        <f t="shared" si="213"/>
        <v>1.3170892415232247</v>
      </c>
      <c r="F307">
        <f t="shared" si="214"/>
        <v>1.1854898075588374E-4</v>
      </c>
      <c r="G307">
        <f t="shared" si="215"/>
        <v>3.7039827896759984E-3</v>
      </c>
      <c r="H307">
        <f t="shared" si="216"/>
        <v>-3.1378886672103241</v>
      </c>
      <c r="J307">
        <f t="shared" si="217"/>
        <v>15</v>
      </c>
      <c r="M307">
        <f t="shared" si="218"/>
        <v>3.2131268208668564E-3</v>
      </c>
      <c r="N307">
        <f t="shared" si="219"/>
        <v>-1.5707963250000001</v>
      </c>
      <c r="O307">
        <f t="shared" si="220"/>
        <v>118.92247125166435</v>
      </c>
      <c r="P307">
        <f t="shared" si="221"/>
        <v>1.5623873879743855</v>
      </c>
      <c r="Q307">
        <f t="shared" si="222"/>
        <v>100.65396207278619</v>
      </c>
      <c r="R307">
        <f t="shared" si="223"/>
        <v>1.5608611346679664</v>
      </c>
      <c r="S307">
        <f t="shared" si="224"/>
        <v>0.25479028026502198</v>
      </c>
      <c r="T307">
        <f t="shared" si="225"/>
        <v>-1.3131655072732875</v>
      </c>
      <c r="U307">
        <f t="shared" si="226"/>
        <v>0.32000573094470808</v>
      </c>
      <c r="V307">
        <f t="shared" si="227"/>
        <v>-1.2450607904772064</v>
      </c>
      <c r="X307">
        <f t="shared" si="244"/>
        <v>-33.066222707302714</v>
      </c>
      <c r="Y307">
        <f t="shared" si="228"/>
        <v>-161.95073369653556</v>
      </c>
      <c r="Z307">
        <f t="shared" si="245"/>
        <v>18.049266303464435</v>
      </c>
      <c r="AC307">
        <v>1</v>
      </c>
      <c r="AD307">
        <f t="shared" si="229"/>
        <v>118.918266757479</v>
      </c>
      <c r="AE307">
        <f t="shared" si="230"/>
        <v>-4.1692951212037553E-2</v>
      </c>
      <c r="AF307">
        <f t="shared" si="231"/>
        <v>1.408250321289E-2</v>
      </c>
      <c r="AG307">
        <f t="shared" si="246"/>
        <v>843.20863169990162</v>
      </c>
      <c r="AH307">
        <f t="shared" si="247"/>
        <v>-2567.4310736133011</v>
      </c>
      <c r="AJ307">
        <f t="shared" si="232"/>
        <v>22100</v>
      </c>
      <c r="AK307">
        <f t="shared" si="233"/>
        <v>83875.330702349558</v>
      </c>
      <c r="AL307">
        <v>1</v>
      </c>
      <c r="AM307">
        <f t="shared" si="234"/>
        <v>100.64899443586052</v>
      </c>
      <c r="AN307">
        <f t="shared" si="248"/>
        <v>835.44406552593318</v>
      </c>
      <c r="AO307">
        <f t="shared" si="249"/>
        <v>-211.27440024276743</v>
      </c>
      <c r="AQ307">
        <f t="shared" si="235"/>
        <v>1.1562016924480374E-2</v>
      </c>
      <c r="AR307">
        <f t="shared" si="236"/>
        <v>-10.752675739766747</v>
      </c>
      <c r="AT307">
        <f t="shared" si="261"/>
        <v>-27597.004626294456</v>
      </c>
      <c r="AU307">
        <f t="shared" si="262"/>
        <v>-9096.4336791670012</v>
      </c>
      <c r="AV307">
        <f t="shared" si="250"/>
        <v>-2.823190787689819</v>
      </c>
      <c r="AW307">
        <f t="shared" si="251"/>
        <v>-544.04739681060255</v>
      </c>
      <c r="AX307">
        <f t="shared" si="252"/>
        <v>-12329.413127754295</v>
      </c>
      <c r="AY307">
        <f t="shared" si="260"/>
        <v>-1.6148936976832939</v>
      </c>
      <c r="BA307">
        <f t="shared" si="237"/>
        <v>2.3544735788169708</v>
      </c>
      <c r="BB307">
        <f t="shared" si="253"/>
        <v>7.4378764257224006</v>
      </c>
      <c r="BC307">
        <f t="shared" si="254"/>
        <v>-1.2082970900065251</v>
      </c>
      <c r="BD307">
        <f t="shared" si="238"/>
        <v>-249.23032373442004</v>
      </c>
      <c r="BF307">
        <f t="shared" si="239"/>
        <v>-35.555611885851143</v>
      </c>
      <c r="BG307">
        <f t="shared" si="240"/>
        <v>-173.55444628534269</v>
      </c>
      <c r="BH307">
        <f t="shared" si="255"/>
        <v>6.4455537146573079</v>
      </c>
      <c r="BI307">
        <f t="shared" si="256"/>
        <v>6.4455537146573079</v>
      </c>
      <c r="BJ307">
        <f t="shared" si="241"/>
        <v>0</v>
      </c>
      <c r="BK307">
        <f t="shared" si="257"/>
        <v>0</v>
      </c>
      <c r="BM307">
        <f t="shared" si="258"/>
        <v>-42.993488311573536</v>
      </c>
      <c r="BN307">
        <f t="shared" si="242"/>
        <v>-104.32412255092265</v>
      </c>
      <c r="BQ307" s="56">
        <f t="shared" si="259"/>
        <v>24.339837226007536</v>
      </c>
      <c r="BR307" s="59"/>
      <c r="BS307" s="59"/>
      <c r="BT307" s="59">
        <v>93325.43</v>
      </c>
      <c r="BU307" s="59">
        <v>5.6014999999999997</v>
      </c>
      <c r="BV307" s="59">
        <v>-129.64400000000001</v>
      </c>
      <c r="BY307" s="59"/>
      <c r="BZ307" s="59"/>
      <c r="CA307" s="59"/>
      <c r="CC307" s="59"/>
    </row>
    <row r="308" spans="1:81" x14ac:dyDescent="0.25">
      <c r="A308">
        <f t="shared" si="263"/>
        <v>470000</v>
      </c>
      <c r="B308">
        <f t="shared" si="243"/>
        <v>470</v>
      </c>
      <c r="C308">
        <f t="shared" si="212"/>
        <v>4.0243125256455583</v>
      </c>
      <c r="D308">
        <f t="shared" si="213"/>
        <v>1.3196756438735098</v>
      </c>
      <c r="F308">
        <f t="shared" si="214"/>
        <v>1.1603980260837266E-4</v>
      </c>
      <c r="G308">
        <f t="shared" si="215"/>
        <v>3.66456982400412E-3</v>
      </c>
      <c r="H308">
        <f t="shared" si="216"/>
        <v>-3.1379280801759961</v>
      </c>
      <c r="J308">
        <f t="shared" si="217"/>
        <v>15</v>
      </c>
      <c r="M308">
        <f t="shared" si="218"/>
        <v>3.1789446206448688E-3</v>
      </c>
      <c r="N308">
        <f t="shared" si="219"/>
        <v>-1.5707963250000001</v>
      </c>
      <c r="O308">
        <f t="shared" si="220"/>
        <v>120.20111756496203</v>
      </c>
      <c r="P308">
        <f t="shared" si="221"/>
        <v>1.562476840620449</v>
      </c>
      <c r="Q308">
        <f t="shared" si="222"/>
        <v>101.73615648015007</v>
      </c>
      <c r="R308">
        <f t="shared" si="223"/>
        <v>1.5609668213567505</v>
      </c>
      <c r="S308">
        <f t="shared" si="224"/>
        <v>0.2522530887860816</v>
      </c>
      <c r="T308">
        <f t="shared" si="225"/>
        <v>-1.3157883899849725</v>
      </c>
      <c r="U308">
        <f t="shared" si="226"/>
        <v>0.31694504450234662</v>
      </c>
      <c r="V308">
        <f t="shared" si="227"/>
        <v>-1.2482895991162426</v>
      </c>
      <c r="X308">
        <f t="shared" si="244"/>
        <v>-33.242456128832131</v>
      </c>
      <c r="Y308">
        <f t="shared" si="228"/>
        <v>-162.12889851164198</v>
      </c>
      <c r="Z308">
        <f t="shared" si="245"/>
        <v>17.871101488358022</v>
      </c>
      <c r="AC308">
        <v>1</v>
      </c>
      <c r="AD308">
        <f t="shared" si="229"/>
        <v>120.19695779788199</v>
      </c>
      <c r="AE308">
        <f t="shared" si="230"/>
        <v>-4.2594394370397012E-2</v>
      </c>
      <c r="AF308">
        <f t="shared" si="231"/>
        <v>1.423392797862E-2</v>
      </c>
      <c r="AG308">
        <f t="shared" si="246"/>
        <v>827.15607391751064</v>
      </c>
      <c r="AH308">
        <f t="shared" si="247"/>
        <v>-2545.4823203218484</v>
      </c>
      <c r="AJ308">
        <f t="shared" si="232"/>
        <v>22100</v>
      </c>
      <c r="AK308">
        <f t="shared" si="233"/>
        <v>84777.215978718916</v>
      </c>
      <c r="AL308">
        <v>1</v>
      </c>
      <c r="AM308">
        <f t="shared" si="234"/>
        <v>101.73124168785901</v>
      </c>
      <c r="AN308">
        <f t="shared" si="248"/>
        <v>835.39964523744948</v>
      </c>
      <c r="AO308">
        <f t="shared" si="249"/>
        <v>-209.02723688371486</v>
      </c>
      <c r="AQ308">
        <f t="shared" si="235"/>
        <v>1.131732535386447E-2</v>
      </c>
      <c r="AR308">
        <f t="shared" si="236"/>
        <v>-10.638285832632603</v>
      </c>
      <c r="AT308">
        <f t="shared" si="261"/>
        <v>-27070.207311089736</v>
      </c>
      <c r="AU308">
        <f t="shared" si="262"/>
        <v>-8828.3307941342518</v>
      </c>
      <c r="AV308">
        <f t="shared" si="250"/>
        <v>-2.8263415826996767</v>
      </c>
      <c r="AW308">
        <f t="shared" si="251"/>
        <v>-513.02731087538177</v>
      </c>
      <c r="AX308">
        <f t="shared" si="252"/>
        <v>-12203.336949945176</v>
      </c>
      <c r="AY308">
        <f t="shared" si="260"/>
        <v>-1.6128115066831687</v>
      </c>
      <c r="BA308">
        <f t="shared" si="237"/>
        <v>2.3311894427450528</v>
      </c>
      <c r="BB308">
        <f t="shared" si="253"/>
        <v>7.3515513528289578</v>
      </c>
      <c r="BC308">
        <f t="shared" si="254"/>
        <v>-1.213530076016508</v>
      </c>
      <c r="BD308">
        <f t="shared" si="238"/>
        <v>-249.53015174738567</v>
      </c>
      <c r="BF308">
        <f t="shared" si="239"/>
        <v>-35.740649830704115</v>
      </c>
      <c r="BG308">
        <f t="shared" si="240"/>
        <v>-173.70834255593857</v>
      </c>
      <c r="BH308">
        <f t="shared" si="255"/>
        <v>6.2916574440614284</v>
      </c>
      <c r="BI308">
        <f t="shared" si="256"/>
        <v>6.2916574440614284</v>
      </c>
      <c r="BJ308">
        <f t="shared" si="241"/>
        <v>0</v>
      </c>
      <c r="BK308">
        <f t="shared" si="257"/>
        <v>0</v>
      </c>
      <c r="BM308">
        <f t="shared" si="258"/>
        <v>-43.092201183533078</v>
      </c>
      <c r="BN308">
        <f t="shared" si="242"/>
        <v>-104.17819080855296</v>
      </c>
      <c r="BQ308" s="56">
        <f t="shared" si="259"/>
        <v>24.253512153114094</v>
      </c>
      <c r="BR308" s="59"/>
      <c r="BS308" s="59"/>
      <c r="BT308" s="59">
        <v>95499.259000000005</v>
      </c>
      <c r="BU308" s="59">
        <v>5.7946099999999996</v>
      </c>
      <c r="BV308" s="59">
        <v>-129.63</v>
      </c>
      <c r="BY308" s="59"/>
      <c r="BZ308" s="59"/>
      <c r="CA308" s="59"/>
      <c r="CC308" s="59"/>
    </row>
    <row r="309" spans="1:81" x14ac:dyDescent="0.25">
      <c r="A309">
        <f t="shared" si="263"/>
        <v>475000</v>
      </c>
      <c r="B309">
        <f t="shared" si="243"/>
        <v>475</v>
      </c>
      <c r="C309">
        <f t="shared" si="212"/>
        <v>4.0644939167028911</v>
      </c>
      <c r="D309">
        <f t="shared" si="213"/>
        <v>1.3222109248071723</v>
      </c>
      <c r="F309">
        <f t="shared" si="214"/>
        <v>1.1360945526357185E-4</v>
      </c>
      <c r="G309">
        <f t="shared" si="215"/>
        <v>3.6259868814411123E-3</v>
      </c>
      <c r="H309">
        <f t="shared" si="216"/>
        <v>-3.1379666631185592</v>
      </c>
      <c r="J309">
        <f t="shared" si="217"/>
        <v>15</v>
      </c>
      <c r="M309">
        <f t="shared" si="218"/>
        <v>3.1454820456907123E-3</v>
      </c>
      <c r="N309">
        <f t="shared" si="219"/>
        <v>-1.5707963250000001</v>
      </c>
      <c r="O309">
        <f t="shared" si="220"/>
        <v>121.47976481983461</v>
      </c>
      <c r="P309">
        <f t="shared" si="221"/>
        <v>1.5625644101818905</v>
      </c>
      <c r="Q309">
        <f t="shared" si="222"/>
        <v>102.81835199995284</v>
      </c>
      <c r="R309">
        <f t="shared" si="223"/>
        <v>1.5610702832753356</v>
      </c>
      <c r="S309">
        <f t="shared" si="224"/>
        <v>0.24976426183201181</v>
      </c>
      <c r="T309">
        <f t="shared" si="225"/>
        <v>-1.3183595333360176</v>
      </c>
      <c r="U309">
        <f t="shared" si="226"/>
        <v>0.31393917066943683</v>
      </c>
      <c r="V309">
        <f t="shared" si="227"/>
        <v>-1.2514571968878552</v>
      </c>
      <c r="X309">
        <f t="shared" si="244"/>
        <v>-33.417003818460785</v>
      </c>
      <c r="Y309">
        <f t="shared" si="228"/>
        <v>-162.30370860271972</v>
      </c>
      <c r="Z309">
        <f t="shared" si="245"/>
        <v>17.696291397280277</v>
      </c>
      <c r="AC309">
        <v>1</v>
      </c>
      <c r="AD309">
        <f t="shared" si="229"/>
        <v>121.475648838285</v>
      </c>
      <c r="AE309">
        <f t="shared" si="230"/>
        <v>-4.3505478632054437E-2</v>
      </c>
      <c r="AF309">
        <f t="shared" si="231"/>
        <v>1.4385352744350001E-2</v>
      </c>
      <c r="AG309">
        <f t="shared" si="246"/>
        <v>811.54114755168177</v>
      </c>
      <c r="AH309">
        <f t="shared" si="247"/>
        <v>-2523.8509405410578</v>
      </c>
      <c r="AJ309">
        <f t="shared" si="232"/>
        <v>22100</v>
      </c>
      <c r="AK309">
        <f t="shared" si="233"/>
        <v>85679.101255088259</v>
      </c>
      <c r="AL309">
        <v>1</v>
      </c>
      <c r="AM309">
        <f t="shared" si="234"/>
        <v>102.81348893985752</v>
      </c>
      <c r="AN309">
        <f t="shared" si="248"/>
        <v>835.35662012195382</v>
      </c>
      <c r="AO309">
        <f t="shared" si="249"/>
        <v>-206.82736865701696</v>
      </c>
      <c r="AQ309">
        <f t="shared" si="235"/>
        <v>1.1080320132609272E-2</v>
      </c>
      <c r="AR309">
        <f t="shared" si="236"/>
        <v>-10.526304125978807</v>
      </c>
      <c r="AT309">
        <f t="shared" si="261"/>
        <v>-26557.830433057174</v>
      </c>
      <c r="AU309">
        <f t="shared" si="262"/>
        <v>-8570.4940062630267</v>
      </c>
      <c r="AV309">
        <f t="shared" si="250"/>
        <v>-2.8294328091055938</v>
      </c>
      <c r="AW309">
        <f t="shared" si="251"/>
        <v>-483.05110557773389</v>
      </c>
      <c r="AX309">
        <f t="shared" si="252"/>
        <v>-12079.779907185455</v>
      </c>
      <c r="AY309">
        <f t="shared" si="260"/>
        <v>-1.6107634353142339</v>
      </c>
      <c r="BA309">
        <f t="shared" si="237"/>
        <v>2.3083364487334879</v>
      </c>
      <c r="BB309">
        <f t="shared" si="253"/>
        <v>7.2659821830817428</v>
      </c>
      <c r="BC309">
        <f t="shared" si="254"/>
        <v>-1.2186693737913599</v>
      </c>
      <c r="BD309">
        <f t="shared" si="238"/>
        <v>-249.82461181988211</v>
      </c>
      <c r="BF309">
        <f t="shared" si="239"/>
        <v>-35.923773528450972</v>
      </c>
      <c r="BG309">
        <f t="shared" si="240"/>
        <v>-173.85975237066282</v>
      </c>
      <c r="BH309">
        <f t="shared" si="255"/>
        <v>6.1402476293371819</v>
      </c>
      <c r="BI309">
        <f t="shared" si="256"/>
        <v>6.1402476293371819</v>
      </c>
      <c r="BJ309">
        <f t="shared" si="241"/>
        <v>0</v>
      </c>
      <c r="BK309">
        <f t="shared" si="257"/>
        <v>0</v>
      </c>
      <c r="BM309">
        <f t="shared" si="258"/>
        <v>-43.189755711532726</v>
      </c>
      <c r="BN309">
        <f t="shared" si="242"/>
        <v>-104.03514055078071</v>
      </c>
      <c r="BQ309" s="56">
        <f t="shared" si="259"/>
        <v>24.167942983366878</v>
      </c>
      <c r="BR309" s="59"/>
      <c r="BS309" s="59"/>
      <c r="BT309" s="59">
        <v>97723.721999999994</v>
      </c>
      <c r="BU309" s="59">
        <v>5.9855799999999997</v>
      </c>
      <c r="BV309" s="59">
        <v>-129.62100000000001</v>
      </c>
      <c r="BY309" s="59"/>
      <c r="BZ309" s="59"/>
      <c r="CA309" s="59"/>
      <c r="CC309" s="59"/>
    </row>
    <row r="310" spans="1:81" x14ac:dyDescent="0.25">
      <c r="A310">
        <f t="shared" si="263"/>
        <v>480000</v>
      </c>
      <c r="B310">
        <f t="shared" si="243"/>
        <v>480</v>
      </c>
      <c r="C310">
        <f t="shared" si="212"/>
        <v>4.1047009213212746</v>
      </c>
      <c r="D310">
        <f t="shared" si="213"/>
        <v>1.3246965535019324</v>
      </c>
      <c r="F310">
        <f t="shared" si="214"/>
        <v>1.1125467069226539E-4</v>
      </c>
      <c r="G310">
        <f t="shared" si="215"/>
        <v>3.5882080124231266E-3</v>
      </c>
      <c r="H310">
        <f t="shared" si="216"/>
        <v>-3.1380044419875772</v>
      </c>
      <c r="J310">
        <f t="shared" si="217"/>
        <v>15</v>
      </c>
      <c r="M310">
        <f t="shared" si="218"/>
        <v>3.1127166077147671E-3</v>
      </c>
      <c r="N310">
        <f t="shared" si="219"/>
        <v>-1.5707963250000001</v>
      </c>
      <c r="O310">
        <f t="shared" si="220"/>
        <v>122.75841298685988</v>
      </c>
      <c r="P310">
        <f t="shared" si="221"/>
        <v>1.5626501554998142</v>
      </c>
      <c r="Q310">
        <f t="shared" si="222"/>
        <v>103.90054859743398</v>
      </c>
      <c r="R310">
        <f t="shared" si="223"/>
        <v>1.5611715899390657</v>
      </c>
      <c r="S310">
        <f t="shared" si="224"/>
        <v>0.24732247914753683</v>
      </c>
      <c r="T310">
        <f t="shared" si="225"/>
        <v>-1.3208804202903159</v>
      </c>
      <c r="U310">
        <f t="shared" si="226"/>
        <v>0.31098674305496438</v>
      </c>
      <c r="V310">
        <f t="shared" si="227"/>
        <v>-1.2545652462801204</v>
      </c>
      <c r="X310">
        <f t="shared" si="244"/>
        <v>-33.589896270951932</v>
      </c>
      <c r="Y310">
        <f t="shared" si="228"/>
        <v>-162.47525414572644</v>
      </c>
      <c r="Z310">
        <f t="shared" si="245"/>
        <v>17.524745854273561</v>
      </c>
      <c r="AC310">
        <v>1</v>
      </c>
      <c r="AD310">
        <f t="shared" si="229"/>
        <v>122.75433987868801</v>
      </c>
      <c r="AE310">
        <f t="shared" si="230"/>
        <v>-4.4426203997009826E-2</v>
      </c>
      <c r="AF310">
        <f t="shared" si="231"/>
        <v>1.453677751008E-2</v>
      </c>
      <c r="AG310">
        <f t="shared" si="246"/>
        <v>796.34871475343232</v>
      </c>
      <c r="AH310">
        <f t="shared" si="247"/>
        <v>-2502.5319696313063</v>
      </c>
      <c r="AJ310">
        <f t="shared" si="232"/>
        <v>22100</v>
      </c>
      <c r="AK310">
        <f t="shared" si="233"/>
        <v>86580.986531457616</v>
      </c>
      <c r="AL310">
        <v>1</v>
      </c>
      <c r="AM310">
        <f t="shared" si="234"/>
        <v>103.89573619185602</v>
      </c>
      <c r="AN310">
        <f t="shared" si="248"/>
        <v>835.31493236010874</v>
      </c>
      <c r="AO310">
        <f t="shared" si="249"/>
        <v>-204.67331814630086</v>
      </c>
      <c r="AQ310">
        <f t="shared" si="235"/>
        <v>1.0850682670700227E-2</v>
      </c>
      <c r="AR310">
        <f t="shared" si="236"/>
        <v>-10.416655363872218</v>
      </c>
      <c r="AT310">
        <f t="shared" si="261"/>
        <v>-26059.372137522645</v>
      </c>
      <c r="AU310">
        <f t="shared" si="262"/>
        <v>-8322.4442913248386</v>
      </c>
      <c r="AV310">
        <f t="shared" si="250"/>
        <v>-2.8324660780801927</v>
      </c>
      <c r="AW310">
        <f t="shared" si="251"/>
        <v>-454.07238483183261</v>
      </c>
      <c r="AX310">
        <f t="shared" si="252"/>
        <v>-11958.667790811089</v>
      </c>
      <c r="AY310">
        <f t="shared" si="260"/>
        <v>-1.6087482428801247</v>
      </c>
      <c r="BA310">
        <f t="shared" si="237"/>
        <v>2.2859034601523196</v>
      </c>
      <c r="BB310">
        <f t="shared" si="253"/>
        <v>7.1811577004638414</v>
      </c>
      <c r="BC310">
        <f t="shared" si="254"/>
        <v>-1.2237178352000679</v>
      </c>
      <c r="BD310">
        <f t="shared" si="238"/>
        <v>-250.11386735196629</v>
      </c>
      <c r="BF310">
        <f t="shared" si="239"/>
        <v>-36.105021690067026</v>
      </c>
      <c r="BG310">
        <f t="shared" si="240"/>
        <v>-174.00875643868986</v>
      </c>
      <c r="BH310">
        <f t="shared" si="255"/>
        <v>5.9912435613101422</v>
      </c>
      <c r="BI310">
        <f t="shared" si="256"/>
        <v>5.9912435613101422</v>
      </c>
      <c r="BJ310">
        <f t="shared" si="241"/>
        <v>0</v>
      </c>
      <c r="BK310">
        <f t="shared" si="257"/>
        <v>0</v>
      </c>
      <c r="BM310">
        <f t="shared" si="258"/>
        <v>-43.286179390530876</v>
      </c>
      <c r="BN310">
        <f t="shared" si="242"/>
        <v>-103.89488908672359</v>
      </c>
      <c r="BQ310" s="56">
        <f t="shared" si="259"/>
        <v>24.083118500748981</v>
      </c>
      <c r="BR310" s="59"/>
      <c r="BS310" s="59"/>
      <c r="BT310" s="59">
        <v>100000</v>
      </c>
      <c r="BU310" s="59">
        <v>6.1811499999999997</v>
      </c>
      <c r="BV310" s="59">
        <v>-129.59</v>
      </c>
      <c r="BY310" s="59"/>
      <c r="BZ310" s="59"/>
      <c r="CA310" s="59"/>
      <c r="CC310" s="59"/>
    </row>
    <row r="311" spans="1:81" x14ac:dyDescent="0.25">
      <c r="A311">
        <f t="shared" si="263"/>
        <v>485000</v>
      </c>
      <c r="B311">
        <f t="shared" si="243"/>
        <v>485</v>
      </c>
      <c r="C311">
        <f t="shared" si="212"/>
        <v>4.1449327941247089</v>
      </c>
      <c r="D311">
        <f t="shared" si="213"/>
        <v>1.3271339446035431</v>
      </c>
      <c r="F311">
        <f t="shared" si="214"/>
        <v>1.089723484826067E-4</v>
      </c>
      <c r="G311">
        <f t="shared" si="215"/>
        <v>3.551208338047139E-3</v>
      </c>
      <c r="H311">
        <f t="shared" si="216"/>
        <v>-3.1380414416619531</v>
      </c>
      <c r="J311">
        <f t="shared" si="217"/>
        <v>15</v>
      </c>
      <c r="M311">
        <f t="shared" si="218"/>
        <v>3.0806267457795635E-3</v>
      </c>
      <c r="N311">
        <f t="shared" si="219"/>
        <v>-1.5707963250000001</v>
      </c>
      <c r="O311">
        <f t="shared" si="220"/>
        <v>124.03706203782876</v>
      </c>
      <c r="P311">
        <f t="shared" si="221"/>
        <v>1.562734132989156</v>
      </c>
      <c r="Q311">
        <f t="shared" si="222"/>
        <v>104.98274623926635</v>
      </c>
      <c r="R311">
        <f t="shared" si="223"/>
        <v>1.5612708079971156</v>
      </c>
      <c r="S311">
        <f t="shared" si="224"/>
        <v>0.24492646611228644</v>
      </c>
      <c r="T311">
        <f t="shared" si="225"/>
        <v>-1.3233524789570281</v>
      </c>
      <c r="U311">
        <f t="shared" si="226"/>
        <v>0.30808643659564811</v>
      </c>
      <c r="V311">
        <f t="shared" si="227"/>
        <v>-1.2576153524616411</v>
      </c>
      <c r="X311">
        <f t="shared" si="244"/>
        <v>-33.76116319676057</v>
      </c>
      <c r="Y311">
        <f t="shared" si="228"/>
        <v>-162.64362225584699</v>
      </c>
      <c r="Z311">
        <f t="shared" si="245"/>
        <v>17.356377744153008</v>
      </c>
      <c r="AC311">
        <v>1</v>
      </c>
      <c r="AD311">
        <f t="shared" si="229"/>
        <v>124.033030919091</v>
      </c>
      <c r="AE311">
        <f t="shared" si="230"/>
        <v>-4.5356570465263181E-2</v>
      </c>
      <c r="AF311">
        <f t="shared" si="231"/>
        <v>1.4688202275810001E-2</v>
      </c>
      <c r="AG311">
        <f t="shared" si="246"/>
        <v>781.56425666249879</v>
      </c>
      <c r="AH311">
        <f t="shared" si="247"/>
        <v>-2481.5204472280207</v>
      </c>
      <c r="AJ311">
        <f t="shared" si="232"/>
        <v>22100</v>
      </c>
      <c r="AK311">
        <f t="shared" si="233"/>
        <v>87482.871807826959</v>
      </c>
      <c r="AL311">
        <v>1</v>
      </c>
      <c r="AM311">
        <f t="shared" si="234"/>
        <v>104.97798344385451</v>
      </c>
      <c r="AN311">
        <f t="shared" si="248"/>
        <v>835.27452709696217</v>
      </c>
      <c r="AO311">
        <f t="shared" si="249"/>
        <v>-202.56366883134191</v>
      </c>
      <c r="AQ311">
        <f t="shared" si="235"/>
        <v>1.0628110715154942E-2</v>
      </c>
      <c r="AR311">
        <f t="shared" si="236"/>
        <v>-10.309267393700294</v>
      </c>
      <c r="AT311">
        <f t="shared" si="261"/>
        <v>-25574.351281957588</v>
      </c>
      <c r="AU311">
        <f t="shared" si="262"/>
        <v>-8083.7287813473658</v>
      </c>
      <c r="AV311">
        <f t="shared" si="250"/>
        <v>-2.8354429455924541</v>
      </c>
      <c r="AW311">
        <f t="shared" si="251"/>
        <v>-426.04729553975392</v>
      </c>
      <c r="AX311">
        <f t="shared" si="252"/>
        <v>-11839.929276467643</v>
      </c>
      <c r="AY311">
        <f t="shared" si="260"/>
        <v>-1.6067647468827919</v>
      </c>
      <c r="BA311">
        <f t="shared" si="237"/>
        <v>2.2638796838219659</v>
      </c>
      <c r="BB311">
        <f t="shared" si="253"/>
        <v>7.0970668421913787</v>
      </c>
      <c r="BC311">
        <f t="shared" si="254"/>
        <v>-1.2286781987096622</v>
      </c>
      <c r="BD311">
        <f t="shared" si="238"/>
        <v>-250.39807524624149</v>
      </c>
      <c r="BF311">
        <f t="shared" si="239"/>
        <v>-36.284431899582955</v>
      </c>
      <c r="BG311">
        <f t="shared" si="240"/>
        <v>-174.15543203484796</v>
      </c>
      <c r="BH311">
        <f t="shared" si="255"/>
        <v>5.8445679651520379</v>
      </c>
      <c r="BI311">
        <f t="shared" si="256"/>
        <v>5.8445679651520379</v>
      </c>
      <c r="BJ311">
        <f t="shared" si="241"/>
        <v>0</v>
      </c>
      <c r="BK311">
        <f t="shared" si="257"/>
        <v>0</v>
      </c>
      <c r="BM311">
        <f t="shared" si="258"/>
        <v>-43.38149874177433</v>
      </c>
      <c r="BN311">
        <f t="shared" si="242"/>
        <v>-103.75735678860651</v>
      </c>
      <c r="BQ311" s="56">
        <f t="shared" si="259"/>
        <v>23.999027642476513</v>
      </c>
      <c r="BR311" s="59"/>
      <c r="BS311" s="59"/>
      <c r="BT311" s="59">
        <v>102329.299</v>
      </c>
      <c r="BU311" s="59">
        <v>6.3762999999999996</v>
      </c>
      <c r="BV311" s="59">
        <v>-129.61099999999999</v>
      </c>
      <c r="BY311" s="59"/>
      <c r="BZ311" s="59"/>
      <c r="CA311" s="59"/>
      <c r="CC311" s="59"/>
    </row>
    <row r="312" spans="1:81" x14ac:dyDescent="0.25">
      <c r="A312">
        <f t="shared" si="263"/>
        <v>490000</v>
      </c>
      <c r="B312">
        <f t="shared" si="243"/>
        <v>490</v>
      </c>
      <c r="C312">
        <f t="shared" si="212"/>
        <v>4.1851888179458578</v>
      </c>
      <c r="D312">
        <f t="shared" si="213"/>
        <v>1.3295244606730074</v>
      </c>
      <c r="F312">
        <f t="shared" si="214"/>
        <v>1.0675954562809468E-4</v>
      </c>
      <c r="G312">
        <f t="shared" si="215"/>
        <v>3.5149639954106787E-3</v>
      </c>
      <c r="H312">
        <f t="shared" si="216"/>
        <v>-3.1380776860045896</v>
      </c>
      <c r="J312">
        <f t="shared" si="217"/>
        <v>15</v>
      </c>
      <c r="M312">
        <f t="shared" si="218"/>
        <v>3.0491917789858946E-3</v>
      </c>
      <c r="N312">
        <f t="shared" si="219"/>
        <v>-1.5707963250000001</v>
      </c>
      <c r="O312">
        <f t="shared" si="220"/>
        <v>125.31571194568352</v>
      </c>
      <c r="P312">
        <f t="shared" si="221"/>
        <v>1.5628163967624504</v>
      </c>
      <c r="Q312">
        <f t="shared" si="222"/>
        <v>106.0649448934829</v>
      </c>
      <c r="R312">
        <f t="shared" si="223"/>
        <v>1.5613680013786972</v>
      </c>
      <c r="S312">
        <f t="shared" si="224"/>
        <v>0.24257499188671597</v>
      </c>
      <c r="T312">
        <f t="shared" si="225"/>
        <v>-1.3257770850416239</v>
      </c>
      <c r="U312">
        <f t="shared" si="226"/>
        <v>0.30523696619754787</v>
      </c>
      <c r="V312">
        <f t="shared" si="227"/>
        <v>-1.2606090656193034</v>
      </c>
      <c r="X312">
        <f t="shared" si="244"/>
        <v>-33.930833547623848</v>
      </c>
      <c r="Y312">
        <f t="shared" si="228"/>
        <v>-162.80889710931973</v>
      </c>
      <c r="Z312">
        <f t="shared" si="245"/>
        <v>17.19110289068027</v>
      </c>
      <c r="AC312">
        <v>1</v>
      </c>
      <c r="AD312">
        <f t="shared" si="229"/>
        <v>125.31172195949401</v>
      </c>
      <c r="AE312">
        <f t="shared" si="230"/>
        <v>-4.6296578036814501E-2</v>
      </c>
      <c r="AF312">
        <f t="shared" si="231"/>
        <v>1.483962704154E-2</v>
      </c>
      <c r="AG312">
        <f t="shared" si="246"/>
        <v>767.17384500921003</v>
      </c>
      <c r="AH312">
        <f t="shared" si="247"/>
        <v>-2460.8114261261289</v>
      </c>
      <c r="AJ312">
        <f t="shared" si="232"/>
        <v>22100</v>
      </c>
      <c r="AK312">
        <f t="shared" si="233"/>
        <v>88384.757084196317</v>
      </c>
      <c r="AL312">
        <v>1</v>
      </c>
      <c r="AM312">
        <f t="shared" si="234"/>
        <v>106.06023069585302</v>
      </c>
      <c r="AN312">
        <f t="shared" si="248"/>
        <v>835.23535226142815</v>
      </c>
      <c r="AO312">
        <f t="shared" si="249"/>
        <v>-200.49706198281945</v>
      </c>
      <c r="AQ312">
        <f t="shared" si="235"/>
        <v>1.0412317354938198E-2</v>
      </c>
      <c r="AR312">
        <f t="shared" si="236"/>
        <v>-10.204071007839433</v>
      </c>
      <c r="AT312">
        <f t="shared" si="261"/>
        <v>-25102.306471552998</v>
      </c>
      <c r="AU312">
        <f t="shared" si="262"/>
        <v>-7853.9191393506662</v>
      </c>
      <c r="AV312">
        <f t="shared" si="250"/>
        <v>-2.8383649146375411</v>
      </c>
      <c r="AW312">
        <f t="shared" si="251"/>
        <v>-398.93436301284459</v>
      </c>
      <c r="AX312">
        <f t="shared" si="252"/>
        <v>-11723.49578443397</v>
      </c>
      <c r="AY312">
        <f t="shared" si="260"/>
        <v>-1.6048118197536989</v>
      </c>
      <c r="BA312">
        <f t="shared" si="237"/>
        <v>2.2422546592408574</v>
      </c>
      <c r="BB312">
        <f t="shared" si="253"/>
        <v>7.0136987023995898</v>
      </c>
      <c r="BC312">
        <f t="shared" si="254"/>
        <v>-1.2335530948838422</v>
      </c>
      <c r="BD312">
        <f t="shared" si="238"/>
        <v>-250.67738622290562</v>
      </c>
      <c r="BF312">
        <f t="shared" si="239"/>
        <v>-36.462040655632855</v>
      </c>
      <c r="BG312">
        <f t="shared" si="240"/>
        <v>-174.29985317758377</v>
      </c>
      <c r="BH312">
        <f t="shared" si="255"/>
        <v>5.7001468224162295</v>
      </c>
      <c r="BI312">
        <f t="shared" si="256"/>
        <v>5.7001468224162295</v>
      </c>
      <c r="BJ312">
        <f t="shared" si="241"/>
        <v>0</v>
      </c>
      <c r="BK312">
        <f t="shared" si="257"/>
        <v>0</v>
      </c>
      <c r="BM312">
        <f t="shared" si="258"/>
        <v>-43.475739358032442</v>
      </c>
      <c r="BN312">
        <f t="shared" si="242"/>
        <v>-103.62246695467816</v>
      </c>
      <c r="BQ312" s="56">
        <f t="shared" si="259"/>
        <v>23.915659502684726</v>
      </c>
      <c r="BR312" s="59"/>
      <c r="BS312" s="59"/>
      <c r="BT312" s="59">
        <v>104712.855</v>
      </c>
      <c r="BU312" s="59">
        <v>6.5692300000000001</v>
      </c>
      <c r="BV312" s="59">
        <v>-129.61699999999999</v>
      </c>
      <c r="BY312" s="59"/>
      <c r="BZ312" s="59"/>
      <c r="CA312" s="59"/>
      <c r="CC312" s="59"/>
    </row>
    <row r="313" spans="1:81" x14ac:dyDescent="0.25">
      <c r="A313">
        <f t="shared" si="263"/>
        <v>495000</v>
      </c>
      <c r="B313">
        <f t="shared" si="243"/>
        <v>495</v>
      </c>
      <c r="C313">
        <f t="shared" si="212"/>
        <v>4.2254683025247566</v>
      </c>
      <c r="D313">
        <f t="shared" si="213"/>
        <v>1.3318694145066392</v>
      </c>
      <c r="F313">
        <f t="shared" si="214"/>
        <v>1.0461346703412857E-4</v>
      </c>
      <c r="G313">
        <f t="shared" si="215"/>
        <v>3.4794520862667217E-3</v>
      </c>
      <c r="H313">
        <f t="shared" si="216"/>
        <v>-3.1381131979137336</v>
      </c>
      <c r="J313">
        <f t="shared" si="217"/>
        <v>15</v>
      </c>
      <c r="M313">
        <f t="shared" si="218"/>
        <v>3.0183918620264407E-3</v>
      </c>
      <c r="N313">
        <f t="shared" si="219"/>
        <v>-1.5707963250000001</v>
      </c>
      <c r="O313">
        <f t="shared" si="220"/>
        <v>126.59436268445955</v>
      </c>
      <c r="P313">
        <f t="shared" si="221"/>
        <v>1.5628969987460992</v>
      </c>
      <c r="Q313">
        <f t="shared" si="222"/>
        <v>107.14714452940801</v>
      </c>
      <c r="R313">
        <f t="shared" si="223"/>
        <v>1.5614632314304069</v>
      </c>
      <c r="S313">
        <f t="shared" si="224"/>
        <v>0.24026686764142857</v>
      </c>
      <c r="T313">
        <f t="shared" si="225"/>
        <v>-1.3281555641702625</v>
      </c>
      <c r="U313">
        <f t="shared" si="226"/>
        <v>0.30243708541819936</v>
      </c>
      <c r="V313">
        <f t="shared" si="227"/>
        <v>-1.2635478831889506</v>
      </c>
      <c r="X313">
        <f t="shared" si="244"/>
        <v>-34.098935541149508</v>
      </c>
      <c r="Y313">
        <f t="shared" si="228"/>
        <v>-162.97116005990281</v>
      </c>
      <c r="Z313">
        <f t="shared" si="245"/>
        <v>17.028839940097185</v>
      </c>
      <c r="AC313">
        <v>1</v>
      </c>
      <c r="AD313">
        <f t="shared" si="229"/>
        <v>126.590412999897</v>
      </c>
      <c r="AE313">
        <f t="shared" si="230"/>
        <v>-4.7246226711663786E-2</v>
      </c>
      <c r="AF313">
        <f t="shared" si="231"/>
        <v>1.4991051807269999E-2</v>
      </c>
      <c r="AG313">
        <f t="shared" si="246"/>
        <v>753.16411510654211</v>
      </c>
      <c r="AH313">
        <f t="shared" si="247"/>
        <v>-2440.3999801849541</v>
      </c>
      <c r="AJ313">
        <f t="shared" si="232"/>
        <v>22100</v>
      </c>
      <c r="AK313">
        <f t="shared" si="233"/>
        <v>89286.64236056566</v>
      </c>
      <c r="AL313">
        <v>1</v>
      </c>
      <c r="AM313">
        <f t="shared" si="234"/>
        <v>107.14247794785152</v>
      </c>
      <c r="AN313">
        <f t="shared" si="248"/>
        <v>835.19735839845976</v>
      </c>
      <c r="AO313">
        <f t="shared" si="249"/>
        <v>-198.47219374515086</v>
      </c>
      <c r="AQ313">
        <f t="shared" si="235"/>
        <v>1.0203030095877873E-2</v>
      </c>
      <c r="AR313">
        <f t="shared" si="236"/>
        <v>-10.100999794919096</v>
      </c>
      <c r="AT313">
        <f t="shared" si="261"/>
        <v>-24642.795143235217</v>
      </c>
      <c r="AU313">
        <f t="shared" si="262"/>
        <v>-7632.6100466754106</v>
      </c>
      <c r="AV313">
        <f t="shared" si="250"/>
        <v>-2.8412334373660801</v>
      </c>
      <c r="AW313">
        <f t="shared" si="251"/>
        <v>-372.69433860245789</v>
      </c>
      <c r="AX313">
        <f t="shared" si="252"/>
        <v>-11609.301348091609</v>
      </c>
      <c r="AY313">
        <f t="shared" si="260"/>
        <v>-1.6028883857955403</v>
      </c>
      <c r="BA313">
        <f t="shared" si="237"/>
        <v>2.2210182480169851</v>
      </c>
      <c r="BB313">
        <f t="shared" si="253"/>
        <v>6.9310425350444547</v>
      </c>
      <c r="BC313">
        <f t="shared" si="254"/>
        <v>-1.2383450515705399</v>
      </c>
      <c r="BD313">
        <f t="shared" si="238"/>
        <v>-250.95194511697662</v>
      </c>
      <c r="BF313">
        <f t="shared" si="239"/>
        <v>-36.637883411218411</v>
      </c>
      <c r="BG313">
        <f t="shared" si="240"/>
        <v>-174.44209079619984</v>
      </c>
      <c r="BH313">
        <f t="shared" si="255"/>
        <v>5.5579092038001647</v>
      </c>
      <c r="BI313">
        <f t="shared" si="256"/>
        <v>5.5579092038001647</v>
      </c>
      <c r="BJ313">
        <f t="shared" si="241"/>
        <v>0</v>
      </c>
      <c r="BK313">
        <f t="shared" si="257"/>
        <v>0</v>
      </c>
      <c r="BM313">
        <f t="shared" si="258"/>
        <v>-43.568925946262866</v>
      </c>
      <c r="BN313">
        <f t="shared" si="242"/>
        <v>-103.49014567922322</v>
      </c>
      <c r="BQ313" s="56">
        <f t="shared" si="259"/>
        <v>23.833003335329593</v>
      </c>
      <c r="BR313" s="59"/>
      <c r="BS313" s="59"/>
      <c r="BT313" s="59">
        <v>107151.931</v>
      </c>
      <c r="BU313" s="59">
        <v>6.77081</v>
      </c>
      <c r="BV313" s="59">
        <v>-129.57599999999999</v>
      </c>
      <c r="BY313" s="59"/>
      <c r="BZ313" s="59"/>
      <c r="CA313" s="59"/>
      <c r="CC313" s="59"/>
    </row>
    <row r="314" spans="1:81" x14ac:dyDescent="0.25">
      <c r="A314">
        <f t="shared" si="263"/>
        <v>500000</v>
      </c>
      <c r="B314">
        <f t="shared" si="243"/>
        <v>500</v>
      </c>
      <c r="C314">
        <f t="shared" si="212"/>
        <v>4.2657705832777371</v>
      </c>
      <c r="D314">
        <f t="shared" si="213"/>
        <v>1.3341700713363775</v>
      </c>
      <c r="F314">
        <f t="shared" si="214"/>
        <v>1.0253145668592879E-4</v>
      </c>
      <c r="G314">
        <f t="shared" si="215"/>
        <v>3.4446506287614939E-3</v>
      </c>
      <c r="H314">
        <f t="shared" si="216"/>
        <v>-3.1381479993712387</v>
      </c>
      <c r="J314">
        <f t="shared" si="217"/>
        <v>15</v>
      </c>
      <c r="M314">
        <f t="shared" si="218"/>
        <v>2.9882079434061766E-3</v>
      </c>
      <c r="N314">
        <f t="shared" si="219"/>
        <v>-1.5707963250000001</v>
      </c>
      <c r="O314">
        <f t="shared" si="220"/>
        <v>127.8730142292308</v>
      </c>
      <c r="P314">
        <f t="shared" si="221"/>
        <v>1.5629759887896642</v>
      </c>
      <c r="Q314">
        <f t="shared" si="222"/>
        <v>108.22934511759298</v>
      </c>
      <c r="R314">
        <f t="shared" si="223"/>
        <v>1.5615565570453336</v>
      </c>
      <c r="S314">
        <f t="shared" si="224"/>
        <v>0.23800094486602349</v>
      </c>
      <c r="T314">
        <f t="shared" si="225"/>
        <v>-1.3304891940948416</v>
      </c>
      <c r="U314">
        <f t="shared" si="226"/>
        <v>0.29968558518896871</v>
      </c>
      <c r="V314">
        <f t="shared" si="227"/>
        <v>-1.2664332519842203</v>
      </c>
      <c r="X314">
        <f t="shared" si="244"/>
        <v>-34.265496684448294</v>
      </c>
      <c r="Y314">
        <f t="shared" si="228"/>
        <v>-163.13048975022474</v>
      </c>
      <c r="Z314">
        <f t="shared" si="245"/>
        <v>16.86951024977526</v>
      </c>
      <c r="AC314">
        <v>1</v>
      </c>
      <c r="AD314">
        <f t="shared" si="229"/>
        <v>127.8691040403</v>
      </c>
      <c r="AE314">
        <f t="shared" si="230"/>
        <v>-4.8205516489811029E-2</v>
      </c>
      <c r="AF314">
        <f t="shared" si="231"/>
        <v>1.5142476573E-2</v>
      </c>
      <c r="AG314">
        <f t="shared" si="246"/>
        <v>739.52224016466027</v>
      </c>
      <c r="AH314">
        <f t="shared" si="247"/>
        <v>-2420.281211343402</v>
      </c>
      <c r="AJ314">
        <f t="shared" si="232"/>
        <v>22100</v>
      </c>
      <c r="AK314">
        <f t="shared" si="233"/>
        <v>90188.527636935018</v>
      </c>
      <c r="AL314">
        <v>1</v>
      </c>
      <c r="AM314">
        <f t="shared" si="234"/>
        <v>108.22472519985003</v>
      </c>
      <c r="AN314">
        <f t="shared" si="248"/>
        <v>835.16049851290848</v>
      </c>
      <c r="AO314">
        <f t="shared" si="249"/>
        <v>-196.48781239424721</v>
      </c>
      <c r="AQ314">
        <f t="shared" si="235"/>
        <v>9.9999900000099992E-3</v>
      </c>
      <c r="AR314">
        <f t="shared" si="236"/>
        <v>-9.9999900000099995</v>
      </c>
      <c r="AT314">
        <f t="shared" si="261"/>
        <v>-24195.392695639675</v>
      </c>
      <c r="AU314">
        <f t="shared" si="262"/>
        <v>-7419.4177943422419</v>
      </c>
      <c r="AV314">
        <f t="shared" si="250"/>
        <v>-2.8440499171176827</v>
      </c>
      <c r="AW314">
        <f t="shared" si="251"/>
        <v>-347.29005852361632</v>
      </c>
      <c r="AX314">
        <f t="shared" si="252"/>
        <v>-11497.282489980833</v>
      </c>
      <c r="AY314">
        <f t="shared" si="260"/>
        <v>-1.6009934183193983</v>
      </c>
      <c r="BA314">
        <f t="shared" si="237"/>
        <v>2.2001606235223798</v>
      </c>
      <c r="BB314">
        <f t="shared" si="253"/>
        <v>6.8490877561079504</v>
      </c>
      <c r="BC314">
        <f t="shared" si="254"/>
        <v>-1.2430564987982844</v>
      </c>
      <c r="BD314">
        <f t="shared" si="238"/>
        <v>-251.22189115883344</v>
      </c>
      <c r="BF314">
        <f t="shared" si="239"/>
        <v>-36.811994611771588</v>
      </c>
      <c r="BG314">
        <f t="shared" si="240"/>
        <v>-174.58221288809233</v>
      </c>
      <c r="BH314">
        <f t="shared" si="255"/>
        <v>5.4177871119076713</v>
      </c>
      <c r="BI314">
        <f t="shared" si="256"/>
        <v>5.4177871119076713</v>
      </c>
      <c r="BJ314">
        <f t="shared" si="241"/>
        <v>0</v>
      </c>
      <c r="BK314">
        <f t="shared" si="257"/>
        <v>0</v>
      </c>
      <c r="BM314">
        <f t="shared" si="258"/>
        <v>-43.661082367879544</v>
      </c>
      <c r="BN314">
        <f t="shared" si="242"/>
        <v>-103.36032172925889</v>
      </c>
      <c r="BQ314" s="56">
        <f t="shared" si="259"/>
        <v>23.751048556393087</v>
      </c>
      <c r="BR314" s="59"/>
      <c r="BS314" s="59"/>
      <c r="BT314" s="59">
        <v>109647.82</v>
      </c>
      <c r="BU314" s="59">
        <v>6.9849899999999998</v>
      </c>
      <c r="BV314" s="59">
        <v>-129.52799999999999</v>
      </c>
      <c r="BY314" s="59"/>
      <c r="BZ314" s="59"/>
      <c r="CA314" s="59"/>
      <c r="CC314" s="59"/>
    </row>
    <row r="315" spans="1:81" x14ac:dyDescent="0.25">
      <c r="A315">
        <f t="shared" si="263"/>
        <v>505000</v>
      </c>
      <c r="B315">
        <f t="shared" si="243"/>
        <v>505</v>
      </c>
      <c r="C315">
        <f t="shared" si="212"/>
        <v>4.3060950201322497</v>
      </c>
      <c r="D315">
        <f t="shared" si="213"/>
        <v>1.3364276509172868</v>
      </c>
      <c r="F315">
        <f t="shared" si="214"/>
        <v>1.0051098942568405E-4</v>
      </c>
      <c r="G315">
        <f t="shared" si="215"/>
        <v>3.4105385120413406E-3</v>
      </c>
      <c r="H315">
        <f t="shared" si="216"/>
        <v>-3.1381821114879589</v>
      </c>
      <c r="J315">
        <f t="shared" si="217"/>
        <v>15</v>
      </c>
      <c r="M315">
        <f t="shared" si="218"/>
        <v>2.9586217261447297E-3</v>
      </c>
      <c r="N315">
        <f t="shared" si="219"/>
        <v>-1.5707963250000001</v>
      </c>
      <c r="O315">
        <f t="shared" si="220"/>
        <v>129.15166655605825</v>
      </c>
      <c r="P315">
        <f t="shared" si="221"/>
        <v>1.5630534147686683</v>
      </c>
      <c r="Q315">
        <f t="shared" si="222"/>
        <v>109.31154662975533</v>
      </c>
      <c r="R315">
        <f t="shared" si="223"/>
        <v>1.5616480347844979</v>
      </c>
      <c r="S315">
        <f t="shared" si="224"/>
        <v>0.23577611375375893</v>
      </c>
      <c r="T315">
        <f t="shared" si="225"/>
        <v>-1.332779206785581</v>
      </c>
      <c r="U315">
        <f t="shared" si="226"/>
        <v>0.29698129257717665</v>
      </c>
      <c r="V315">
        <f t="shared" si="227"/>
        <v>-1.2692665702285262</v>
      </c>
      <c r="X315">
        <f t="shared" si="244"/>
        <v>-34.43054379685443</v>
      </c>
      <c r="Y315">
        <f t="shared" si="228"/>
        <v>-163.28696221825268</v>
      </c>
      <c r="Z315">
        <f t="shared" si="245"/>
        <v>16.713037781747317</v>
      </c>
      <c r="AC315">
        <v>1</v>
      </c>
      <c r="AD315">
        <f t="shared" si="229"/>
        <v>129.14779508070302</v>
      </c>
      <c r="AE315">
        <f t="shared" si="230"/>
        <v>-4.9174447371256223E-2</v>
      </c>
      <c r="AF315">
        <f t="shared" si="231"/>
        <v>1.5293901338729999E-2</v>
      </c>
      <c r="AG315">
        <f t="shared" si="246"/>
        <v>726.23590686300929</v>
      </c>
      <c r="AH315">
        <f t="shared" si="247"/>
        <v>-2400.4502558272789</v>
      </c>
      <c r="AJ315">
        <f t="shared" si="232"/>
        <v>22100</v>
      </c>
      <c r="AK315">
        <f t="shared" si="233"/>
        <v>91090.412913304361</v>
      </c>
      <c r="AL315">
        <v>1</v>
      </c>
      <c r="AM315">
        <f t="shared" si="234"/>
        <v>109.30697245184851</v>
      </c>
      <c r="AN315">
        <f t="shared" si="248"/>
        <v>835.12472792414906</v>
      </c>
      <c r="AO315">
        <f t="shared" si="249"/>
        <v>-194.54271575807638</v>
      </c>
      <c r="AQ315">
        <f t="shared" si="235"/>
        <v>9.8029508842751838E-3</v>
      </c>
      <c r="AR315">
        <f t="shared" si="236"/>
        <v>-9.900980393117937</v>
      </c>
      <c r="AT315">
        <f t="shared" si="261"/>
        <v>-23759.691662675446</v>
      </c>
      <c r="AU315">
        <f t="shared" si="262"/>
        <v>-7213.9789705868998</v>
      </c>
      <c r="AV315">
        <f t="shared" si="250"/>
        <v>-2.8468157103632801</v>
      </c>
      <c r="AW315">
        <f t="shared" si="251"/>
        <v>-322.68631294868214</v>
      </c>
      <c r="AX315">
        <f t="shared" si="252"/>
        <v>-11387.378104928595</v>
      </c>
      <c r="AY315">
        <f t="shared" si="260"/>
        <v>-1.5991259369634307</v>
      </c>
      <c r="BA315">
        <f t="shared" si="237"/>
        <v>2.1796722607852939</v>
      </c>
      <c r="BB315">
        <f t="shared" si="253"/>
        <v>6.7678239451856301</v>
      </c>
      <c r="BC315">
        <f t="shared" si="254"/>
        <v>-1.2476897733998493</v>
      </c>
      <c r="BD315">
        <f t="shared" si="238"/>
        <v>-251.48735823913165</v>
      </c>
      <c r="BF315">
        <f t="shared" si="239"/>
        <v>-36.98440773159512</v>
      </c>
      <c r="BG315">
        <f t="shared" si="240"/>
        <v>-174.72028466666225</v>
      </c>
      <c r="BH315">
        <f t="shared" si="255"/>
        <v>5.279715333337748</v>
      </c>
      <c r="BI315">
        <f t="shared" si="256"/>
        <v>5.279715333337748</v>
      </c>
      <c r="BJ315">
        <f t="shared" si="241"/>
        <v>0</v>
      </c>
      <c r="BK315">
        <f t="shared" si="257"/>
        <v>0</v>
      </c>
      <c r="BM315">
        <f t="shared" si="258"/>
        <v>-43.752231676780752</v>
      </c>
      <c r="BN315">
        <f t="shared" si="242"/>
        <v>-103.23292642753061</v>
      </c>
      <c r="BQ315" s="56">
        <f t="shared" si="259"/>
        <v>23.669784745470768</v>
      </c>
      <c r="BR315" s="59"/>
      <c r="BS315" s="59"/>
      <c r="BT315" s="59">
        <v>112201.845</v>
      </c>
      <c r="BU315" s="59">
        <v>7.2120699999999998</v>
      </c>
      <c r="BV315" s="59">
        <v>-129.44300000000001</v>
      </c>
      <c r="BY315" s="59"/>
      <c r="BZ315" s="59"/>
      <c r="CA315" s="59"/>
      <c r="CC315" s="59"/>
    </row>
    <row r="316" spans="1:81" x14ac:dyDescent="0.25">
      <c r="A316">
        <f t="shared" si="263"/>
        <v>510000</v>
      </c>
      <c r="B316">
        <f t="shared" si="243"/>
        <v>510</v>
      </c>
      <c r="C316">
        <f t="shared" si="212"/>
        <v>4.3464409964235857</v>
      </c>
      <c r="D316">
        <f t="shared" si="213"/>
        <v>1.3386433295087443</v>
      </c>
      <c r="F316">
        <f t="shared" si="214"/>
        <v>9.8549663291366054E-5</v>
      </c>
      <c r="G316">
        <f t="shared" si="215"/>
        <v>3.3770954535316247E-3</v>
      </c>
      <c r="H316">
        <f t="shared" si="216"/>
        <v>-3.1382155545464685</v>
      </c>
      <c r="J316">
        <f t="shared" si="217"/>
        <v>15</v>
      </c>
      <c r="M316">
        <f t="shared" si="218"/>
        <v>2.9296156307903692E-3</v>
      </c>
      <c r="N316">
        <f t="shared" si="219"/>
        <v>-1.5707963250000001</v>
      </c>
      <c r="O316">
        <f t="shared" si="220"/>
        <v>130.43031964194159</v>
      </c>
      <c r="P316">
        <f t="shared" si="221"/>
        <v>1.5631293226813507</v>
      </c>
      <c r="Q316">
        <f t="shared" si="222"/>
        <v>110.39374903872142</v>
      </c>
      <c r="R316">
        <f t="shared" si="223"/>
        <v>1.5617377189911517</v>
      </c>
      <c r="S316">
        <f t="shared" si="224"/>
        <v>0.2335913016584745</v>
      </c>
      <c r="T316">
        <f t="shared" si="225"/>
        <v>-1.3350267904175737</v>
      </c>
      <c r="U316">
        <f t="shared" si="226"/>
        <v>0.29432306958743337</v>
      </c>
      <c r="V316">
        <f t="shared" si="227"/>
        <v>-1.2720491894949291</v>
      </c>
      <c r="X316">
        <f t="shared" si="244"/>
        <v>-34.594103031774878</v>
      </c>
      <c r="Y316">
        <f t="shared" si="228"/>
        <v>-163.44065099910085</v>
      </c>
      <c r="Z316">
        <f t="shared" si="245"/>
        <v>16.559349000899147</v>
      </c>
      <c r="AC316">
        <v>1</v>
      </c>
      <c r="AD316">
        <f t="shared" si="229"/>
        <v>130.426486121106</v>
      </c>
      <c r="AE316">
        <f t="shared" si="230"/>
        <v>-5.0153019355999376E-2</v>
      </c>
      <c r="AF316">
        <f t="shared" si="231"/>
        <v>1.544532610446E-2</v>
      </c>
      <c r="AG316">
        <f t="shared" si="246"/>
        <v>713.29329211778997</v>
      </c>
      <c r="AH316">
        <f t="shared" si="247"/>
        <v>-2380.9022896233455</v>
      </c>
      <c r="AJ316">
        <f t="shared" si="232"/>
        <v>22100</v>
      </c>
      <c r="AK316">
        <f t="shared" si="233"/>
        <v>91992.298189673704</v>
      </c>
      <c r="AL316">
        <v>1</v>
      </c>
      <c r="AM316">
        <f t="shared" si="234"/>
        <v>110.389219703847</v>
      </c>
      <c r="AN316">
        <f t="shared" si="248"/>
        <v>835.0900041306295</v>
      </c>
      <c r="AO316">
        <f t="shared" si="249"/>
        <v>-192.63574878886749</v>
      </c>
      <c r="AQ316">
        <f t="shared" si="235"/>
        <v>9.6116785739344731E-3</v>
      </c>
      <c r="AR316">
        <f t="shared" si="236"/>
        <v>-9.8039121454131628</v>
      </c>
      <c r="AT316">
        <f t="shared" si="261"/>
        <v>-23335.300928427547</v>
      </c>
      <c r="AU316">
        <f t="shared" si="262"/>
        <v>-7015.9492373591447</v>
      </c>
      <c r="AV316">
        <f t="shared" si="250"/>
        <v>-2.8495321285606159</v>
      </c>
      <c r="AW316">
        <f t="shared" si="251"/>
        <v>-298.84972453214078</v>
      </c>
      <c r="AX316">
        <f t="shared" si="252"/>
        <v>-11279.529349773899</v>
      </c>
      <c r="AY316">
        <f t="shared" si="260"/>
        <v>-1.5972850051802621</v>
      </c>
      <c r="BA316">
        <f t="shared" si="237"/>
        <v>2.1595439266313248</v>
      </c>
      <c r="BB316">
        <f t="shared" si="253"/>
        <v>6.6872408465272208</v>
      </c>
      <c r="BC316">
        <f t="shared" si="254"/>
        <v>-1.2522471233803538</v>
      </c>
      <c r="BD316">
        <f t="shared" si="238"/>
        <v>-251.74847515907692</v>
      </c>
      <c r="BF316">
        <f t="shared" si="239"/>
        <v>-37.155155308755795</v>
      </c>
      <c r="BG316">
        <f t="shared" si="240"/>
        <v>-174.85636870052326</v>
      </c>
      <c r="BH316">
        <f t="shared" si="255"/>
        <v>5.1436312994767377</v>
      </c>
      <c r="BI316">
        <f t="shared" si="256"/>
        <v>5.1436312994767377</v>
      </c>
      <c r="BJ316">
        <f t="shared" si="241"/>
        <v>0</v>
      </c>
      <c r="BK316">
        <f t="shared" si="257"/>
        <v>0</v>
      </c>
      <c r="BM316">
        <f t="shared" si="258"/>
        <v>-43.842396155283012</v>
      </c>
      <c r="BN316">
        <f t="shared" si="242"/>
        <v>-103.10789354144634</v>
      </c>
      <c r="BQ316" s="56">
        <f t="shared" si="259"/>
        <v>23.589201646812356</v>
      </c>
      <c r="BR316" s="59"/>
      <c r="BS316" s="59"/>
      <c r="BT316" s="59">
        <v>114815.36199999999</v>
      </c>
      <c r="BU316" s="59">
        <v>7.47248</v>
      </c>
      <c r="BV316" s="59">
        <v>-129.58500000000001</v>
      </c>
      <c r="BY316" s="59"/>
      <c r="BZ316" s="59"/>
      <c r="CA316" s="59"/>
      <c r="CC316" s="59"/>
    </row>
    <row r="317" spans="1:81" x14ac:dyDescent="0.25">
      <c r="A317">
        <f t="shared" si="263"/>
        <v>515000</v>
      </c>
      <c r="B317">
        <f t="shared" si="243"/>
        <v>515</v>
      </c>
      <c r="C317">
        <f t="shared" si="212"/>
        <v>4.3868079178497652</v>
      </c>
      <c r="D317">
        <f t="shared" si="213"/>
        <v>1.3408182417554027</v>
      </c>
      <c r="F317">
        <f t="shared" si="214"/>
        <v>9.6645192373788253E-5</v>
      </c>
      <c r="G317">
        <f t="shared" si="215"/>
        <v>3.3443019587058955E-3</v>
      </c>
      <c r="H317">
        <f t="shared" si="216"/>
        <v>-3.1382483480412944</v>
      </c>
      <c r="J317">
        <f t="shared" si="217"/>
        <v>15</v>
      </c>
      <c r="M317">
        <f t="shared" si="218"/>
        <v>2.901172760588521E-3</v>
      </c>
      <c r="N317">
        <f t="shared" si="219"/>
        <v>-1.5707963250000001</v>
      </c>
      <c r="O317">
        <f t="shared" si="220"/>
        <v>131.70897346477375</v>
      </c>
      <c r="P317">
        <f t="shared" si="221"/>
        <v>1.5632037567397863</v>
      </c>
      <c r="Q317">
        <f t="shared" si="222"/>
        <v>111.47595231837295</v>
      </c>
      <c r="R317">
        <f t="shared" si="223"/>
        <v>1.5618256618984172</v>
      </c>
      <c r="S317">
        <f t="shared" si="224"/>
        <v>0.23144547162037571</v>
      </c>
      <c r="T317">
        <f t="shared" si="225"/>
        <v>-1.3372330912573391</v>
      </c>
      <c r="U317">
        <f t="shared" si="226"/>
        <v>0.29170981200152768</v>
      </c>
      <c r="V317">
        <f t="shared" si="227"/>
        <v>-1.274782416558401</v>
      </c>
      <c r="X317">
        <f t="shared" si="244"/>
        <v>-34.756199897706821</v>
      </c>
      <c r="Y317">
        <f t="shared" si="228"/>
        <v>-163.59162722239535</v>
      </c>
      <c r="Z317">
        <f t="shared" si="245"/>
        <v>16.408372777604654</v>
      </c>
      <c r="AC317">
        <v>1</v>
      </c>
      <c r="AD317">
        <f t="shared" si="229"/>
        <v>131.705177161509</v>
      </c>
      <c r="AE317">
        <f t="shared" si="230"/>
        <v>-5.1141232444040501E-2</v>
      </c>
      <c r="AF317">
        <f t="shared" si="231"/>
        <v>1.5596750870189999E-2</v>
      </c>
      <c r="AG317">
        <f t="shared" si="246"/>
        <v>700.68304098536373</v>
      </c>
      <c r="AH317">
        <f t="shared" si="247"/>
        <v>-2361.6325332880651</v>
      </c>
      <c r="AJ317">
        <f t="shared" si="232"/>
        <v>22100</v>
      </c>
      <c r="AK317">
        <f t="shared" si="233"/>
        <v>92894.183466043061</v>
      </c>
      <c r="AL317">
        <v>1</v>
      </c>
      <c r="AM317">
        <f t="shared" si="234"/>
        <v>111.4714669558455</v>
      </c>
      <c r="AN317">
        <f t="shared" si="248"/>
        <v>835.05628668357986</v>
      </c>
      <c r="AO317">
        <f t="shared" si="249"/>
        <v>-190.76580127665844</v>
      </c>
      <c r="AQ317">
        <f t="shared" si="235"/>
        <v>9.4259502064754398E-3</v>
      </c>
      <c r="AR317">
        <f t="shared" si="236"/>
        <v>-9.7087287126697017</v>
      </c>
      <c r="AT317">
        <f t="shared" si="261"/>
        <v>-22921.844981253875</v>
      </c>
      <c r="AU317">
        <f t="shared" si="262"/>
        <v>-6825.0021891600882</v>
      </c>
      <c r="AV317">
        <f t="shared" si="250"/>
        <v>-2.8522004399270471</v>
      </c>
      <c r="AW317">
        <f t="shared" si="251"/>
        <v>-275.74863560337695</v>
      </c>
      <c r="AX317">
        <f t="shared" si="252"/>
        <v>-11173.679539253008</v>
      </c>
      <c r="AY317">
        <f t="shared" si="260"/>
        <v>-1.5954697278812313</v>
      </c>
      <c r="BA317">
        <f t="shared" si="237"/>
        <v>2.1397666700815843</v>
      </c>
      <c r="BB317">
        <f t="shared" si="253"/>
        <v>6.6073283695933007</v>
      </c>
      <c r="BC317">
        <f t="shared" si="254"/>
        <v>-1.2567307120458158</v>
      </c>
      <c r="BD317">
        <f t="shared" si="238"/>
        <v>-252.00536586697413</v>
      </c>
      <c r="BF317">
        <f t="shared" si="239"/>
        <v>-37.324268978502701</v>
      </c>
      <c r="BG317">
        <f t="shared" si="240"/>
        <v>-174.99052504458442</v>
      </c>
      <c r="BH317">
        <f t="shared" si="255"/>
        <v>5.009474955415584</v>
      </c>
      <c r="BI317">
        <f t="shared" si="256"/>
        <v>5.009474955415584</v>
      </c>
      <c r="BJ317">
        <f t="shared" si="241"/>
        <v>0</v>
      </c>
      <c r="BK317">
        <f t="shared" si="257"/>
        <v>0</v>
      </c>
      <c r="BM317">
        <f t="shared" si="258"/>
        <v>-43.931597348096005</v>
      </c>
      <c r="BN317">
        <f t="shared" si="242"/>
        <v>-102.98515917761029</v>
      </c>
      <c r="BQ317" s="56">
        <f t="shared" si="259"/>
        <v>23.509289169878436</v>
      </c>
      <c r="BR317" s="59"/>
      <c r="BS317" s="59"/>
      <c r="BT317" s="59">
        <v>117489.755</v>
      </c>
      <c r="BU317" s="59">
        <v>7.6753600000000004</v>
      </c>
      <c r="BV317" s="59">
        <v>-129.61699999999999</v>
      </c>
      <c r="BY317" s="59"/>
      <c r="BZ317" s="59"/>
      <c r="CA317" s="59"/>
      <c r="CC317" s="59"/>
    </row>
    <row r="318" spans="1:81" x14ac:dyDescent="0.25">
      <c r="A318">
        <f t="shared" si="263"/>
        <v>520000</v>
      </c>
      <c r="B318">
        <f t="shared" si="243"/>
        <v>520</v>
      </c>
      <c r="C318">
        <f t="shared" si="212"/>
        <v>4.4271952114810738</v>
      </c>
      <c r="D318">
        <f t="shared" si="213"/>
        <v>1.3429534824736313</v>
      </c>
      <c r="F318">
        <f t="shared" si="214"/>
        <v>9.4795400152226461E-5</v>
      </c>
      <c r="G318">
        <f t="shared" si="215"/>
        <v>3.312139283177612E-3</v>
      </c>
      <c r="H318">
        <f t="shared" si="216"/>
        <v>-3.1382805107168226</v>
      </c>
      <c r="J318">
        <f t="shared" si="217"/>
        <v>15</v>
      </c>
      <c r="M318">
        <f t="shared" si="218"/>
        <v>2.8732768686597853E-3</v>
      </c>
      <c r="N318">
        <f t="shared" si="219"/>
        <v>-1.5707963250000001</v>
      </c>
      <c r="O318">
        <f t="shared" si="220"/>
        <v>132.98762800329771</v>
      </c>
      <c r="P318">
        <f t="shared" si="221"/>
        <v>1.5632767594557488</v>
      </c>
      <c r="Q318">
        <f t="shared" si="222"/>
        <v>112.55815644359599</v>
      </c>
      <c r="R318">
        <f t="shared" si="223"/>
        <v>1.5619119137307205</v>
      </c>
      <c r="S318">
        <f t="shared" si="224"/>
        <v>0.22933762095743412</v>
      </c>
      <c r="T318">
        <f t="shared" si="225"/>
        <v>-1.3393992154550354</v>
      </c>
      <c r="U318">
        <f t="shared" si="226"/>
        <v>0.28914044825613799</v>
      </c>
      <c r="V318">
        <f t="shared" si="227"/>
        <v>-1.2774675151647654</v>
      </c>
      <c r="X318">
        <f t="shared" si="244"/>
        <v>-34.916859278460265</v>
      </c>
      <c r="Y318">
        <f t="shared" si="228"/>
        <v>-163.73995970539781</v>
      </c>
      <c r="Z318">
        <f t="shared" si="245"/>
        <v>16.260040294602192</v>
      </c>
      <c r="AC318">
        <v>1</v>
      </c>
      <c r="AD318">
        <f t="shared" si="229"/>
        <v>132.983868201912</v>
      </c>
      <c r="AE318">
        <f t="shared" si="230"/>
        <v>-5.2139086635379597E-2</v>
      </c>
      <c r="AF318">
        <f t="shared" si="231"/>
        <v>1.574817563592E-2</v>
      </c>
      <c r="AG318">
        <f t="shared" si="246"/>
        <v>688.39424564480078</v>
      </c>
      <c r="AH318">
        <f t="shared" si="247"/>
        <v>-2342.6362561529704</v>
      </c>
      <c r="AJ318">
        <f t="shared" si="232"/>
        <v>22100</v>
      </c>
      <c r="AK318">
        <f t="shared" si="233"/>
        <v>93796.068742412404</v>
      </c>
      <c r="AL318">
        <v>1</v>
      </c>
      <c r="AM318">
        <f t="shared" si="234"/>
        <v>112.55371420784401</v>
      </c>
      <c r="AN318">
        <f t="shared" si="248"/>
        <v>835.0235370691762</v>
      </c>
      <c r="AO318">
        <f t="shared" si="249"/>
        <v>-188.93180569467907</v>
      </c>
      <c r="AQ318">
        <f t="shared" si="235"/>
        <v>9.2455535821435071E-3</v>
      </c>
      <c r="AR318">
        <f t="shared" si="236"/>
        <v>-9.6153757254292476</v>
      </c>
      <c r="AT318">
        <f t="shared" si="261"/>
        <v>-22518.963205039978</v>
      </c>
      <c r="AU318">
        <f t="shared" si="262"/>
        <v>-6640.8282881279301</v>
      </c>
      <c r="AV318">
        <f t="shared" si="250"/>
        <v>-2.8548218711336033</v>
      </c>
      <c r="AW318">
        <f t="shared" si="251"/>
        <v>-253.35300333255654</v>
      </c>
      <c r="AX318">
        <f t="shared" si="252"/>
        <v>-11069.774047640325</v>
      </c>
      <c r="AY318">
        <f t="shared" si="260"/>
        <v>-1.5936792492265643</v>
      </c>
      <c r="BA318">
        <f t="shared" si="237"/>
        <v>2.1203318130134563</v>
      </c>
      <c r="BB318">
        <f t="shared" si="253"/>
        <v>6.5280765891848445</v>
      </c>
      <c r="BC318">
        <f t="shared" si="254"/>
        <v>-1.261142621907039</v>
      </c>
      <c r="BD318">
        <f t="shared" si="238"/>
        <v>-252.25814968190321</v>
      </c>
      <c r="BF318">
        <f t="shared" si="239"/>
        <v>-37.491779505278892</v>
      </c>
      <c r="BG318">
        <f t="shared" si="240"/>
        <v>-175.12281136354244</v>
      </c>
      <c r="BH318">
        <f t="shared" si="255"/>
        <v>4.8771886364575607</v>
      </c>
      <c r="BI318">
        <f t="shared" si="256"/>
        <v>4.8771886364575607</v>
      </c>
      <c r="BJ318">
        <f t="shared" si="241"/>
        <v>0</v>
      </c>
      <c r="BK318">
        <f t="shared" si="257"/>
        <v>0</v>
      </c>
      <c r="BM318">
        <f t="shared" si="258"/>
        <v>-44.019856094463734</v>
      </c>
      <c r="BN318">
        <f t="shared" si="242"/>
        <v>-102.86466168163921</v>
      </c>
      <c r="BQ318" s="56">
        <f t="shared" si="259"/>
        <v>23.43003738946998</v>
      </c>
      <c r="BR318" s="59"/>
      <c r="BS318" s="59"/>
      <c r="BT318" s="59">
        <v>120226.443</v>
      </c>
      <c r="BU318" s="59">
        <v>7.9446199999999996</v>
      </c>
      <c r="BV318" s="59">
        <v>-129.863</v>
      </c>
      <c r="BY318" s="59"/>
      <c r="BZ318" s="59"/>
      <c r="CA318" s="59"/>
      <c r="CC318" s="59"/>
    </row>
    <row r="319" spans="1:81" x14ac:dyDescent="0.25">
      <c r="A319">
        <f t="shared" si="263"/>
        <v>525000</v>
      </c>
      <c r="B319">
        <f t="shared" si="243"/>
        <v>525</v>
      </c>
      <c r="C319">
        <f t="shared" si="212"/>
        <v>4.4676023248210388</v>
      </c>
      <c r="D319">
        <f t="shared" si="213"/>
        <v>1.3450501083487876</v>
      </c>
      <c r="F319">
        <f t="shared" si="214"/>
        <v>9.2998213272304879E-5</v>
      </c>
      <c r="G319">
        <f t="shared" si="215"/>
        <v>3.2805893969594505E-3</v>
      </c>
      <c r="H319">
        <f t="shared" si="216"/>
        <v>-3.1383120606030408</v>
      </c>
      <c r="J319">
        <f t="shared" si="217"/>
        <v>15</v>
      </c>
      <c r="M319">
        <f t="shared" si="218"/>
        <v>2.8459123270535014E-3</v>
      </c>
      <c r="N319">
        <f t="shared" si="219"/>
        <v>-1.5707963250000001</v>
      </c>
      <c r="O319">
        <f t="shared" si="220"/>
        <v>134.2662832370664</v>
      </c>
      <c r="P319">
        <f t="shared" si="221"/>
        <v>1.5633483717216687</v>
      </c>
      <c r="Q319">
        <f t="shared" si="222"/>
        <v>113.64036139023324</v>
      </c>
      <c r="R319">
        <f t="shared" si="223"/>
        <v>1.5619965227994275</v>
      </c>
      <c r="S319">
        <f t="shared" si="224"/>
        <v>0.22726677991930269</v>
      </c>
      <c r="T319">
        <f t="shared" si="225"/>
        <v>-1.3415262307476368</v>
      </c>
      <c r="U319">
        <f t="shared" si="226"/>
        <v>0.28661393835757143</v>
      </c>
      <c r="V319">
        <f t="shared" si="227"/>
        <v>-1.2801057077203781</v>
      </c>
      <c r="X319">
        <f t="shared" si="244"/>
        <v>-35.076105452620709</v>
      </c>
      <c r="Y319">
        <f t="shared" si="228"/>
        <v>-163.88571504208571</v>
      </c>
      <c r="Z319">
        <f t="shared" si="245"/>
        <v>16.114284957914293</v>
      </c>
      <c r="AC319">
        <v>1</v>
      </c>
      <c r="AD319">
        <f t="shared" si="229"/>
        <v>134.26255924231501</v>
      </c>
      <c r="AE319">
        <f t="shared" si="230"/>
        <v>-5.3146581930016652E-2</v>
      </c>
      <c r="AF319">
        <f t="shared" si="231"/>
        <v>1.5899600401650001E-2</v>
      </c>
      <c r="AG319">
        <f t="shared" si="246"/>
        <v>676.41642540540192</v>
      </c>
      <c r="AH319">
        <f t="shared" si="247"/>
        <v>-2323.9087799830954</v>
      </c>
      <c r="AJ319">
        <f t="shared" si="232"/>
        <v>22100</v>
      </c>
      <c r="AK319">
        <f t="shared" si="233"/>
        <v>94697.954018781762</v>
      </c>
      <c r="AL319">
        <v>1</v>
      </c>
      <c r="AM319">
        <f t="shared" si="234"/>
        <v>113.63596145984251</v>
      </c>
      <c r="AN319">
        <f t="shared" si="248"/>
        <v>834.99171859852413</v>
      </c>
      <c r="AO319">
        <f t="shared" si="249"/>
        <v>-187.13273516778628</v>
      </c>
      <c r="AQ319">
        <f t="shared" si="235"/>
        <v>9.0702865575632129E-3</v>
      </c>
      <c r="AR319">
        <f t="shared" si="236"/>
        <v>-9.5238008854413732</v>
      </c>
      <c r="AT319">
        <f t="shared" si="261"/>
        <v>-22126.309205677313</v>
      </c>
      <c r="AU319">
        <f t="shared" si="262"/>
        <v>-6463.133869771139</v>
      </c>
      <c r="AV319">
        <f t="shared" si="250"/>
        <v>-2.8573976089240674</v>
      </c>
      <c r="AW319">
        <f t="shared" si="251"/>
        <v>-231.63430223631926</v>
      </c>
      <c r="AX319">
        <f t="shared" si="252"/>
        <v>-10967.760215771459</v>
      </c>
      <c r="AY319">
        <f t="shared" si="260"/>
        <v>-1.5919127505513613</v>
      </c>
      <c r="BA319">
        <f t="shared" si="237"/>
        <v>2.1012309410872176</v>
      </c>
      <c r="BB319">
        <f t="shared" si="253"/>
        <v>6.4494757451962039</v>
      </c>
      <c r="BC319">
        <f t="shared" si="254"/>
        <v>-1.2654848583727061</v>
      </c>
      <c r="BD319">
        <f t="shared" si="238"/>
        <v>-252.50694150531803</v>
      </c>
      <c r="BF319">
        <f t="shared" si="239"/>
        <v>-37.657716813391794</v>
      </c>
      <c r="BG319">
        <f t="shared" si="240"/>
        <v>-175.2532830482821</v>
      </c>
      <c r="BH319">
        <f t="shared" si="255"/>
        <v>4.7467169517179002</v>
      </c>
      <c r="BI319">
        <f t="shared" si="256"/>
        <v>4.7467169517179002</v>
      </c>
      <c r="BJ319">
        <f t="shared" si="241"/>
        <v>0</v>
      </c>
      <c r="BK319">
        <f t="shared" si="257"/>
        <v>0</v>
      </c>
      <c r="BM319">
        <f t="shared" si="258"/>
        <v>-44.107192558587997</v>
      </c>
      <c r="BN319">
        <f t="shared" si="242"/>
        <v>-102.74634154296407</v>
      </c>
      <c r="BQ319" s="56">
        <f t="shared" si="259"/>
        <v>23.351436545481338</v>
      </c>
      <c r="BR319" s="59"/>
      <c r="BS319" s="59"/>
      <c r="BT319" s="59">
        <v>123026.87699999999</v>
      </c>
      <c r="BU319" s="59">
        <v>8.1865900000000007</v>
      </c>
      <c r="BV319" s="59">
        <v>-130.31299999999999</v>
      </c>
      <c r="BY319" s="59"/>
      <c r="BZ319" s="59"/>
      <c r="CA319" s="59"/>
      <c r="CC319" s="59"/>
    </row>
    <row r="320" spans="1:81" x14ac:dyDescent="0.25">
      <c r="A320">
        <f t="shared" si="263"/>
        <v>530000</v>
      </c>
      <c r="B320">
        <f t="shared" si="243"/>
        <v>530</v>
      </c>
      <c r="C320">
        <f t="shared" si="212"/>
        <v>4.5080287249157562</v>
      </c>
      <c r="D320">
        <f t="shared" si="213"/>
        <v>1.347109139548337</v>
      </c>
      <c r="F320">
        <f t="shared" si="214"/>
        <v>9.125165573291912E-5</v>
      </c>
      <c r="G320">
        <f t="shared" si="215"/>
        <v>3.2496349507469572E-3</v>
      </c>
      <c r="H320">
        <f t="shared" si="216"/>
        <v>-3.1383430150492533</v>
      </c>
      <c r="J320">
        <f t="shared" si="217"/>
        <v>15</v>
      </c>
      <c r="M320">
        <f t="shared" si="218"/>
        <v>2.819064097552997E-3</v>
      </c>
      <c r="N320">
        <f t="shared" si="219"/>
        <v>-1.5707963250000001</v>
      </c>
      <c r="O320">
        <f t="shared" si="220"/>
        <v>135.54493914640412</v>
      </c>
      <c r="P320">
        <f t="shared" si="221"/>
        <v>1.5634186328870083</v>
      </c>
      <c r="Q320">
        <f t="shared" si="222"/>
        <v>114.72256713503893</v>
      </c>
      <c r="R320">
        <f t="shared" si="223"/>
        <v>1.5620795355930694</v>
      </c>
      <c r="S320">
        <f t="shared" si="224"/>
        <v>0.22523201040079094</v>
      </c>
      <c r="T320">
        <f t="shared" si="225"/>
        <v>-1.3436151680780573</v>
      </c>
      <c r="U320">
        <f t="shared" si="226"/>
        <v>0.28412927283268641</v>
      </c>
      <c r="V320">
        <f t="shared" si="227"/>
        <v>-1.2826981769064112</v>
      </c>
      <c r="X320">
        <f t="shared" si="244"/>
        <v>-35.233962112285319</v>
      </c>
      <c r="Y320">
        <f t="shared" si="228"/>
        <v>-164.02895768837351</v>
      </c>
      <c r="Z320">
        <f t="shared" si="245"/>
        <v>15.971042311626491</v>
      </c>
      <c r="AC320">
        <v>1</v>
      </c>
      <c r="AD320">
        <f t="shared" si="229"/>
        <v>135.54125028271801</v>
      </c>
      <c r="AE320">
        <f t="shared" si="230"/>
        <v>-5.4163718327951665E-2</v>
      </c>
      <c r="AF320">
        <f t="shared" si="231"/>
        <v>1.6051025167379999E-2</v>
      </c>
      <c r="AG320">
        <f t="shared" si="246"/>
        <v>664.73950768755094</v>
      </c>
      <c r="AH320">
        <f t="shared" si="247"/>
        <v>-2305.4454821398822</v>
      </c>
      <c r="AJ320">
        <f t="shared" si="232"/>
        <v>22100</v>
      </c>
      <c r="AK320">
        <f t="shared" si="233"/>
        <v>95599.839295151105</v>
      </c>
      <c r="AL320">
        <v>1</v>
      </c>
      <c r="AM320">
        <f t="shared" si="234"/>
        <v>114.71820871184102</v>
      </c>
      <c r="AN320">
        <f t="shared" si="248"/>
        <v>834.96079630486895</v>
      </c>
      <c r="AO320">
        <f t="shared" si="249"/>
        <v>-185.36760155583036</v>
      </c>
      <c r="AQ320">
        <f t="shared" si="235"/>
        <v>8.8999564792128158E-3</v>
      </c>
      <c r="AR320">
        <f t="shared" si="236"/>
        <v>-9.4339538679655863</v>
      </c>
      <c r="AT320">
        <f t="shared" si="261"/>
        <v>-21743.550170928898</v>
      </c>
      <c r="AU320">
        <f t="shared" si="262"/>
        <v>-6291.6402141947538</v>
      </c>
      <c r="AV320">
        <f t="shared" si="250"/>
        <v>-2.8599288016626541</v>
      </c>
      <c r="AW320">
        <f t="shared" si="251"/>
        <v>-210.56543344563494</v>
      </c>
      <c r="AX320">
        <f t="shared" si="252"/>
        <v>-10867.58726310292</v>
      </c>
      <c r="AY320">
        <f t="shared" si="260"/>
        <v>-1.5901694484180653</v>
      </c>
      <c r="BA320">
        <f t="shared" si="237"/>
        <v>2.0824558949399621</v>
      </c>
      <c r="BB320">
        <f t="shared" si="253"/>
        <v>6.3715162420371252</v>
      </c>
      <c r="BC320">
        <f t="shared" si="254"/>
        <v>-1.2697593532445888</v>
      </c>
      <c r="BD320">
        <f t="shared" si="238"/>
        <v>-252.75185202130709</v>
      </c>
      <c r="BF320">
        <f t="shared" si="239"/>
        <v>-37.822110016404757</v>
      </c>
      <c r="BG320">
        <f t="shared" si="240"/>
        <v>-175.38199332564355</v>
      </c>
      <c r="BH320">
        <f t="shared" si="255"/>
        <v>4.618006674356451</v>
      </c>
      <c r="BI320">
        <f t="shared" si="256"/>
        <v>4.618006674356451</v>
      </c>
      <c r="BJ320">
        <f t="shared" si="241"/>
        <v>0</v>
      </c>
      <c r="BK320">
        <f t="shared" si="257"/>
        <v>0</v>
      </c>
      <c r="BM320">
        <f t="shared" si="258"/>
        <v>-44.193626258441881</v>
      </c>
      <c r="BN320">
        <f t="shared" si="242"/>
        <v>-102.63014130433648</v>
      </c>
      <c r="BQ320" s="56">
        <f t="shared" si="259"/>
        <v>23.273477042322263</v>
      </c>
      <c r="BR320" s="59"/>
      <c r="BS320" s="59"/>
      <c r="BT320" s="59">
        <v>125892.541</v>
      </c>
      <c r="BU320" s="59">
        <v>8.4445800000000002</v>
      </c>
      <c r="BV320" s="59">
        <v>-130.77099999999999</v>
      </c>
      <c r="BY320" s="59"/>
      <c r="BZ320" s="59"/>
      <c r="CA320" s="59"/>
      <c r="CC320" s="59"/>
    </row>
    <row r="321" spans="1:81" x14ac:dyDescent="0.25">
      <c r="A321">
        <f t="shared" si="263"/>
        <v>535000</v>
      </c>
      <c r="B321">
        <f t="shared" si="243"/>
        <v>535</v>
      </c>
      <c r="C321">
        <f t="shared" si="212"/>
        <v>4.5484738975087708</v>
      </c>
      <c r="D321">
        <f t="shared" si="213"/>
        <v>1.3491315612555255</v>
      </c>
      <c r="F321">
        <f t="shared" si="214"/>
        <v>8.9553843451750407E-5</v>
      </c>
      <c r="G321">
        <f t="shared" si="215"/>
        <v>3.2192592440940166E-3</v>
      </c>
      <c r="H321">
        <f t="shared" si="216"/>
        <v>-3.1383733907559064</v>
      </c>
      <c r="J321">
        <f t="shared" si="217"/>
        <v>15</v>
      </c>
      <c r="M321">
        <f t="shared" si="218"/>
        <v>2.7927177041179221E-3</v>
      </c>
      <c r="N321">
        <f t="shared" si="219"/>
        <v>-1.5707963250000001</v>
      </c>
      <c r="O321">
        <f t="shared" si="220"/>
        <v>136.82359571237072</v>
      </c>
      <c r="P321">
        <f t="shared" si="221"/>
        <v>1.5634875808303559</v>
      </c>
      <c r="Q321">
        <f t="shared" si="222"/>
        <v>115.80477365563623</v>
      </c>
      <c r="R321">
        <f t="shared" si="223"/>
        <v>1.5621609968625083</v>
      </c>
      <c r="S321">
        <f t="shared" si="224"/>
        <v>0.22323240471207936</v>
      </c>
      <c r="T321">
        <f t="shared" si="225"/>
        <v>-1.3456670231348955</v>
      </c>
      <c r="U321">
        <f t="shared" si="226"/>
        <v>0.2816854717151171</v>
      </c>
      <c r="V321">
        <f t="shared" si="227"/>
        <v>-1.2852460672214088</v>
      </c>
      <c r="X321">
        <f t="shared" si="244"/>
        <v>-35.390452381104012</v>
      </c>
      <c r="Y321">
        <f t="shared" si="228"/>
        <v>-164.16975004365625</v>
      </c>
      <c r="Z321">
        <f t="shared" si="245"/>
        <v>15.830249956343749</v>
      </c>
      <c r="AC321">
        <v>1</v>
      </c>
      <c r="AD321">
        <f t="shared" si="229"/>
        <v>136.81994132312099</v>
      </c>
      <c r="AE321">
        <f t="shared" si="230"/>
        <v>-5.5190495829184644E-2</v>
      </c>
      <c r="AF321">
        <f t="shared" si="231"/>
        <v>1.620244993311E-2</v>
      </c>
      <c r="AG321">
        <f t="shared" si="246"/>
        <v>653.35380992772639</v>
      </c>
      <c r="AH321">
        <f t="shared" si="247"/>
        <v>-2287.2417982954235</v>
      </c>
      <c r="AJ321">
        <f t="shared" si="232"/>
        <v>22100</v>
      </c>
      <c r="AK321">
        <f t="shared" si="233"/>
        <v>96501.724571520463</v>
      </c>
      <c r="AL321">
        <v>1</v>
      </c>
      <c r="AM321">
        <f t="shared" si="234"/>
        <v>115.80045596383951</v>
      </c>
      <c r="AN321">
        <f t="shared" si="248"/>
        <v>834.93073684749925</v>
      </c>
      <c r="AO321">
        <f t="shared" si="249"/>
        <v>-183.63545364443857</v>
      </c>
      <c r="AQ321">
        <f t="shared" si="235"/>
        <v>8.7343796537866589E-3</v>
      </c>
      <c r="AR321">
        <f t="shared" si="236"/>
        <v>-9.3457862295517256</v>
      </c>
      <c r="AT321">
        <f t="shared" si="261"/>
        <v>-21370.366261940337</v>
      </c>
      <c r="AU321">
        <f t="shared" si="262"/>
        <v>-6126.0826780740226</v>
      </c>
      <c r="AV321">
        <f t="shared" si="250"/>
        <v>-2.8624165608136929</v>
      </c>
      <c r="AW321">
        <f t="shared" si="251"/>
        <v>-190.12064020845088</v>
      </c>
      <c r="AX321">
        <f t="shared" si="252"/>
        <v>-10769.206204488466</v>
      </c>
      <c r="AY321">
        <f t="shared" si="260"/>
        <v>-1.5884485927867695</v>
      </c>
      <c r="BA321">
        <f t="shared" si="237"/>
        <v>2.0639987616466358</v>
      </c>
      <c r="BB321">
        <f t="shared" si="253"/>
        <v>6.2941886477643845</v>
      </c>
      <c r="BC321">
        <f t="shared" si="254"/>
        <v>-1.2739679680269234</v>
      </c>
      <c r="BD321">
        <f t="shared" si="238"/>
        <v>-252.99298788620678</v>
      </c>
      <c r="BF321">
        <f t="shared" si="239"/>
        <v>-37.984987445308981</v>
      </c>
      <c r="BG321">
        <f t="shared" si="240"/>
        <v>-175.50899336198623</v>
      </c>
      <c r="BH321">
        <f t="shared" si="255"/>
        <v>4.4910066380137721</v>
      </c>
      <c r="BI321">
        <f t="shared" si="256"/>
        <v>4.4910066380137721</v>
      </c>
      <c r="BJ321">
        <f t="shared" si="241"/>
        <v>0</v>
      </c>
      <c r="BK321">
        <f t="shared" si="257"/>
        <v>0</v>
      </c>
      <c r="BM321">
        <f t="shared" si="258"/>
        <v>-44.279176093073367</v>
      </c>
      <c r="BN321">
        <f t="shared" si="242"/>
        <v>-102.51600547577948</v>
      </c>
      <c r="BQ321" s="56">
        <f t="shared" si="259"/>
        <v>23.196149448049521</v>
      </c>
      <c r="BR321" s="59"/>
      <c r="BS321" s="59"/>
      <c r="BT321" s="59">
        <v>128824.955</v>
      </c>
      <c r="BU321" s="59">
        <v>8.6780500000000007</v>
      </c>
      <c r="BV321" s="59">
        <v>-131.42599999999999</v>
      </c>
      <c r="BY321" s="59"/>
      <c r="BZ321" s="59"/>
      <c r="CA321" s="59"/>
      <c r="CC321" s="59"/>
    </row>
    <row r="322" spans="1:81" x14ac:dyDescent="0.25">
      <c r="A322">
        <f t="shared" si="263"/>
        <v>540000</v>
      </c>
      <c r="B322">
        <f t="shared" si="243"/>
        <v>540</v>
      </c>
      <c r="C322">
        <f t="shared" si="212"/>
        <v>4.5889373462388354</v>
      </c>
      <c r="D322">
        <f t="shared" si="213"/>
        <v>1.3511183251280248</v>
      </c>
      <c r="F322">
        <f t="shared" si="214"/>
        <v>8.7902979181450996E-5</v>
      </c>
      <c r="G322">
        <f t="shared" si="215"/>
        <v>3.1894461953574293E-3</v>
      </c>
      <c r="H322">
        <f t="shared" si="216"/>
        <v>-3.1384032038046428</v>
      </c>
      <c r="J322">
        <f t="shared" si="217"/>
        <v>15</v>
      </c>
      <c r="M322">
        <f t="shared" si="218"/>
        <v>2.766859206857571E-3</v>
      </c>
      <c r="N322">
        <f t="shared" si="219"/>
        <v>-1.5707963250000001</v>
      </c>
      <c r="O322">
        <f t="shared" si="220"/>
        <v>138.10225291672745</v>
      </c>
      <c r="P322">
        <f t="shared" si="221"/>
        <v>1.5635552520275133</v>
      </c>
      <c r="Q322">
        <f t="shared" si="222"/>
        <v>116.88698093047691</v>
      </c>
      <c r="R322">
        <f t="shared" si="223"/>
        <v>1.5622409497013732</v>
      </c>
      <c r="S322">
        <f t="shared" si="224"/>
        <v>0.22126708440298679</v>
      </c>
      <c r="T322">
        <f t="shared" si="225"/>
        <v>-1.3476827578171855</v>
      </c>
      <c r="U322">
        <f t="shared" si="226"/>
        <v>0.27928158356589033</v>
      </c>
      <c r="V322">
        <f t="shared" si="227"/>
        <v>-1.2877504864555946</v>
      </c>
      <c r="X322">
        <f t="shared" si="244"/>
        <v>-35.545598831655546</v>
      </c>
      <c r="Y322">
        <f t="shared" si="228"/>
        <v>-164.30815252884298</v>
      </c>
      <c r="Z322">
        <f t="shared" si="245"/>
        <v>15.691847471157018</v>
      </c>
      <c r="AC322">
        <v>1</v>
      </c>
      <c r="AD322">
        <f t="shared" si="229"/>
        <v>138.09863236352402</v>
      </c>
      <c r="AE322">
        <f t="shared" si="230"/>
        <v>-5.6226914433715573E-2</v>
      </c>
      <c r="AF322">
        <f t="shared" si="231"/>
        <v>1.6353874698840001E-2</v>
      </c>
      <c r="AG322">
        <f t="shared" si="246"/>
        <v>642.25002236086675</v>
      </c>
      <c r="AH322">
        <f t="shared" si="247"/>
        <v>-2269.2932247407243</v>
      </c>
      <c r="AJ322">
        <f t="shared" si="232"/>
        <v>22100</v>
      </c>
      <c r="AK322">
        <f t="shared" si="233"/>
        <v>97403.60984788982</v>
      </c>
      <c r="AL322">
        <v>1</v>
      </c>
      <c r="AM322">
        <f t="shared" si="234"/>
        <v>116.88270321583801</v>
      </c>
      <c r="AN322">
        <f t="shared" si="248"/>
        <v>834.90150842184573</v>
      </c>
      <c r="AO322">
        <f t="shared" si="249"/>
        <v>-181.93537543625757</v>
      </c>
      <c r="AQ322">
        <f t="shared" si="235"/>
        <v>8.5733808527256056E-3</v>
      </c>
      <c r="AR322">
        <f t="shared" si="236"/>
        <v>-9.2592513209436547</v>
      </c>
      <c r="AT322">
        <f t="shared" si="261"/>
        <v>-21006.450034744666</v>
      </c>
      <c r="AU322">
        <f t="shared" si="262"/>
        <v>-5966.20988300316</v>
      </c>
      <c r="AV322">
        <f t="shared" si="250"/>
        <v>-2.8648619623565592</v>
      </c>
      <c r="AW322">
        <f t="shared" si="251"/>
        <v>-170.27542914527817</v>
      </c>
      <c r="AX322">
        <f t="shared" si="252"/>
        <v>-10672.569771375589</v>
      </c>
      <c r="AY322">
        <f t="shared" si="260"/>
        <v>-1.5867494652953757</v>
      </c>
      <c r="BA322">
        <f t="shared" si="237"/>
        <v>2.0458518664467289</v>
      </c>
      <c r="BB322">
        <f t="shared" si="253"/>
        <v>6.2174836929596982</v>
      </c>
      <c r="BC322">
        <f t="shared" si="254"/>
        <v>-1.2781124970611835</v>
      </c>
      <c r="BD322">
        <f t="shared" si="238"/>
        <v>-253.23045190821063</v>
      </c>
      <c r="BF322">
        <f t="shared" si="239"/>
        <v>-38.146376675532146</v>
      </c>
      <c r="BG322">
        <f t="shared" si="240"/>
        <v>-175.63433236094573</v>
      </c>
      <c r="BH322">
        <f t="shared" si="255"/>
        <v>4.3656676390542657</v>
      </c>
      <c r="BI322">
        <f t="shared" si="256"/>
        <v>4.3656676390542657</v>
      </c>
      <c r="BJ322">
        <f t="shared" si="241"/>
        <v>0</v>
      </c>
      <c r="BK322">
        <f t="shared" si="257"/>
        <v>0</v>
      </c>
      <c r="BM322">
        <f t="shared" si="258"/>
        <v>-44.363860368491849</v>
      </c>
      <c r="BN322">
        <f t="shared" si="242"/>
        <v>-102.40388045273509</v>
      </c>
      <c r="BQ322" s="56">
        <f t="shared" si="259"/>
        <v>23.119444493244835</v>
      </c>
      <c r="BR322" s="59"/>
      <c r="BS322" s="59"/>
      <c r="BT322" s="59">
        <v>131825.674</v>
      </c>
      <c r="BU322" s="59">
        <v>8.8889499999999995</v>
      </c>
      <c r="BV322" s="59">
        <v>-132.06399999999999</v>
      </c>
      <c r="BY322" s="59"/>
      <c r="BZ322" s="59"/>
      <c r="CA322" s="59"/>
      <c r="CC322" s="59"/>
    </row>
    <row r="323" spans="1:81" x14ac:dyDescent="0.25">
      <c r="A323">
        <f t="shared" si="263"/>
        <v>545000</v>
      </c>
      <c r="B323">
        <f t="shared" si="243"/>
        <v>545</v>
      </c>
      <c r="C323">
        <f t="shared" si="212"/>
        <v>4.6294185918780606</v>
      </c>
      <c r="D323">
        <f t="shared" si="213"/>
        <v>1.3530703506856945</v>
      </c>
      <c r="F323">
        <f t="shared" si="214"/>
        <v>8.6297347750876168E-5</v>
      </c>
      <c r="G323">
        <f t="shared" si="215"/>
        <v>3.1601803132969147E-3</v>
      </c>
      <c r="H323">
        <f t="shared" si="216"/>
        <v>-3.1384324696867032</v>
      </c>
      <c r="J323">
        <f t="shared" si="217"/>
        <v>15</v>
      </c>
      <c r="M323">
        <f t="shared" si="218"/>
        <v>2.7414751774368592E-3</v>
      </c>
      <c r="N323">
        <f t="shared" si="219"/>
        <v>-1.5707963250000001</v>
      </c>
      <c r="O323">
        <f t="shared" si="220"/>
        <v>139.38091074190487</v>
      </c>
      <c r="P323">
        <f t="shared" si="221"/>
        <v>1.5636216816158388</v>
      </c>
      <c r="Q323">
        <f t="shared" si="222"/>
        <v>117.96918893880353</v>
      </c>
      <c r="R323">
        <f t="shared" si="223"/>
        <v>1.5623194356220682</v>
      </c>
      <c r="S323">
        <f t="shared" si="224"/>
        <v>0.21933519913873101</v>
      </c>
      <c r="T323">
        <f t="shared" si="225"/>
        <v>-1.3496633016282795</v>
      </c>
      <c r="U323">
        <f t="shared" si="226"/>
        <v>0.27691668452750501</v>
      </c>
      <c r="V323">
        <f t="shared" si="227"/>
        <v>-1.2902125071002382</v>
      </c>
      <c r="X323">
        <f t="shared" si="244"/>
        <v>-35.699423502187024</v>
      </c>
      <c r="Y323">
        <f t="shared" si="228"/>
        <v>-164.44422366104385</v>
      </c>
      <c r="Z323">
        <f t="shared" si="245"/>
        <v>15.55577633895615</v>
      </c>
      <c r="AC323">
        <v>1</v>
      </c>
      <c r="AD323">
        <f t="shared" si="229"/>
        <v>139.37732340392699</v>
      </c>
      <c r="AE323">
        <f t="shared" si="230"/>
        <v>-5.7272974141544482E-2</v>
      </c>
      <c r="AF323">
        <f t="shared" si="231"/>
        <v>1.6505299464569998E-2</v>
      </c>
      <c r="AG323">
        <f t="shared" si="246"/>
        <v>631.41919163558612</v>
      </c>
      <c r="AH323">
        <f t="shared" si="247"/>
        <v>-2251.5953203268969</v>
      </c>
      <c r="AJ323">
        <f t="shared" si="232"/>
        <v>22100</v>
      </c>
      <c r="AK323">
        <f t="shared" si="233"/>
        <v>98305.495124259163</v>
      </c>
      <c r="AL323">
        <v>1</v>
      </c>
      <c r="AM323">
        <f t="shared" si="234"/>
        <v>117.96495046783652</v>
      </c>
      <c r="AN323">
        <f t="shared" si="248"/>
        <v>834.8730806753299</v>
      </c>
      <c r="AO323">
        <f t="shared" si="249"/>
        <v>-180.26648453620695</v>
      </c>
      <c r="AQ323">
        <f t="shared" si="235"/>
        <v>8.4167928484194521E-3</v>
      </c>
      <c r="AR323">
        <f t="shared" si="236"/>
        <v>-9.1743042047772025</v>
      </c>
      <c r="AT323">
        <f t="shared" si="261"/>
        <v>-20651.505890195211</v>
      </c>
      <c r="AU323">
        <f t="shared" si="262"/>
        <v>-5811.7829561890412</v>
      </c>
      <c r="AV323">
        <f t="shared" si="250"/>
        <v>-2.8672660481389265</v>
      </c>
      <c r="AW323">
        <f t="shared" si="251"/>
        <v>-151.00649681705912</v>
      </c>
      <c r="AX323">
        <f t="shared" si="252"/>
        <v>-10577.632337147119</v>
      </c>
      <c r="AY323">
        <f t="shared" si="260"/>
        <v>-1.5850713776422025</v>
      </c>
      <c r="BA323">
        <f t="shared" si="237"/>
        <v>2.028007764733982</v>
      </c>
      <c r="BB323">
        <f t="shared" si="253"/>
        <v>6.1413922693863832</v>
      </c>
      <c r="BC323">
        <f t="shared" si="254"/>
        <v>-1.282194670496724</v>
      </c>
      <c r="BD323">
        <f t="shared" si="238"/>
        <v>-253.46434321757476</v>
      </c>
      <c r="BF323">
        <f t="shared" si="239"/>
        <v>-38.306304552837787</v>
      </c>
      <c r="BG323">
        <f t="shared" si="240"/>
        <v>-175.75805765575362</v>
      </c>
      <c r="BH323">
        <f t="shared" si="255"/>
        <v>4.2419423442463824</v>
      </c>
      <c r="BI323">
        <f t="shared" si="256"/>
        <v>4.2419423442463824</v>
      </c>
      <c r="BJ323">
        <f t="shared" si="241"/>
        <v>0</v>
      </c>
      <c r="BK323">
        <f t="shared" si="257"/>
        <v>0</v>
      </c>
      <c r="BM323">
        <f t="shared" si="258"/>
        <v>-44.447696822224174</v>
      </c>
      <c r="BN323">
        <f t="shared" si="242"/>
        <v>-102.29371443817884</v>
      </c>
      <c r="BQ323" s="56">
        <f t="shared" si="259"/>
        <v>23.043353069671522</v>
      </c>
      <c r="BR323" s="59"/>
      <c r="BS323" s="59"/>
      <c r="BT323" s="59">
        <v>134896.288</v>
      </c>
      <c r="BU323" s="59">
        <v>9.0986999999999991</v>
      </c>
      <c r="BV323" s="59">
        <v>-132.62899999999999</v>
      </c>
      <c r="BY323" s="59"/>
      <c r="BZ323" s="59"/>
      <c r="CA323" s="59"/>
      <c r="CC323" s="59"/>
    </row>
    <row r="324" spans="1:81" x14ac:dyDescent="0.25">
      <c r="A324">
        <f t="shared" si="263"/>
        <v>550000</v>
      </c>
      <c r="B324">
        <f t="shared" si="243"/>
        <v>550</v>
      </c>
      <c r="C324">
        <f t="shared" si="212"/>
        <v>4.669917171608164</v>
      </c>
      <c r="D324">
        <f t="shared" si="213"/>
        <v>1.3549885266313579</v>
      </c>
      <c r="F324">
        <f t="shared" si="214"/>
        <v>8.4735311607825854E-5</v>
      </c>
      <c r="G324">
        <f t="shared" si="215"/>
        <v>3.1314466702251115E-3</v>
      </c>
      <c r="H324">
        <f t="shared" si="216"/>
        <v>-3.1384612033297752</v>
      </c>
      <c r="J324">
        <f t="shared" si="217"/>
        <v>15</v>
      </c>
      <c r="M324">
        <f t="shared" si="218"/>
        <v>2.7165526758237972E-3</v>
      </c>
      <c r="N324">
        <f t="shared" si="219"/>
        <v>-1.5707963250000001</v>
      </c>
      <c r="O324">
        <f t="shared" si="220"/>
        <v>140.65956917097242</v>
      </c>
      <c r="P324">
        <f t="shared" si="221"/>
        <v>1.5636869034550773</v>
      </c>
      <c r="Q324">
        <f t="shared" si="222"/>
        <v>119.05139766061335</v>
      </c>
      <c r="R324">
        <f t="shared" si="223"/>
        <v>1.5623964946276367</v>
      </c>
      <c r="S324">
        <f t="shared" si="224"/>
        <v>0.21743592562474542</v>
      </c>
      <c r="T324">
        <f t="shared" si="225"/>
        <v>-1.3516095530027328</v>
      </c>
      <c r="U324">
        <f t="shared" si="226"/>
        <v>0.27458987741053215</v>
      </c>
      <c r="V324">
        <f t="shared" si="227"/>
        <v>-1.2926331676952143</v>
      </c>
      <c r="X324">
        <f t="shared" si="244"/>
        <v>-35.85194791274386</v>
      </c>
      <c r="Y324">
        <f t="shared" si="228"/>
        <v>-164.57802012506522</v>
      </c>
      <c r="Z324">
        <f t="shared" si="245"/>
        <v>15.421979874934777</v>
      </c>
      <c r="AC324">
        <v>1</v>
      </c>
      <c r="AD324">
        <f t="shared" si="229"/>
        <v>140.65601444433</v>
      </c>
      <c r="AE324">
        <f t="shared" si="230"/>
        <v>-5.8328674952671328E-2</v>
      </c>
      <c r="AF324">
        <f t="shared" si="231"/>
        <v>1.6656724230299999E-2</v>
      </c>
      <c r="AG324">
        <f t="shared" si="246"/>
        <v>620.85270521993698</v>
      </c>
      <c r="AH324">
        <f t="shared" si="247"/>
        <v>-2234.1437080747132</v>
      </c>
      <c r="AJ324">
        <f t="shared" si="232"/>
        <v>22100</v>
      </c>
      <c r="AK324">
        <f t="shared" si="233"/>
        <v>99207.380400628521</v>
      </c>
      <c r="AL324">
        <v>1</v>
      </c>
      <c r="AM324">
        <f t="shared" si="234"/>
        <v>119.04719771983501</v>
      </c>
      <c r="AN324">
        <f t="shared" si="248"/>
        <v>834.84542462853881</v>
      </c>
      <c r="AO324">
        <f t="shared" si="249"/>
        <v>-178.62793062476572</v>
      </c>
      <c r="AQ324">
        <f t="shared" si="235"/>
        <v>8.264455979788447E-3</v>
      </c>
      <c r="AR324">
        <f t="shared" si="236"/>
        <v>-9.0909015777672906</v>
      </c>
      <c r="AT324">
        <f t="shared" si="261"/>
        <v>-20305.249550843051</v>
      </c>
      <c r="AU324">
        <f t="shared" si="262"/>
        <v>-5662.5748197729208</v>
      </c>
      <c r="AV324">
        <f t="shared" si="250"/>
        <v>-2.8696298271712775</v>
      </c>
      <c r="AW324">
        <f t="shared" si="251"/>
        <v>-132.29166120205213</v>
      </c>
      <c r="AX324">
        <f t="shared" si="252"/>
        <v>-10484.349846352568</v>
      </c>
      <c r="AY324">
        <f t="shared" si="260"/>
        <v>-1.5834136700641965</v>
      </c>
      <c r="BA324">
        <f t="shared" si="237"/>
        <v>2.0104592343056389</v>
      </c>
      <c r="BB324">
        <f t="shared" si="253"/>
        <v>6.0659054284542577</v>
      </c>
      <c r="BC324">
        <f t="shared" si="254"/>
        <v>-1.2862161571070809</v>
      </c>
      <c r="BD324">
        <f t="shared" si="238"/>
        <v>-253.69475742797988</v>
      </c>
      <c r="BF324">
        <f t="shared" si="239"/>
        <v>-38.464797218166183</v>
      </c>
      <c r="BG324">
        <f t="shared" si="240"/>
        <v>-175.88021479646306</v>
      </c>
      <c r="BH324">
        <f t="shared" si="255"/>
        <v>4.1197852035369351</v>
      </c>
      <c r="BI324">
        <f t="shared" si="256"/>
        <v>4.1197852035369351</v>
      </c>
      <c r="BJ324">
        <f t="shared" si="241"/>
        <v>0</v>
      </c>
      <c r="BK324">
        <f t="shared" si="257"/>
        <v>0</v>
      </c>
      <c r="BM324">
        <f t="shared" si="258"/>
        <v>-44.530702646620441</v>
      </c>
      <c r="BN324">
        <f t="shared" si="242"/>
        <v>-102.18545736848317</v>
      </c>
      <c r="BQ324" s="56">
        <f t="shared" si="259"/>
        <v>22.967866228739396</v>
      </c>
      <c r="BR324" s="59"/>
      <c r="BS324" s="59"/>
      <c r="BT324" s="59">
        <v>138038.42600000001</v>
      </c>
      <c r="BU324" s="59">
        <v>9.3196600000000007</v>
      </c>
      <c r="BV324" s="59">
        <v>-133.267</v>
      </c>
      <c r="BY324" s="59"/>
      <c r="BZ324" s="59"/>
      <c r="CA324" s="59"/>
      <c r="CC324" s="59"/>
    </row>
    <row r="325" spans="1:81" x14ac:dyDescent="0.25">
      <c r="A325">
        <f t="shared" si="263"/>
        <v>555000</v>
      </c>
      <c r="B325">
        <f t="shared" si="243"/>
        <v>555</v>
      </c>
      <c r="C325">
        <f t="shared" si="212"/>
        <v>4.7104326383326178</v>
      </c>
      <c r="D325">
        <f t="shared" si="213"/>
        <v>1.3568737121082459</v>
      </c>
      <c r="F325">
        <f t="shared" si="214"/>
        <v>8.3215306641658688E-5</v>
      </c>
      <c r="G325">
        <f t="shared" si="215"/>
        <v>3.1032308766097741E-3</v>
      </c>
      <c r="H325">
        <f t="shared" si="216"/>
        <v>-3.1384894191233905</v>
      </c>
      <c r="J325">
        <f t="shared" si="217"/>
        <v>15</v>
      </c>
      <c r="M325">
        <f t="shared" si="218"/>
        <v>2.6920792282938526E-3</v>
      </c>
      <c r="N325">
        <f t="shared" si="219"/>
        <v>-1.5707963250000001</v>
      </c>
      <c r="O325">
        <f t="shared" si="220"/>
        <v>141.93822818760944</v>
      </c>
      <c r="P325">
        <f t="shared" si="221"/>
        <v>1.5637509501849058</v>
      </c>
      <c r="Q325">
        <f t="shared" si="222"/>
        <v>120.1336070766244</v>
      </c>
      <c r="R325">
        <f t="shared" si="223"/>
        <v>1.56247216527974</v>
      </c>
      <c r="S325">
        <f t="shared" si="224"/>
        <v>0.21556846657823239</v>
      </c>
      <c r="T325">
        <f t="shared" si="225"/>
        <v>-1.3535223805698302</v>
      </c>
      <c r="U325">
        <f t="shared" si="226"/>
        <v>0.27230029081178764</v>
      </c>
      <c r="V325">
        <f t="shared" si="227"/>
        <v>-1.2950134741177384</v>
      </c>
      <c r="X325">
        <f t="shared" si="244"/>
        <v>-36.003193080716038</v>
      </c>
      <c r="Y325">
        <f t="shared" si="228"/>
        <v>-164.70959684186047</v>
      </c>
      <c r="Z325">
        <f t="shared" si="245"/>
        <v>15.290403158139526</v>
      </c>
      <c r="AC325">
        <v>1</v>
      </c>
      <c r="AD325">
        <f t="shared" si="229"/>
        <v>141.934705484733</v>
      </c>
      <c r="AE325">
        <f t="shared" si="230"/>
        <v>-5.9394016867096153E-2</v>
      </c>
      <c r="AF325">
        <f t="shared" si="231"/>
        <v>1.680814899603E-2</v>
      </c>
      <c r="AG325">
        <f t="shared" si="246"/>
        <v>610.54227655752277</v>
      </c>
      <c r="AH325">
        <f t="shared" si="247"/>
        <v>-2216.9340764848062</v>
      </c>
      <c r="AJ325">
        <f t="shared" si="232"/>
        <v>22100</v>
      </c>
      <c r="AK325">
        <f t="shared" si="233"/>
        <v>100109.26567699786</v>
      </c>
      <c r="AL325">
        <v>1</v>
      </c>
      <c r="AM325">
        <f t="shared" si="234"/>
        <v>120.12944497183352</v>
      </c>
      <c r="AN325">
        <f t="shared" si="248"/>
        <v>834.8185126013484</v>
      </c>
      <c r="AO325">
        <f t="shared" si="249"/>
        <v>-177.01889401374203</v>
      </c>
      <c r="AQ325">
        <f t="shared" si="235"/>
        <v>8.1162177451361544E-3</v>
      </c>
      <c r="AR325">
        <f t="shared" si="236"/>
        <v>-9.0090016971011302</v>
      </c>
      <c r="AT325">
        <f t="shared" si="261"/>
        <v>-19967.407563353794</v>
      </c>
      <c r="AU325">
        <f t="shared" si="262"/>
        <v>-5518.3695253500737</v>
      </c>
      <c r="AV325">
        <f t="shared" si="250"/>
        <v>-2.8719542768654551</v>
      </c>
      <c r="AW325">
        <f t="shared" si="251"/>
        <v>-114.10979771234163</v>
      </c>
      <c r="AX325">
        <f t="shared" si="252"/>
        <v>-10392.679747592041</v>
      </c>
      <c r="AY325">
        <f t="shared" si="260"/>
        <v>-1.581775709904395</v>
      </c>
      <c r="BA325">
        <f t="shared" si="237"/>
        <v>1.9931992678669548</v>
      </c>
      <c r="BB325">
        <f t="shared" si="253"/>
        <v>5.991014379518818</v>
      </c>
      <c r="BC325">
        <f t="shared" si="254"/>
        <v>-1.2901785669610601</v>
      </c>
      <c r="BD325">
        <f t="shared" si="238"/>
        <v>-253.92178678957339</v>
      </c>
      <c r="BF325">
        <f t="shared" si="239"/>
        <v>-38.621880131465758</v>
      </c>
      <c r="BG325">
        <f t="shared" si="240"/>
        <v>-176.00084763239971</v>
      </c>
      <c r="BH325">
        <f t="shared" si="255"/>
        <v>3.9991523676002885</v>
      </c>
      <c r="BI325">
        <f t="shared" si="256"/>
        <v>3.9991523676002885</v>
      </c>
      <c r="BJ325">
        <f t="shared" si="241"/>
        <v>0</v>
      </c>
      <c r="BK325">
        <f t="shared" si="257"/>
        <v>0</v>
      </c>
      <c r="BM325">
        <f t="shared" si="258"/>
        <v>-44.612894510984574</v>
      </c>
      <c r="BN325">
        <f t="shared" si="242"/>
        <v>-102.07906084282634</v>
      </c>
      <c r="BQ325" s="56">
        <f t="shared" si="259"/>
        <v>22.892975179803955</v>
      </c>
      <c r="BR325" s="59"/>
      <c r="BS325" s="59"/>
      <c r="BT325" s="59">
        <v>141253.75399999999</v>
      </c>
      <c r="BU325" s="59">
        <v>9.5290400000000002</v>
      </c>
      <c r="BV325" s="59">
        <v>-133.959</v>
      </c>
      <c r="BY325" s="59"/>
      <c r="BZ325" s="59"/>
      <c r="CA325" s="59"/>
      <c r="CC325" s="59"/>
    </row>
    <row r="326" spans="1:81" x14ac:dyDescent="0.25">
      <c r="A326">
        <f t="shared" si="263"/>
        <v>560000</v>
      </c>
      <c r="B326">
        <f t="shared" si="243"/>
        <v>560</v>
      </c>
      <c r="C326">
        <f t="shared" si="212"/>
        <v>4.7509645600226698</v>
      </c>
      <c r="D326">
        <f t="shared" si="213"/>
        <v>1.3587267378975496</v>
      </c>
      <c r="F326">
        <f t="shared" si="214"/>
        <v>8.1735838265873371E-5</v>
      </c>
      <c r="G326">
        <f t="shared" si="215"/>
        <v>3.0755190570373367E-3</v>
      </c>
      <c r="H326">
        <f t="shared" si="216"/>
        <v>-3.1385171309429629</v>
      </c>
      <c r="J326">
        <f t="shared" si="217"/>
        <v>15</v>
      </c>
      <c r="M326">
        <f t="shared" si="218"/>
        <v>2.6680428066126576E-3</v>
      </c>
      <c r="N326">
        <f t="shared" si="219"/>
        <v>-1.5707963250000001</v>
      </c>
      <c r="O326">
        <f t="shared" si="220"/>
        <v>143.21688777607838</v>
      </c>
      <c r="P326">
        <f t="shared" si="221"/>
        <v>1.5638138532793955</v>
      </c>
      <c r="Q326">
        <f t="shared" si="222"/>
        <v>121.21581716824326</v>
      </c>
      <c r="R326">
        <f t="shared" si="223"/>
        <v>1.5625464847629968</v>
      </c>
      <c r="S326">
        <f t="shared" si="224"/>
        <v>0.21373204974424387</v>
      </c>
      <c r="T326">
        <f t="shared" si="225"/>
        <v>-1.3554026243571755</v>
      </c>
      <c r="U326">
        <f t="shared" si="226"/>
        <v>0.27004707826312879</v>
      </c>
      <c r="V326">
        <f t="shared" si="227"/>
        <v>-1.2973544008150995</v>
      </c>
      <c r="X326">
        <f t="shared" si="244"/>
        <v>-36.153179535825053</v>
      </c>
      <c r="Y326">
        <f t="shared" si="228"/>
        <v>-164.83900703407656</v>
      </c>
      <c r="Z326">
        <f t="shared" si="245"/>
        <v>15.160992965923441</v>
      </c>
      <c r="AC326">
        <v>1</v>
      </c>
      <c r="AD326">
        <f t="shared" si="229"/>
        <v>143.21339652513601</v>
      </c>
      <c r="AE326">
        <f t="shared" si="230"/>
        <v>-6.0468999884818936E-2</v>
      </c>
      <c r="AF326">
        <f t="shared" si="231"/>
        <v>1.6959573761759997E-2</v>
      </c>
      <c r="AG326">
        <f t="shared" si="246"/>
        <v>600.4799309358159</v>
      </c>
      <c r="AH326">
        <f t="shared" si="247"/>
        <v>-2199.9621805779398</v>
      </c>
      <c r="AJ326">
        <f t="shared" si="232"/>
        <v>22100</v>
      </c>
      <c r="AK326">
        <f t="shared" si="233"/>
        <v>101011.15095336721</v>
      </c>
      <c r="AL326">
        <v>1</v>
      </c>
      <c r="AM326">
        <f t="shared" si="234"/>
        <v>121.21169222383202</v>
      </c>
      <c r="AN326">
        <f t="shared" si="248"/>
        <v>834.79231814364357</v>
      </c>
      <c r="AO326">
        <f t="shared" si="249"/>
        <v>-175.43858427937451</v>
      </c>
      <c r="AQ326">
        <f t="shared" si="235"/>
        <v>7.971932420334487E-3</v>
      </c>
      <c r="AR326">
        <f t="shared" si="236"/>
        <v>-8.9285643107746253</v>
      </c>
      <c r="AT326">
        <f t="shared" si="261"/>
        <v>-19637.716825132928</v>
      </c>
      <c r="AU326">
        <f t="shared" si="262"/>
        <v>-5378.9616305207974</v>
      </c>
      <c r="AV326">
        <f t="shared" si="250"/>
        <v>-2.8742403442199</v>
      </c>
      <c r="AW326">
        <f t="shared" si="251"/>
        <v>-96.440779411364886</v>
      </c>
      <c r="AX326">
        <f t="shared" si="252"/>
        <v>-10302.580929832144</v>
      </c>
      <c r="AY326">
        <f t="shared" si="260"/>
        <v>-1.580156890262755</v>
      </c>
      <c r="BA326">
        <f t="shared" si="237"/>
        <v>1.9762210657861088</v>
      </c>
      <c r="BB326">
        <f t="shared" si="253"/>
        <v>5.9167104880382393</v>
      </c>
      <c r="BC326">
        <f t="shared" si="254"/>
        <v>-1.2940834539571451</v>
      </c>
      <c r="BD326">
        <f t="shared" si="238"/>
        <v>-254.14552033418022</v>
      </c>
      <c r="BF326">
        <f t="shared" si="239"/>
        <v>-38.777578094560994</v>
      </c>
      <c r="BG326">
        <f t="shared" si="240"/>
        <v>-176.11999839013518</v>
      </c>
      <c r="BH326">
        <f t="shared" si="255"/>
        <v>3.88000160986482</v>
      </c>
      <c r="BI326">
        <f t="shared" si="256"/>
        <v>3.88000160986482</v>
      </c>
      <c r="BJ326">
        <f t="shared" si="241"/>
        <v>0</v>
      </c>
      <c r="BK326">
        <f t="shared" si="257"/>
        <v>0</v>
      </c>
      <c r="BM326">
        <f t="shared" si="258"/>
        <v>-44.694288582599235</v>
      </c>
      <c r="BN326">
        <f t="shared" si="242"/>
        <v>-101.97447805595496</v>
      </c>
      <c r="BQ326" s="56">
        <f t="shared" si="259"/>
        <v>22.81867128832338</v>
      </c>
      <c r="BR326" s="59"/>
      <c r="BS326" s="59"/>
      <c r="BT326" s="59">
        <v>144543.97700000001</v>
      </c>
      <c r="BU326" s="59">
        <v>9.7312899999999996</v>
      </c>
      <c r="BV326" s="59">
        <v>-134.75200000000001</v>
      </c>
      <c r="BY326" s="59"/>
      <c r="BZ326" s="59"/>
      <c r="CA326" s="59"/>
      <c r="CC326" s="59"/>
    </row>
    <row r="327" spans="1:81" x14ac:dyDescent="0.25">
      <c r="A327">
        <f t="shared" si="263"/>
        <v>565000</v>
      </c>
      <c r="B327">
        <f t="shared" si="243"/>
        <v>565</v>
      </c>
      <c r="C327">
        <f t="shared" si="212"/>
        <v>4.791512519095348</v>
      </c>
      <c r="D327">
        <f t="shared" si="213"/>
        <v>1.3605484075593108</v>
      </c>
      <c r="F327">
        <f t="shared" si="214"/>
        <v>8.0295477742329911E-5</v>
      </c>
      <c r="G327">
        <f t="shared" si="215"/>
        <v>3.0482978274534622E-3</v>
      </c>
      <c r="H327">
        <f t="shared" si="216"/>
        <v>-3.1385443521725467</v>
      </c>
      <c r="J327">
        <f t="shared" si="217"/>
        <v>15</v>
      </c>
      <c r="M327">
        <f t="shared" si="218"/>
        <v>2.6444318083240501E-3</v>
      </c>
      <c r="N327">
        <f t="shared" si="219"/>
        <v>-1.5707963250000001</v>
      </c>
      <c r="O327">
        <f t="shared" si="220"/>
        <v>144.49554792119855</v>
      </c>
      <c r="P327">
        <f t="shared" si="221"/>
        <v>1.5638756430985812</v>
      </c>
      <c r="Q327">
        <f t="shared" si="222"/>
        <v>122.29802791753471</v>
      </c>
      <c r="R327">
        <f t="shared" si="223"/>
        <v>1.5626194889459051</v>
      </c>
      <c r="S327">
        <f t="shared" si="224"/>
        <v>0.21192592695419105</v>
      </c>
      <c r="T327">
        <f t="shared" si="225"/>
        <v>-1.3572510969375602</v>
      </c>
      <c r="U327">
        <f t="shared" si="226"/>
        <v>0.26782941740992894</v>
      </c>
      <c r="V327">
        <f t="shared" si="227"/>
        <v>-1.2996568919840767</v>
      </c>
      <c r="X327">
        <f t="shared" si="244"/>
        <v>-36.301927334574941</v>
      </c>
      <c r="Y327">
        <f t="shared" si="228"/>
        <v>-164.96630228883097</v>
      </c>
      <c r="Z327">
        <f t="shared" si="245"/>
        <v>15.033697711169026</v>
      </c>
      <c r="AC327">
        <v>1</v>
      </c>
      <c r="AD327">
        <f t="shared" si="229"/>
        <v>144.49208756553901</v>
      </c>
      <c r="AE327">
        <f t="shared" si="230"/>
        <v>-6.1553624005839691E-2</v>
      </c>
      <c r="AF327">
        <f t="shared" si="231"/>
        <v>1.7110998527489998E-2</v>
      </c>
      <c r="AG327">
        <f t="shared" si="246"/>
        <v>590.6579920304423</v>
      </c>
      <c r="AH327">
        <f t="shared" si="247"/>
        <v>-2183.2238426921303</v>
      </c>
      <c r="AJ327">
        <f t="shared" si="232"/>
        <v>22100</v>
      </c>
      <c r="AK327">
        <f t="shared" si="233"/>
        <v>101913.03622973656</v>
      </c>
      <c r="AL327">
        <v>1</v>
      </c>
      <c r="AM327">
        <f t="shared" si="234"/>
        <v>122.29393947583051</v>
      </c>
      <c r="AN327">
        <f t="shared" si="248"/>
        <v>834.76681597030756</v>
      </c>
      <c r="AO327">
        <f t="shared" si="249"/>
        <v>-173.8862389679779</v>
      </c>
      <c r="AQ327">
        <f t="shared" si="235"/>
        <v>7.8314607005554853E-3</v>
      </c>
      <c r="AR327">
        <f t="shared" si="236"/>
        <v>-8.8495505916276986</v>
      </c>
      <c r="AT327">
        <f t="shared" si="261"/>
        <v>-19315.924133899782</v>
      </c>
      <c r="AU327">
        <f t="shared" si="262"/>
        <v>-5244.1556145471877</v>
      </c>
      <c r="AV327">
        <f t="shared" si="250"/>
        <v>-2.8764889469540931</v>
      </c>
      <c r="AW327">
        <f t="shared" si="251"/>
        <v>-79.265421121854104</v>
      </c>
      <c r="AX327">
        <f t="shared" si="252"/>
        <v>-10214.013661948613</v>
      </c>
      <c r="AY327">
        <f t="shared" si="260"/>
        <v>-1.5785566287248944</v>
      </c>
      <c r="BA327">
        <f t="shared" si="237"/>
        <v>1.9595180290941785</v>
      </c>
      <c r="BB327">
        <f t="shared" si="253"/>
        <v>5.8429852736092416</v>
      </c>
      <c r="BC327">
        <f t="shared" si="254"/>
        <v>-1.2979323182291986</v>
      </c>
      <c r="BD327">
        <f t="shared" si="238"/>
        <v>-254.36604401313957</v>
      </c>
      <c r="BF327">
        <f t="shared" si="239"/>
        <v>-38.931915273101055</v>
      </c>
      <c r="BG327">
        <f t="shared" si="240"/>
        <v>-176.23770774725938</v>
      </c>
      <c r="BH327">
        <f t="shared" si="255"/>
        <v>3.7622922527406217</v>
      </c>
      <c r="BI327">
        <f t="shared" si="256"/>
        <v>3.7622922527406217</v>
      </c>
      <c r="BJ327">
        <f t="shared" si="241"/>
        <v>0</v>
      </c>
      <c r="BK327">
        <f t="shared" si="257"/>
        <v>0</v>
      </c>
      <c r="BM327">
        <f t="shared" si="258"/>
        <v>-44.774900546710299</v>
      </c>
      <c r="BN327">
        <f t="shared" si="242"/>
        <v>-101.87166373411983</v>
      </c>
      <c r="BQ327" s="56">
        <f t="shared" si="259"/>
        <v>22.744946073894376</v>
      </c>
      <c r="BR327" s="59"/>
      <c r="BS327" s="59"/>
      <c r="BT327" s="59">
        <v>147910.83900000001</v>
      </c>
      <c r="BU327" s="59">
        <v>9.9010099999999994</v>
      </c>
      <c r="BV327" s="59">
        <v>-135.72399999999999</v>
      </c>
      <c r="BY327" s="59"/>
      <c r="BZ327" s="59"/>
      <c r="CA327" s="59"/>
      <c r="CC327" s="59"/>
    </row>
    <row r="328" spans="1:81" x14ac:dyDescent="0.25">
      <c r="A328">
        <f t="shared" si="263"/>
        <v>570000</v>
      </c>
      <c r="B328">
        <f t="shared" si="243"/>
        <v>570</v>
      </c>
      <c r="C328">
        <f t="shared" si="212"/>
        <v>4.8320761118216389</v>
      </c>
      <c r="D328">
        <f t="shared" si="213"/>
        <v>1.3623394985196891</v>
      </c>
      <c r="F328">
        <f t="shared" si="214"/>
        <v>7.8892858730225237E-5</v>
      </c>
      <c r="G328">
        <f t="shared" si="215"/>
        <v>3.0215542736021141E-3</v>
      </c>
      <c r="H328">
        <f t="shared" si="216"/>
        <v>-3.1385710957263981</v>
      </c>
      <c r="J328">
        <f t="shared" si="217"/>
        <v>15</v>
      </c>
      <c r="M328">
        <f t="shared" si="218"/>
        <v>2.6212350380755934E-3</v>
      </c>
      <c r="N328">
        <f t="shared" si="219"/>
        <v>-1.5707963250000001</v>
      </c>
      <c r="O328">
        <f t="shared" si="220"/>
        <v>145.77420860832191</v>
      </c>
      <c r="P328">
        <f t="shared" si="221"/>
        <v>1.5639363489373184</v>
      </c>
      <c r="Q328">
        <f t="shared" si="222"/>
        <v>123.38023930719268</v>
      </c>
      <c r="R328">
        <f t="shared" si="223"/>
        <v>1.5626912124385595</v>
      </c>
      <c r="S328">
        <f t="shared" si="224"/>
        <v>0.21014937322478289</v>
      </c>
      <c r="T328">
        <f t="shared" si="225"/>
        <v>-1.35906858452214</v>
      </c>
      <c r="U328">
        <f t="shared" si="226"/>
        <v>0.26564650921829303</v>
      </c>
      <c r="V328">
        <f t="shared" si="227"/>
        <v>-1.3019218626995859</v>
      </c>
      <c r="X328">
        <f t="shared" si="244"/>
        <v>-36.449456074189513</v>
      </c>
      <c r="Y328">
        <f t="shared" si="228"/>
        <v>-165.09153261784598</v>
      </c>
      <c r="Z328">
        <f t="shared" si="245"/>
        <v>14.908467382154015</v>
      </c>
      <c r="AC328">
        <v>1</v>
      </c>
      <c r="AD328">
        <f t="shared" si="229"/>
        <v>145.77077860594198</v>
      </c>
      <c r="AE328">
        <f t="shared" si="230"/>
        <v>-6.2647889230158404E-2</v>
      </c>
      <c r="AF328">
        <f t="shared" si="231"/>
        <v>1.7262423293219999E-2</v>
      </c>
      <c r="AG328">
        <f t="shared" si="246"/>
        <v>581.06906909107022</v>
      </c>
      <c r="AH328">
        <f t="shared" si="247"/>
        <v>-2166.71495306102</v>
      </c>
      <c r="AJ328">
        <f t="shared" si="232"/>
        <v>22100</v>
      </c>
      <c r="AK328">
        <f t="shared" si="233"/>
        <v>102814.92150610591</v>
      </c>
      <c r="AL328">
        <v>1</v>
      </c>
      <c r="AM328">
        <f t="shared" si="234"/>
        <v>123.37618672782902</v>
      </c>
      <c r="AN328">
        <f t="shared" si="248"/>
        <v>834.7419819001874</v>
      </c>
      <c r="AO328">
        <f t="shared" si="249"/>
        <v>-172.36112236967989</v>
      </c>
      <c r="AQ328">
        <f t="shared" si="235"/>
        <v>7.6946693639047678E-3</v>
      </c>
      <c r="AR328">
        <f t="shared" si="236"/>
        <v>-8.7719230748514345</v>
      </c>
      <c r="AT328">
        <f t="shared" si="261"/>
        <v>-19001.785759017355</v>
      </c>
      <c r="AU328">
        <f t="shared" si="262"/>
        <v>-5113.765330412034</v>
      </c>
      <c r="AV328">
        <f t="shared" si="250"/>
        <v>-2.8787009745945951</v>
      </c>
      <c r="AW328">
        <f t="shared" si="251"/>
        <v>-62.565427138994139</v>
      </c>
      <c r="AX328">
        <f t="shared" si="252"/>
        <v>-10126.939535304595</v>
      </c>
      <c r="AY328">
        <f t="shared" si="260"/>
        <v>-1.5769743661636739</v>
      </c>
      <c r="BA328">
        <f t="shared" si="237"/>
        <v>1.9430837527244309</v>
      </c>
      <c r="BB328">
        <f t="shared" si="253"/>
        <v>5.7698304079004714</v>
      </c>
      <c r="BC328">
        <f t="shared" si="254"/>
        <v>-1.3017266084309211</v>
      </c>
      <c r="BD328">
        <f t="shared" si="238"/>
        <v>-254.58344082819451</v>
      </c>
      <c r="BF328">
        <f t="shared" si="239"/>
        <v>-39.0849152176309</v>
      </c>
      <c r="BG328">
        <f t="shared" si="240"/>
        <v>-176.35401490221</v>
      </c>
      <c r="BH328">
        <f t="shared" si="255"/>
        <v>3.6459850977900032</v>
      </c>
      <c r="BI328">
        <f t="shared" si="256"/>
        <v>3.6459850977900032</v>
      </c>
      <c r="BJ328">
        <f t="shared" si="241"/>
        <v>0</v>
      </c>
      <c r="BK328">
        <f t="shared" si="257"/>
        <v>0</v>
      </c>
      <c r="BM328">
        <f t="shared" si="258"/>
        <v>-44.854745625531372</v>
      </c>
      <c r="BN328">
        <f t="shared" si="242"/>
        <v>-101.7705740740155</v>
      </c>
      <c r="BQ328" s="56">
        <f t="shared" si="259"/>
        <v>22.67179120818561</v>
      </c>
      <c r="BR328" s="59"/>
      <c r="BS328" s="59"/>
      <c r="BT328" s="59">
        <v>151356.125</v>
      </c>
      <c r="BU328" s="59">
        <v>10.0764</v>
      </c>
      <c r="BV328" s="59">
        <v>-136.34200000000001</v>
      </c>
      <c r="BY328" s="59"/>
      <c r="BZ328" s="59"/>
      <c r="CA328" s="59"/>
      <c r="CC328" s="59"/>
    </row>
    <row r="329" spans="1:81" x14ac:dyDescent="0.25">
      <c r="A329">
        <f t="shared" si="263"/>
        <v>575000</v>
      </c>
      <c r="B329">
        <f t="shared" si="243"/>
        <v>575</v>
      </c>
      <c r="C329">
        <f t="shared" ref="C329:C392" si="264">SQRT((A329/Fesr)^2+1)</f>
        <v>4.8726549477631842</v>
      </c>
      <c r="D329">
        <f t="shared" ref="D329:D392" si="265">ATAN(A329/Fesr)</f>
        <v>1.364100763107464</v>
      </c>
      <c r="F329">
        <f t="shared" ref="F329:F392" si="266">(Ro/(Ro+Rdcr))/SQRT((A329/(Q*Fo))^2+(1-(A329^2/Fo^2))^2)</f>
        <v>7.7526674044252816E-5</v>
      </c>
      <c r="G329">
        <f t="shared" ref="G329:G392" si="267">-ATAN(A329*Fo/(Q*(Fo^2-A329^2)))</f>
        <v>2.9952759305901478E-3</v>
      </c>
      <c r="H329">
        <f t="shared" ref="H329:H392" si="268">IF(G329&gt;0,G329-Pi,G329)</f>
        <v>-3.13859737406941</v>
      </c>
      <c r="J329">
        <f t="shared" ref="J329:J392" si="269">Vin/Vramp</f>
        <v>15</v>
      </c>
      <c r="M329">
        <f t="shared" ref="M329:M392" si="270">1/(2*Pi*_Rfb1*(Cc1ea_u+Cc2ea_u)*A329)</f>
        <v>2.5984416899184144E-3</v>
      </c>
      <c r="N329">
        <f t="shared" ref="N329:N392" si="271">-Pi/2</f>
        <v>-1.5707963250000001</v>
      </c>
      <c r="O329">
        <f t="shared" ref="O329:O392" si="272">SQRT(1+(A329/Fz1_u)^2)</f>
        <v>147.05286982330992</v>
      </c>
      <c r="P329">
        <f t="shared" ref="P329:P392" si="273">ATAN2(Fz1_u,A329)</f>
        <v>1.563995999071591</v>
      </c>
      <c r="Q329">
        <f t="shared" ref="Q329:Q392" si="274">SQRT(1+(A329/Fz2_u)^2)</f>
        <v>124.46245132051307</v>
      </c>
      <c r="R329">
        <f t="shared" ref="R329:R392" si="275">ATAN2(Fz2_u,A329)</f>
        <v>1.5627616886473572</v>
      </c>
      <c r="S329">
        <f t="shared" ref="S329:S392" si="276">1/SQRT(1+(A329/Fp1_u)^2)</f>
        <v>0.20840168589549429</v>
      </c>
      <c r="T329">
        <f t="shared" ref="T329:T392" si="277">-ATAN2(Fp1_u,A329)</f>
        <v>-1.3608558480027644</v>
      </c>
      <c r="U329">
        <f t="shared" ref="U329:U392" si="278">1/SQRT(1+(A329/Fp2_u)^2)</f>
        <v>0.2634975772100871</v>
      </c>
      <c r="V329">
        <f t="shared" ref="V329:V392" si="279">-ATAN2(Fp2_u,A329)</f>
        <v>-1.304150199994969</v>
      </c>
      <c r="X329">
        <f t="shared" si="244"/>
        <v>-36.595784906057069</v>
      </c>
      <c r="Y329">
        <f t="shared" ref="Y329:Y392" si="280">(180/Pi)*(D329+H329+N329+P329+R329+T329+V329)</f>
        <v>-165.21474651506188</v>
      </c>
      <c r="Z329">
        <f t="shared" si="245"/>
        <v>14.785253484938124</v>
      </c>
      <c r="AC329">
        <v>1</v>
      </c>
      <c r="AD329">
        <f t="shared" ref="AD329:AD392" si="281">Rcea1_u*Cc1ea_u*A329*2*Pi</f>
        <v>147.04946964634502</v>
      </c>
      <c r="AE329">
        <f t="shared" ref="AE329:AE392" si="282">-Rcea1_u*Cc1ea_u*Cc2ea_u*(A329*2*Pi)^2</f>
        <v>-6.3751795557775076E-2</v>
      </c>
      <c r="AF329">
        <f t="shared" ref="AF329:AF392" si="283">(Cc2ea_u+Cc1ea_u)*A329*2*Pi</f>
        <v>1.741384805895E-2</v>
      </c>
      <c r="AG329">
        <f t="shared" si="246"/>
        <v>571.70604473630112</v>
      </c>
      <c r="AH329">
        <f t="shared" si="247"/>
        <v>-2150.4314701957287</v>
      </c>
      <c r="AJ329">
        <f t="shared" ref="AJ329:AJ392" si="284">_Rfb1</f>
        <v>22100</v>
      </c>
      <c r="AK329">
        <f t="shared" ref="AK329:AK392" si="285">_Rfb1*Rcea2_u*Cc3ea_u*A329*2*Pi</f>
        <v>103716.80678247525</v>
      </c>
      <c r="AL329">
        <v>1</v>
      </c>
      <c r="AM329">
        <f t="shared" ref="AM329:AM392" si="286">(_Rfb1+Rcea2_u)*Cc3ea_u*A329*2*Pi</f>
        <v>124.45843397982752</v>
      </c>
      <c r="AN329">
        <f t="shared" si="248"/>
        <v>834.71779279875625</v>
      </c>
      <c r="AO329">
        <f t="shared" si="249"/>
        <v>-170.86252435610723</v>
      </c>
      <c r="AQ329">
        <f t="shared" ref="AQ329:AQ392" si="287">Eadcg/(1+(Eadcg*A329/GBP)^2)</f>
        <v>7.5614309554397309E-3</v>
      </c>
      <c r="AR329">
        <f t="shared" ref="AR329:AR392" si="288">-(A329*Eadcg*Eadcg/GBP)/(1+(Eadcg*A329/GBP)^2)</f>
        <v>-8.6956455987556911</v>
      </c>
      <c r="AT329">
        <f t="shared" si="261"/>
        <v>-18695.067033449141</v>
      </c>
      <c r="AU329">
        <f t="shared" si="262"/>
        <v>-4987.6134907795304</v>
      </c>
      <c r="AV329">
        <f t="shared" si="250"/>
        <v>-2.8808772895149519</v>
      </c>
      <c r="AW329">
        <f t="shared" si="251"/>
        <v>-46.323342286798045</v>
      </c>
      <c r="AX329">
        <f t="shared" si="252"/>
        <v>-10041.321409186436</v>
      </c>
      <c r="AY329">
        <f t="shared" si="260"/>
        <v>-1.5754095656089224</v>
      </c>
      <c r="BA329">
        <f t="shared" ref="BA329:BA392" si="289">SQRT(AT329^2+AU329^2)/SQRT(AW329^2+AX329^2)</f>
        <v>1.9269120189849238</v>
      </c>
      <c r="BB329">
        <f t="shared" si="253"/>
        <v>5.6972377125002822</v>
      </c>
      <c r="BC329">
        <f t="shared" si="254"/>
        <v>-1.3054677239060295</v>
      </c>
      <c r="BD329">
        <f t="shared" ref="BD329:BD392" si="290">BC329*180/Pi-180</f>
        <v>-254.79779095583422</v>
      </c>
      <c r="BF329">
        <f t="shared" ref="BF329:BF392" si="291">20*LOG(BA329*J329*F329*C329)</f>
        <v>-39.236600883824778</v>
      </c>
      <c r="BG329">
        <f t="shared" ref="BG329:BG392" si="292">(180/Pi)*(D329+H329+BC329)</f>
        <v>-176.46895764039795</v>
      </c>
      <c r="BH329">
        <f t="shared" si="255"/>
        <v>3.5310423596020541</v>
      </c>
      <c r="BI329">
        <f t="shared" si="256"/>
        <v>3.5310423596020541</v>
      </c>
      <c r="BJ329">
        <f t="shared" ref="BJ329:BJ392" si="293">SUM((BF330&lt;0)*(BF329&gt;0))*A329</f>
        <v>0</v>
      </c>
      <c r="BK329">
        <f t="shared" si="257"/>
        <v>0</v>
      </c>
      <c r="BM329">
        <f t="shared" si="258"/>
        <v>-44.93383859632506</v>
      </c>
      <c r="BN329">
        <f t="shared" ref="BN329:BN392" si="294">(H329+D329)*180/Pi</f>
        <v>-101.67116668456372</v>
      </c>
      <c r="BQ329" s="56">
        <f t="shared" si="259"/>
        <v>22.599198512785421</v>
      </c>
      <c r="BR329" s="59"/>
      <c r="BS329" s="59"/>
      <c r="BT329" s="59">
        <v>154881.66200000001</v>
      </c>
      <c r="BU329" s="59">
        <v>10.266</v>
      </c>
      <c r="BV329" s="59">
        <v>-136.816</v>
      </c>
      <c r="BY329" s="59"/>
      <c r="BZ329" s="59"/>
      <c r="CA329" s="59"/>
      <c r="CC329" s="59"/>
    </row>
    <row r="330" spans="1:81" x14ac:dyDescent="0.25">
      <c r="A330">
        <f t="shared" si="263"/>
        <v>580000</v>
      </c>
      <c r="B330">
        <f t="shared" ref="B330:B393" si="295">A330/1000</f>
        <v>580</v>
      </c>
      <c r="C330">
        <f t="shared" si="264"/>
        <v>4.9132486492359186</v>
      </c>
      <c r="D330">
        <f t="shared" si="265"/>
        <v>1.3658329295424603</v>
      </c>
      <c r="F330">
        <f t="shared" si="266"/>
        <v>7.6195672607579467E-5</v>
      </c>
      <c r="G330">
        <f t="shared" si="267"/>
        <v>2.9694507635094755E-3</v>
      </c>
      <c r="H330">
        <f t="shared" si="268"/>
        <v>-3.1386231992364908</v>
      </c>
      <c r="J330">
        <f t="shared" si="269"/>
        <v>15</v>
      </c>
      <c r="M330">
        <f t="shared" si="270"/>
        <v>2.5760413305225662E-3</v>
      </c>
      <c r="N330">
        <f t="shared" si="271"/>
        <v>-1.5707963250000001</v>
      </c>
      <c r="O330">
        <f t="shared" si="272"/>
        <v>148.33153155251156</v>
      </c>
      <c r="P330">
        <f t="shared" si="273"/>
        <v>1.5640546208024246</v>
      </c>
      <c r="Q330">
        <f t="shared" si="274"/>
        <v>125.54466394136772</v>
      </c>
      <c r="R330">
        <f t="shared" si="275"/>
        <v>1.5628309498268744</v>
      </c>
      <c r="S330">
        <f t="shared" si="276"/>
        <v>0.20668218380275608</v>
      </c>
      <c r="T330">
        <f t="shared" si="277"/>
        <v>-1.3626136239461433</v>
      </c>
      <c r="U330">
        <f t="shared" si="278"/>
        <v>0.26138186672486846</v>
      </c>
      <c r="V330">
        <f t="shared" si="279"/>
        <v>-1.3063427638962279</v>
      </c>
      <c r="X330">
        <f t="shared" ref="X330:X393" si="296">20*LOG(C330*J330*O330*Q330*F330*M330*S330*U330)</f>
        <v>-36.740932548702553</v>
      </c>
      <c r="Y330">
        <f t="shared" si="280"/>
        <v>-165.33599101184504</v>
      </c>
      <c r="Z330">
        <f t="shared" ref="Z330:Z393" si="297">Y330+180</f>
        <v>14.664008988154961</v>
      </c>
      <c r="AC330">
        <v>1</v>
      </c>
      <c r="AD330">
        <f t="shared" si="281"/>
        <v>148.32816068674802</v>
      </c>
      <c r="AE330">
        <f t="shared" si="282"/>
        <v>-6.4865342988689706E-2</v>
      </c>
      <c r="AF330">
        <f t="shared" si="283"/>
        <v>1.7565272824679998E-2</v>
      </c>
      <c r="AG330">
        <f t="shared" ref="AG330:AG359" si="298">AC330*AE330/(AE330^2+AF330^2)+AD330*AF330/(AE330^2+AF330^2)</f>
        <v>562.56206332663874</v>
      </c>
      <c r="AH330">
        <f t="shared" ref="AH330:AH359" si="299">AD330*AE330/(AE330^2+AF330^2)-AC330*AF330/(AE330^2+AF330^2)</f>
        <v>-2134.3694210904127</v>
      </c>
      <c r="AJ330">
        <f t="shared" si="284"/>
        <v>22100</v>
      </c>
      <c r="AK330">
        <f t="shared" si="285"/>
        <v>104618.69205884462</v>
      </c>
      <c r="AL330">
        <v>1</v>
      </c>
      <c r="AM330">
        <f t="shared" si="286"/>
        <v>125.54068123182603</v>
      </c>
      <c r="AN330">
        <f t="shared" ref="AN330:AN359" si="300">AJ330*AL330/(AL330^2+AM330^2)+AK330*AM330/(AL330^2+AM330^2)</f>
        <v>834.69422652422088</v>
      </c>
      <c r="AO330">
        <f t="shared" ref="AO330:AO359" si="301">AK330*AL330/(AL330^2+AM330^2)-AJ330*AM330/(AL330^2+AM330^2)</f>
        <v>-169.38975927816438</v>
      </c>
      <c r="AQ330">
        <f t="shared" si="287"/>
        <v>7.431623490172793E-3</v>
      </c>
      <c r="AR330">
        <f t="shared" si="288"/>
        <v>-8.6206832486004394</v>
      </c>
      <c r="AT330">
        <f t="shared" si="261"/>
        <v>-18395.541965274639</v>
      </c>
      <c r="AU330">
        <f t="shared" si="262"/>
        <v>-4865.5311855445361</v>
      </c>
      <c r="AV330">
        <f t="shared" ref="AV330:AV393" si="302">ATAN2(AT330,AU330)</f>
        <v>-2.8830187279316317</v>
      </c>
      <c r="AW330">
        <f t="shared" ref="AW330:AW393" si="303">AG330-AH330*AO330/_Rfb2+AG330*AN330/_Rfb2+AN330-AO330*AR330+AQ330*AN330</f>
        <v>-30.522506076798866</v>
      </c>
      <c r="AX330">
        <f t="shared" ref="AX330:AX393" si="304">AH330+AH330*AN330/_Rfb2+AG330*AO330/_Rfb2+AO330+AO330*AQ330+AN330*AR330</f>
        <v>-9957.1233589308576</v>
      </c>
      <c r="AY330">
        <f t="shared" si="260"/>
        <v>-1.5738617111809359</v>
      </c>
      <c r="BA330">
        <f t="shared" si="289"/>
        <v>1.910996791258202</v>
      </c>
      <c r="BB330">
        <f t="shared" ref="BB330:BB393" si="305">20*LOG(BA330)</f>
        <v>5.6251991566939088</v>
      </c>
      <c r="BC330">
        <f t="shared" ref="BC330:BC393" si="306">AV330-AY330</f>
        <v>-1.3091570167506958</v>
      </c>
      <c r="BD330">
        <f t="shared" si="290"/>
        <v>-255.00917186546297</v>
      </c>
      <c r="BF330">
        <f t="shared" si="291"/>
        <v>-39.386994651919935</v>
      </c>
      <c r="BG330">
        <f t="shared" si="292"/>
        <v>-176.5825723968544</v>
      </c>
      <c r="BH330">
        <f t="shared" ref="BH330:BH393" si="307">IF(BG330&gt;180,BG330-180,BG330+180)</f>
        <v>3.4174276031455975</v>
      </c>
      <c r="BI330">
        <f t="shared" ref="BI330:BI393" si="308">IF(BH330&gt;180,BH330-360,BH330)</f>
        <v>3.4174276031455975</v>
      </c>
      <c r="BJ330">
        <f t="shared" si="293"/>
        <v>0</v>
      </c>
      <c r="BK330">
        <f t="shared" ref="BK330:BK393" si="309">IF(BJ330&gt;0,BI330,0)</f>
        <v>0</v>
      </c>
      <c r="BM330">
        <f t="shared" ref="BM330:BM393" si="310">20*LOG(J330*F330*C330)</f>
        <v>-45.012193808613851</v>
      </c>
      <c r="BN330">
        <f t="shared" si="294"/>
        <v>-101.57340053139144</v>
      </c>
      <c r="BQ330" s="56">
        <f t="shared" ref="BQ330:BQ393" si="311">20*LOG(BA330*7)</f>
        <v>22.527159956979045</v>
      </c>
      <c r="BR330" s="59"/>
      <c r="BS330" s="59"/>
      <c r="BT330" s="59">
        <v>158489.31899999999</v>
      </c>
      <c r="BU330" s="59">
        <v>10.4788</v>
      </c>
      <c r="BV330" s="59">
        <v>-137.47</v>
      </c>
      <c r="BY330" s="59"/>
      <c r="BZ330" s="59"/>
      <c r="CA330" s="59"/>
      <c r="CC330" s="59"/>
    </row>
    <row r="331" spans="1:81" x14ac:dyDescent="0.25">
      <c r="A331">
        <f t="shared" si="263"/>
        <v>585000</v>
      </c>
      <c r="B331">
        <f t="shared" si="295"/>
        <v>585</v>
      </c>
      <c r="C331">
        <f t="shared" si="264"/>
        <v>4.9538568507991787</v>
      </c>
      <c r="D331">
        <f t="shared" si="265"/>
        <v>1.3675367028784295</v>
      </c>
      <c r="F331">
        <f t="shared" si="266"/>
        <v>7.4898656586373108E-5</v>
      </c>
      <c r="G331">
        <f t="shared" si="267"/>
        <v>2.94406714905347E-3</v>
      </c>
      <c r="H331">
        <f t="shared" si="268"/>
        <v>-3.1386485828509469</v>
      </c>
      <c r="J331">
        <f t="shared" si="269"/>
        <v>15</v>
      </c>
      <c r="M331">
        <f t="shared" si="270"/>
        <v>2.5540238832531424E-3</v>
      </c>
      <c r="N331">
        <f t="shared" si="271"/>
        <v>-1.5707963250000001</v>
      </c>
      <c r="O331">
        <f t="shared" si="272"/>
        <v>149.61019378274244</v>
      </c>
      <c r="P331">
        <f t="shared" si="273"/>
        <v>1.5641122404975467</v>
      </c>
      <c r="Q331">
        <f t="shared" si="274"/>
        <v>126.62687715417979</v>
      </c>
      <c r="R331">
        <f t="shared" si="275"/>
        <v>1.5628990271290837</v>
      </c>
      <c r="S331">
        <f t="shared" si="276"/>
        <v>0.2049902064891492</v>
      </c>
      <c r="T331">
        <f t="shared" si="277"/>
        <v>-1.3643426255423696</v>
      </c>
      <c r="U331">
        <f t="shared" si="278"/>
        <v>0.25929864420781823</v>
      </c>
      <c r="V331">
        <f t="shared" si="279"/>
        <v>-1.3085003884123734</v>
      </c>
      <c r="X331">
        <f t="shared" si="296"/>
        <v>-36.884917300306604</v>
      </c>
      <c r="Y331">
        <f t="shared" si="280"/>
        <v>-165.45531172990025</v>
      </c>
      <c r="Z331">
        <f t="shared" si="297"/>
        <v>14.544688270099755</v>
      </c>
      <c r="AC331">
        <v>1</v>
      </c>
      <c r="AD331">
        <f t="shared" si="281"/>
        <v>149.606851727151</v>
      </c>
      <c r="AE331">
        <f t="shared" si="282"/>
        <v>-6.5988531522902308E-2</v>
      </c>
      <c r="AF331">
        <f t="shared" si="283"/>
        <v>1.7716697590409999E-2</v>
      </c>
      <c r="AG331">
        <f t="shared" si="298"/>
        <v>553.63051988622328</v>
      </c>
      <c r="AH331">
        <f t="shared" si="299"/>
        <v>-2118.5249012699464</v>
      </c>
      <c r="AJ331">
        <f t="shared" si="284"/>
        <v>22100</v>
      </c>
      <c r="AK331">
        <f t="shared" si="285"/>
        <v>105520.57733521397</v>
      </c>
      <c r="AL331">
        <v>1</v>
      </c>
      <c r="AM331">
        <f t="shared" si="286"/>
        <v>126.62292848382452</v>
      </c>
      <c r="AN331">
        <f t="shared" si="300"/>
        <v>834.67126187683675</v>
      </c>
      <c r="AO331">
        <f t="shared" si="301"/>
        <v>-167.94216492031069</v>
      </c>
      <c r="AQ331">
        <f t="shared" si="287"/>
        <v>7.3051301737671317E-3</v>
      </c>
      <c r="AR331">
        <f t="shared" si="288"/>
        <v>-8.5470023033075435</v>
      </c>
      <c r="AT331">
        <f t="shared" si="261"/>
        <v>-18102.99286775268</v>
      </c>
      <c r="AU331">
        <f t="shared" si="262"/>
        <v>-4747.3574288290474</v>
      </c>
      <c r="AV331">
        <f t="shared" si="302"/>
        <v>-2.8851261008580424</v>
      </c>
      <c r="AW331">
        <f t="shared" si="303"/>
        <v>-15.147009747399096</v>
      </c>
      <c r="AX331">
        <f t="shared" si="304"/>
        <v>-9874.3106265885617</v>
      </c>
      <c r="AY331">
        <f t="shared" ref="AY331:AY394" si="312">ATAN2(AW331,AX331)</f>
        <v>-1.5723303070836898</v>
      </c>
      <c r="BA331">
        <f t="shared" si="289"/>
        <v>1.8953322079217034</v>
      </c>
      <c r="BB331">
        <f t="shared" si="305"/>
        <v>5.5537068551833721</v>
      </c>
      <c r="BC331">
        <f t="shared" si="306"/>
        <v>-1.3127957937743526</v>
      </c>
      <c r="BD331">
        <f t="shared" si="290"/>
        <v>-255.21765843174592</v>
      </c>
      <c r="BF331">
        <f t="shared" si="291"/>
        <v>-39.536118345386527</v>
      </c>
      <c r="BG331">
        <f t="shared" si="292"/>
        <v>-176.6948943156066</v>
      </c>
      <c r="BH331">
        <f t="shared" si="307"/>
        <v>3.3051056843933964</v>
      </c>
      <c r="BI331">
        <f t="shared" si="308"/>
        <v>3.3051056843933964</v>
      </c>
      <c r="BJ331">
        <f t="shared" si="293"/>
        <v>0</v>
      </c>
      <c r="BK331">
        <f t="shared" si="309"/>
        <v>0</v>
      </c>
      <c r="BM331">
        <f t="shared" si="310"/>
        <v>-45.089825200569898</v>
      </c>
      <c r="BN331">
        <f t="shared" si="294"/>
        <v>-101.47723588386073</v>
      </c>
      <c r="BQ331" s="56">
        <f t="shared" si="311"/>
        <v>22.45566765546851</v>
      </c>
      <c r="BR331" s="59"/>
      <c r="BS331" s="59"/>
      <c r="BT331" s="59">
        <v>162181.01</v>
      </c>
      <c r="BU331" s="59">
        <v>10.741899999999999</v>
      </c>
      <c r="BV331" s="59">
        <v>-137.46899999999999</v>
      </c>
      <c r="BY331" s="59"/>
      <c r="BZ331" s="59"/>
      <c r="CA331" s="59"/>
      <c r="CC331" s="59"/>
    </row>
    <row r="332" spans="1:81" x14ac:dyDescent="0.25">
      <c r="A332">
        <f t="shared" si="263"/>
        <v>590000</v>
      </c>
      <c r="B332">
        <f t="shared" si="295"/>
        <v>590</v>
      </c>
      <c r="C332">
        <f t="shared" si="264"/>
        <v>4.9944791987688921</v>
      </c>
      <c r="D332">
        <f t="shared" si="265"/>
        <v>1.3692127659027686</v>
      </c>
      <c r="F332">
        <f t="shared" si="266"/>
        <v>7.3634478693622752E-5</v>
      </c>
      <c r="G332">
        <f t="shared" si="267"/>
        <v>2.9191138580686149E-3</v>
      </c>
      <c r="H332">
        <f t="shared" si="268"/>
        <v>-3.1386735361419316</v>
      </c>
      <c r="J332">
        <f t="shared" si="269"/>
        <v>15</v>
      </c>
      <c r="M332">
        <f t="shared" si="270"/>
        <v>2.532379613056082E-3</v>
      </c>
      <c r="N332">
        <f t="shared" si="271"/>
        <v>-1.5707963250000001</v>
      </c>
      <c r="O332">
        <f t="shared" si="272"/>
        <v>150.88885650126505</v>
      </c>
      <c r="P332">
        <f t="shared" si="273"/>
        <v>1.5641688836309304</v>
      </c>
      <c r="Q332">
        <f t="shared" si="274"/>
        <v>127.70909094390046</v>
      </c>
      <c r="R332">
        <f t="shared" si="275"/>
        <v>1.5629659506500679</v>
      </c>
      <c r="S332">
        <f t="shared" si="276"/>
        <v>0.20332511344596851</v>
      </c>
      <c r="T332">
        <f t="shared" si="277"/>
        <v>-1.3660435435101841</v>
      </c>
      <c r="U332">
        <f t="shared" si="278"/>
        <v>0.25724719652279754</v>
      </c>
      <c r="V332">
        <f t="shared" si="279"/>
        <v>-1.3106238824839598</v>
      </c>
      <c r="X332">
        <f t="shared" si="296"/>
        <v>-37.027757050789646</v>
      </c>
      <c r="Y332">
        <f t="shared" si="280"/>
        <v>-165.57275293199311</v>
      </c>
      <c r="Z332">
        <f t="shared" si="297"/>
        <v>14.427247068006892</v>
      </c>
      <c r="AC332">
        <v>1</v>
      </c>
      <c r="AD332">
        <f t="shared" si="281"/>
        <v>150.885542767554</v>
      </c>
      <c r="AE332">
        <f t="shared" si="282"/>
        <v>-6.7121361160412854E-2</v>
      </c>
      <c r="AF332">
        <f t="shared" si="283"/>
        <v>1.786812235614E-2</v>
      </c>
      <c r="AG332">
        <f t="shared" si="298"/>
        <v>544.90504954553944</v>
      </c>
      <c r="AH332">
        <f t="shared" si="299"/>
        <v>-2102.8940746964968</v>
      </c>
      <c r="AJ332">
        <f t="shared" si="284"/>
        <v>22100</v>
      </c>
      <c r="AK332">
        <f t="shared" si="285"/>
        <v>106422.46261158331</v>
      </c>
      <c r="AL332">
        <v>1</v>
      </c>
      <c r="AM332">
        <f t="shared" si="286"/>
        <v>127.70517573582302</v>
      </c>
      <c r="AN332">
        <f t="shared" si="300"/>
        <v>834.64887855122117</v>
      </c>
      <c r="AO332">
        <f t="shared" si="301"/>
        <v>-166.51910150798659</v>
      </c>
      <c r="AQ332">
        <f t="shared" si="287"/>
        <v>7.1818391397305802E-3</v>
      </c>
      <c r="AR332">
        <f t="shared" si="288"/>
        <v>-8.4745701848820847</v>
      </c>
      <c r="AT332">
        <f t="shared" si="261"/>
        <v>-17817.210006975867</v>
      </c>
      <c r="AU332">
        <f t="shared" si="262"/>
        <v>-4632.9387334426865</v>
      </c>
      <c r="AV332">
        <f t="shared" si="302"/>
        <v>-2.8872001950185808</v>
      </c>
      <c r="AW332">
        <f t="shared" si="303"/>
        <v>-0.18165597977839898</v>
      </c>
      <c r="AX332">
        <f t="shared" si="304"/>
        <v>-9792.8495739794871</v>
      </c>
      <c r="AY332">
        <f t="shared" si="312"/>
        <v>-1.5708148766539938</v>
      </c>
      <c r="BA332">
        <f t="shared" si="289"/>
        <v>1.8799125764824181</v>
      </c>
      <c r="BB332">
        <f t="shared" si="305"/>
        <v>5.4827530657620773</v>
      </c>
      <c r="BC332">
        <f t="shared" si="306"/>
        <v>-1.3163853183645871</v>
      </c>
      <c r="BD332">
        <f t="shared" si="290"/>
        <v>-255.42332304145975</v>
      </c>
      <c r="BF332">
        <f t="shared" si="291"/>
        <v>-39.683993248868106</v>
      </c>
      <c r="BG332">
        <f t="shared" si="292"/>
        <v>-176.80595730597821</v>
      </c>
      <c r="BH332">
        <f t="shared" si="307"/>
        <v>3.194042694021789</v>
      </c>
      <c r="BI332">
        <f t="shared" si="308"/>
        <v>3.194042694021789</v>
      </c>
      <c r="BJ332">
        <f t="shared" si="293"/>
        <v>0</v>
      </c>
      <c r="BK332">
        <f t="shared" si="309"/>
        <v>0</v>
      </c>
      <c r="BM332">
        <f t="shared" si="310"/>
        <v>-45.166746314630188</v>
      </c>
      <c r="BN332">
        <f t="shared" si="294"/>
        <v>-101.38263426451844</v>
      </c>
      <c r="BQ332" s="56">
        <f t="shared" si="311"/>
        <v>22.384713866047214</v>
      </c>
      <c r="BR332" s="59"/>
      <c r="BS332" s="59"/>
      <c r="BT332" s="59">
        <v>165958.69099999999</v>
      </c>
      <c r="BU332" s="59">
        <v>11.0235</v>
      </c>
      <c r="BV332" s="59">
        <v>-138.31200000000001</v>
      </c>
      <c r="BY332" s="59"/>
      <c r="BZ332" s="59"/>
      <c r="CA332" s="59"/>
      <c r="CC332" s="59"/>
    </row>
    <row r="333" spans="1:81" x14ac:dyDescent="0.25">
      <c r="A333">
        <f t="shared" si="263"/>
        <v>595000</v>
      </c>
      <c r="B333">
        <f t="shared" si="295"/>
        <v>595</v>
      </c>
      <c r="C333">
        <f t="shared" si="264"/>
        <v>5.0351153507535651</v>
      </c>
      <c r="D333">
        <f t="shared" si="265"/>
        <v>1.3708617799953235</v>
      </c>
      <c r="F333">
        <f t="shared" si="266"/>
        <v>7.2402039650915664E-5</v>
      </c>
      <c r="G333">
        <f t="shared" si="267"/>
        <v>2.8945800389863462E-3</v>
      </c>
      <c r="H333">
        <f t="shared" si="268"/>
        <v>-3.1386980699610141</v>
      </c>
      <c r="J333">
        <f t="shared" si="269"/>
        <v>15</v>
      </c>
      <c r="M333">
        <f t="shared" si="270"/>
        <v>2.5110991121060308E-3</v>
      </c>
      <c r="N333">
        <f t="shared" si="271"/>
        <v>-1.5707963250000001</v>
      </c>
      <c r="O333">
        <f t="shared" si="272"/>
        <v>152.16751969577015</v>
      </c>
      <c r="P333">
        <f t="shared" si="273"/>
        <v>1.5642245748203429</v>
      </c>
      <c r="Q333">
        <f t="shared" si="274"/>
        <v>128.79130529598672</v>
      </c>
      <c r="R333">
        <f t="shared" si="275"/>
        <v>1.5630317494743808</v>
      </c>
      <c r="S333">
        <f t="shared" si="276"/>
        <v>0.20168628338760342</v>
      </c>
      <c r="T333">
        <f t="shared" si="277"/>
        <v>-1.3677170469612119</v>
      </c>
      <c r="U333">
        <f t="shared" si="278"/>
        <v>0.25522683028966481</v>
      </c>
      <c r="V333">
        <f t="shared" si="279"/>
        <v>-1.3127140308917691</v>
      </c>
      <c r="X333">
        <f t="shared" si="296"/>
        <v>-37.169469293478571</v>
      </c>
      <c r="Y333">
        <f t="shared" si="280"/>
        <v>-165.68835757058142</v>
      </c>
      <c r="Z333">
        <f t="shared" si="297"/>
        <v>14.311642429418583</v>
      </c>
      <c r="AC333">
        <v>1</v>
      </c>
      <c r="AD333">
        <f t="shared" si="281"/>
        <v>152.164233807957</v>
      </c>
      <c r="AE333">
        <f t="shared" si="282"/>
        <v>-6.8263831901221372E-2</v>
      </c>
      <c r="AF333">
        <f t="shared" si="283"/>
        <v>1.8019547121869997E-2</v>
      </c>
      <c r="AG333">
        <f t="shared" si="298"/>
        <v>536.37951747875627</v>
      </c>
      <c r="AH333">
        <f t="shared" si="299"/>
        <v>-2087.4731735502396</v>
      </c>
      <c r="AJ333">
        <f t="shared" si="284"/>
        <v>22100</v>
      </c>
      <c r="AK333">
        <f t="shared" si="285"/>
        <v>107324.34788795267</v>
      </c>
      <c r="AL333">
        <v>1</v>
      </c>
      <c r="AM333">
        <f t="shared" si="286"/>
        <v>128.78742298782151</v>
      </c>
      <c r="AN333">
        <f t="shared" si="300"/>
        <v>834.62705709145382</v>
      </c>
      <c r="AO333">
        <f t="shared" si="301"/>
        <v>-165.11995076506389</v>
      </c>
      <c r="AQ333">
        <f t="shared" si="287"/>
        <v>7.0616432020032469E-3</v>
      </c>
      <c r="AR333">
        <f t="shared" si="288"/>
        <v>-8.4033554103838632</v>
      </c>
      <c r="AT333">
        <f t="shared" si="261"/>
        <v>-17537.991266211284</v>
      </c>
      <c r="AU333">
        <f t="shared" si="262"/>
        <v>-4522.1287109695577</v>
      </c>
      <c r="AV333">
        <f t="shared" si="302"/>
        <v>-2.8892417737245708</v>
      </c>
      <c r="AW333">
        <f t="shared" si="303"/>
        <v>14.388078897683577</v>
      </c>
      <c r="AX333">
        <f t="shared" si="304"/>
        <v>-9712.7076380043982</v>
      </c>
      <c r="AY333">
        <f t="shared" si="312"/>
        <v>-1.5693149614630735</v>
      </c>
      <c r="BA333">
        <f t="shared" si="289"/>
        <v>1.8647323679193155</v>
      </c>
      <c r="BB333">
        <f t="shared" si="305"/>
        <v>5.4123301869547582</v>
      </c>
      <c r="BC333">
        <f t="shared" si="306"/>
        <v>-1.3199268122614973</v>
      </c>
      <c r="BD333">
        <f t="shared" si="290"/>
        <v>-255.62623569515591</v>
      </c>
      <c r="BF333">
        <f t="shared" si="291"/>
        <v>-39.830640125425127</v>
      </c>
      <c r="BG333">
        <f t="shared" si="292"/>
        <v>-176.91579409599578</v>
      </c>
      <c r="BH333">
        <f t="shared" si="307"/>
        <v>3.0842059040042216</v>
      </c>
      <c r="BI333">
        <f t="shared" si="308"/>
        <v>3.0842059040042216</v>
      </c>
      <c r="BJ333">
        <f t="shared" si="293"/>
        <v>0</v>
      </c>
      <c r="BK333">
        <f t="shared" si="309"/>
        <v>0</v>
      </c>
      <c r="BM333">
        <f t="shared" si="310"/>
        <v>-45.242970312379889</v>
      </c>
      <c r="BN333">
        <f t="shared" si="294"/>
        <v>-101.28955840083987</v>
      </c>
      <c r="BQ333" s="56">
        <f t="shared" si="311"/>
        <v>22.314290987239893</v>
      </c>
      <c r="BR333" s="59"/>
      <c r="BS333" s="59"/>
      <c r="BT333" s="59">
        <v>169824.36499999999</v>
      </c>
      <c r="BU333" s="59">
        <v>11.234299999999999</v>
      </c>
      <c r="BV333" s="59">
        <v>-140.114</v>
      </c>
      <c r="BY333" s="59"/>
      <c r="BZ333" s="59"/>
      <c r="CA333" s="59"/>
      <c r="CC333" s="59"/>
    </row>
    <row r="334" spans="1:81" x14ac:dyDescent="0.25">
      <c r="A334">
        <f t="shared" si="263"/>
        <v>600000</v>
      </c>
      <c r="B334">
        <f t="shared" si="295"/>
        <v>600</v>
      </c>
      <c r="C334">
        <f t="shared" si="264"/>
        <v>5.0757649752118219</v>
      </c>
      <c r="D334">
        <f t="shared" si="265"/>
        <v>1.3724843859483908</v>
      </c>
      <c r="F334">
        <f t="shared" si="266"/>
        <v>7.120028579768338E-5</v>
      </c>
      <c r="G334">
        <f t="shared" si="267"/>
        <v>2.8704552020837023E-3</v>
      </c>
      <c r="H334">
        <f t="shared" si="268"/>
        <v>-3.1387221947979165</v>
      </c>
      <c r="J334">
        <f t="shared" si="269"/>
        <v>15</v>
      </c>
      <c r="M334">
        <f t="shared" si="270"/>
        <v>2.4901732861718137E-3</v>
      </c>
      <c r="N334">
        <f t="shared" si="271"/>
        <v>-1.5707963250000001</v>
      </c>
      <c r="O334">
        <f t="shared" si="272"/>
        <v>153.44618335435862</v>
      </c>
      <c r="P334">
        <f t="shared" si="273"/>
        <v>1.5642793378630191</v>
      </c>
      <c r="Q334">
        <f t="shared" si="274"/>
        <v>129.87352019638027</v>
      </c>
      <c r="R334">
        <f t="shared" si="275"/>
        <v>1.5630964517171881</v>
      </c>
      <c r="S334">
        <f t="shared" si="276"/>
        <v>0.20007311355625809</v>
      </c>
      <c r="T334">
        <f t="shared" si="277"/>
        <v>-1.3693637842252928</v>
      </c>
      <c r="U334">
        <f t="shared" si="278"/>
        <v>0.25323687124501448</v>
      </c>
      <c r="V334">
        <f t="shared" si="279"/>
        <v>-1.3147715951275059</v>
      </c>
      <c r="X334">
        <f t="shared" si="296"/>
        <v>-37.310071136372741</v>
      </c>
      <c r="Y334">
        <f t="shared" si="280"/>
        <v>-165.8021673344509</v>
      </c>
      <c r="Z334">
        <f t="shared" si="297"/>
        <v>14.1978326655491</v>
      </c>
      <c r="AC334">
        <v>1</v>
      </c>
      <c r="AD334">
        <f t="shared" si="281"/>
        <v>153.44292484836001</v>
      </c>
      <c r="AE334">
        <f t="shared" si="282"/>
        <v>-6.9415943745327863E-2</v>
      </c>
      <c r="AF334">
        <f t="shared" si="283"/>
        <v>1.8170971887599998E-2</v>
      </c>
      <c r="AG334">
        <f t="shared" si="298"/>
        <v>528.04800931073589</v>
      </c>
      <c r="AH334">
        <f t="shared" si="299"/>
        <v>-2072.2584978980908</v>
      </c>
      <c r="AJ334">
        <f t="shared" si="284"/>
        <v>22100</v>
      </c>
      <c r="AK334">
        <f t="shared" si="285"/>
        <v>108226.23316432202</v>
      </c>
      <c r="AL334">
        <v>1</v>
      </c>
      <c r="AM334">
        <f t="shared" si="286"/>
        <v>129.86967023982001</v>
      </c>
      <c r="AN334">
        <f t="shared" si="300"/>
        <v>834.60577884878933</v>
      </c>
      <c r="AO334">
        <f t="shared" si="301"/>
        <v>-163.74411501840339</v>
      </c>
      <c r="AQ334">
        <f t="shared" si="287"/>
        <v>6.9444396219169296E-3</v>
      </c>
      <c r="AR334">
        <f t="shared" si="288"/>
        <v>-8.3333275463003158</v>
      </c>
      <c r="AT334">
        <f t="shared" si="261"/>
        <v>-17265.141826070943</v>
      </c>
      <c r="AU334">
        <f t="shared" si="262"/>
        <v>-4414.7876957778581</v>
      </c>
      <c r="AV334">
        <f t="shared" si="302"/>
        <v>-2.8912515777138479</v>
      </c>
      <c r="AW334">
        <f t="shared" si="303"/>
        <v>28.576080389876655</v>
      </c>
      <c r="AX334">
        <f t="shared" si="304"/>
        <v>-9633.8532880863841</v>
      </c>
      <c r="AY334">
        <f t="shared" si="312"/>
        <v>-1.5678301204673175</v>
      </c>
      <c r="BA334">
        <f t="shared" si="289"/>
        <v>1.84978621122701</v>
      </c>
      <c r="BB334">
        <f t="shared" si="305"/>
        <v>5.3424307556321526</v>
      </c>
      <c r="BC334">
        <f t="shared" si="306"/>
        <v>-1.3234214572465304</v>
      </c>
      <c r="BD334">
        <f t="shared" si="290"/>
        <v>-255.82646410392368</v>
      </c>
      <c r="BF334">
        <f t="shared" si="291"/>
        <v>-39.976079233112664</v>
      </c>
      <c r="BG334">
        <f t="shared" si="292"/>
        <v>-177.02443628307128</v>
      </c>
      <c r="BH334">
        <f t="shared" si="307"/>
        <v>2.9755637169287183</v>
      </c>
      <c r="BI334">
        <f t="shared" si="308"/>
        <v>2.9755637169287183</v>
      </c>
      <c r="BJ334">
        <f t="shared" si="293"/>
        <v>0</v>
      </c>
      <c r="BK334">
        <f t="shared" si="309"/>
        <v>0</v>
      </c>
      <c r="BM334">
        <f t="shared" si="310"/>
        <v>-45.318509988744822</v>
      </c>
      <c r="BN334">
        <f t="shared" si="294"/>
        <v>-101.19797217914761</v>
      </c>
      <c r="BQ334" s="56">
        <f t="shared" si="311"/>
        <v>22.244391555917289</v>
      </c>
      <c r="BR334" s="59"/>
      <c r="BS334" s="59"/>
      <c r="BT334" s="59">
        <v>173780.08300000001</v>
      </c>
      <c r="BU334" s="59">
        <v>11.3918</v>
      </c>
      <c r="BV334" s="59">
        <v>-141.173</v>
      </c>
      <c r="BY334" s="59"/>
      <c r="BZ334" s="59"/>
      <c r="CA334" s="59"/>
      <c r="CC334" s="59"/>
    </row>
    <row r="335" spans="1:81" x14ac:dyDescent="0.25">
      <c r="A335">
        <f t="shared" si="263"/>
        <v>605000</v>
      </c>
      <c r="B335">
        <f t="shared" si="295"/>
        <v>605</v>
      </c>
      <c r="C335">
        <f t="shared" si="264"/>
        <v>5.1164277510303773</v>
      </c>
      <c r="D335">
        <f t="shared" si="265"/>
        <v>1.3740812047499114</v>
      </c>
      <c r="F335">
        <f t="shared" si="266"/>
        <v>7.0028206838205053E-5</v>
      </c>
      <c r="G335">
        <f t="shared" si="267"/>
        <v>2.8467292045248286E-3</v>
      </c>
      <c r="H335">
        <f t="shared" si="268"/>
        <v>-3.1387459207954755</v>
      </c>
      <c r="J335">
        <f t="shared" si="269"/>
        <v>15</v>
      </c>
      <c r="M335">
        <f t="shared" si="270"/>
        <v>2.4695933416579974E-3</v>
      </c>
      <c r="N335">
        <f t="shared" si="271"/>
        <v>-1.5707963250000001</v>
      </c>
      <c r="O335">
        <f t="shared" si="272"/>
        <v>154.72484746552479</v>
      </c>
      <c r="P335">
        <f t="shared" si="273"/>
        <v>1.5643331957695634</v>
      </c>
      <c r="Q335">
        <f t="shared" si="274"/>
        <v>130.95573563148753</v>
      </c>
      <c r="R335">
        <f t="shared" si="275"/>
        <v>1.5631600845643203</v>
      </c>
      <c r="S335">
        <f t="shared" si="276"/>
        <v>0.19848501905560806</v>
      </c>
      <c r="T335">
        <f t="shared" si="277"/>
        <v>-1.3709843836388895</v>
      </c>
      <c r="U335">
        <f t="shared" si="278"/>
        <v>0.25127666362551659</v>
      </c>
      <c r="V335">
        <f t="shared" si="279"/>
        <v>-1.3167973142282738</v>
      </c>
      <c r="X335">
        <f t="shared" si="296"/>
        <v>-37.449579313025104</v>
      </c>
      <c r="Y335">
        <f t="shared" si="280"/>
        <v>-165.91422269344557</v>
      </c>
      <c r="Z335">
        <f t="shared" si="297"/>
        <v>14.085777306554434</v>
      </c>
      <c r="AC335">
        <v>1</v>
      </c>
      <c r="AD335">
        <f t="shared" si="281"/>
        <v>154.72161588876298</v>
      </c>
      <c r="AE335">
        <f t="shared" si="282"/>
        <v>-7.0577696692732311E-2</v>
      </c>
      <c r="AF335">
        <f t="shared" si="283"/>
        <v>1.8322396653329999E-2</v>
      </c>
      <c r="AG335">
        <f t="shared" si="298"/>
        <v>519.90482197005394</v>
      </c>
      <c r="AH335">
        <f t="shared" si="299"/>
        <v>-2057.2464152630832</v>
      </c>
      <c r="AJ335">
        <f t="shared" si="284"/>
        <v>22100</v>
      </c>
      <c r="AK335">
        <f t="shared" si="285"/>
        <v>109128.11844069137</v>
      </c>
      <c r="AL335">
        <v>1</v>
      </c>
      <c r="AM335">
        <f t="shared" si="286"/>
        <v>130.95191749181851</v>
      </c>
      <c r="AN335">
        <f t="shared" si="300"/>
        <v>834.58502594180288</v>
      </c>
      <c r="AO335">
        <f t="shared" si="301"/>
        <v>-162.39101634679616</v>
      </c>
      <c r="AQ335">
        <f t="shared" si="287"/>
        <v>6.8301298885800913E-3</v>
      </c>
      <c r="AR335">
        <f t="shared" si="288"/>
        <v>-8.264457165181911</v>
      </c>
      <c r="AT335">
        <f t="shared" si="261"/>
        <v>-16998.473859702037</v>
      </c>
      <c r="AU335">
        <f t="shared" si="262"/>
        <v>-4310.7823913721013</v>
      </c>
      <c r="AV335">
        <f t="shared" si="302"/>
        <v>-2.8932303259556695</v>
      </c>
      <c r="AW335">
        <f t="shared" si="303"/>
        <v>42.395629160309127</v>
      </c>
      <c r="AX335">
        <f t="shared" si="304"/>
        <v>-9556.2559856238458</v>
      </c>
      <c r="AY335">
        <f t="shared" si="312"/>
        <v>-1.5663599292051449</v>
      </c>
      <c r="BA335">
        <f t="shared" si="289"/>
        <v>1.8350688881542374</v>
      </c>
      <c r="BB335">
        <f t="shared" si="305"/>
        <v>5.2730474446089568</v>
      </c>
      <c r="BC335">
        <f t="shared" si="306"/>
        <v>-1.3268703967505246</v>
      </c>
      <c r="BD335">
        <f t="shared" si="290"/>
        <v>-256.02407378152429</v>
      </c>
      <c r="BF335">
        <f t="shared" si="291"/>
        <v>-40.120330340921555</v>
      </c>
      <c r="BG335">
        <f t="shared" si="292"/>
        <v>-177.1319143821195</v>
      </c>
      <c r="BH335">
        <f t="shared" si="307"/>
        <v>2.8680856178804959</v>
      </c>
      <c r="BI335">
        <f t="shared" si="308"/>
        <v>2.8680856178804959</v>
      </c>
      <c r="BJ335">
        <f t="shared" si="293"/>
        <v>0</v>
      </c>
      <c r="BK335">
        <f t="shared" si="309"/>
        <v>0</v>
      </c>
      <c r="BM335">
        <f t="shared" si="310"/>
        <v>-45.393377785530518</v>
      </c>
      <c r="BN335">
        <f t="shared" si="294"/>
        <v>-101.10784060059522</v>
      </c>
      <c r="BQ335" s="56">
        <f t="shared" si="311"/>
        <v>22.175008244894094</v>
      </c>
      <c r="BR335" s="59"/>
      <c r="BS335" s="59"/>
      <c r="BT335" s="59">
        <v>177827.94099999999</v>
      </c>
      <c r="BU335" s="59">
        <v>11.612500000000001</v>
      </c>
      <c r="BV335" s="59">
        <v>-141.86199999999999</v>
      </c>
      <c r="BY335" s="59"/>
      <c r="BZ335" s="59"/>
      <c r="CA335" s="59"/>
      <c r="CC335" s="59"/>
    </row>
    <row r="336" spans="1:81" x14ac:dyDescent="0.25">
      <c r="A336">
        <f t="shared" si="263"/>
        <v>610000</v>
      </c>
      <c r="B336">
        <f t="shared" si="295"/>
        <v>610</v>
      </c>
      <c r="C336">
        <f t="shared" si="264"/>
        <v>5.1571033671213433</v>
      </c>
      <c r="D336">
        <f t="shared" si="265"/>
        <v>1.3756528383317386</v>
      </c>
      <c r="F336">
        <f t="shared" si="266"/>
        <v>6.8884833717370423E-5</v>
      </c>
      <c r="G336">
        <f t="shared" si="267"/>
        <v>2.8233922361384882E-3</v>
      </c>
      <c r="H336">
        <f t="shared" si="268"/>
        <v>-3.1387692577638617</v>
      </c>
      <c r="J336">
        <f t="shared" si="269"/>
        <v>15</v>
      </c>
      <c r="M336">
        <f t="shared" si="270"/>
        <v>2.4493507732837516E-3</v>
      </c>
      <c r="N336">
        <f t="shared" si="271"/>
        <v>-1.5707963250000001</v>
      </c>
      <c r="O336">
        <f t="shared" si="272"/>
        <v>156.00351201814013</v>
      </c>
      <c r="P336">
        <f t="shared" si="273"/>
        <v>1.5643861707961872</v>
      </c>
      <c r="Q336">
        <f t="shared" si="274"/>
        <v>132.0379515881605</v>
      </c>
      <c r="R336">
        <f t="shared" si="275"/>
        <v>1.5632226743103561</v>
      </c>
      <c r="S336">
        <f t="shared" si="276"/>
        <v>0.1969214322120571</v>
      </c>
      <c r="T336">
        <f t="shared" si="277"/>
        <v>-1.3725794542984531</v>
      </c>
      <c r="U336">
        <f t="shared" si="278"/>
        <v>0.24934556957305992</v>
      </c>
      <c r="V336">
        <f t="shared" si="279"/>
        <v>-1.3187919055765149</v>
      </c>
      <c r="X336">
        <f t="shared" si="296"/>
        <v>-37.58801019305389</v>
      </c>
      <c r="Y336">
        <f t="shared" si="280"/>
        <v>-166.02456294137895</v>
      </c>
      <c r="Z336">
        <f t="shared" si="297"/>
        <v>13.975437058621054</v>
      </c>
      <c r="AC336">
        <v>1</v>
      </c>
      <c r="AD336">
        <f t="shared" si="281"/>
        <v>156.00030692916599</v>
      </c>
      <c r="AE336">
        <f t="shared" si="282"/>
        <v>-7.1749090743434718E-2</v>
      </c>
      <c r="AF336">
        <f t="shared" si="283"/>
        <v>1.847382141906E-2</v>
      </c>
      <c r="AG336">
        <f t="shared" si="298"/>
        <v>511.94445496561593</v>
      </c>
      <c r="AH336">
        <f t="shared" si="299"/>
        <v>-2042.4333601058538</v>
      </c>
      <c r="AJ336">
        <f t="shared" si="284"/>
        <v>22100</v>
      </c>
      <c r="AK336">
        <f t="shared" si="285"/>
        <v>110030.00371706071</v>
      </c>
      <c r="AL336">
        <v>1</v>
      </c>
      <c r="AM336">
        <f t="shared" si="286"/>
        <v>132.034164743817</v>
      </c>
      <c r="AN336">
        <f t="shared" si="300"/>
        <v>834.56478121881378</v>
      </c>
      <c r="AO336">
        <f t="shared" si="301"/>
        <v>-161.06009577174243</v>
      </c>
      <c r="AQ336">
        <f t="shared" si="287"/>
        <v>6.7186195118116689E-3</v>
      </c>
      <c r="AR336">
        <f t="shared" si="288"/>
        <v>-8.1967158044102355</v>
      </c>
      <c r="AT336">
        <f t="shared" si="261"/>
        <v>-16737.806242230257</v>
      </c>
      <c r="AU336">
        <f t="shared" si="262"/>
        <v>-4209.9855376216301</v>
      </c>
      <c r="AV336">
        <f t="shared" si="302"/>
        <v>-2.8951787164225422</v>
      </c>
      <c r="AW336">
        <f t="shared" si="303"/>
        <v>55.859432349052369</v>
      </c>
      <c r="AX336">
        <f t="shared" si="304"/>
        <v>-9479.8861453441896</v>
      </c>
      <c r="AY336">
        <f t="shared" si="312"/>
        <v>-1.5649039790371559</v>
      </c>
      <c r="BA336">
        <f t="shared" si="289"/>
        <v>1.8205753281306933</v>
      </c>
      <c r="BB336">
        <f t="shared" si="305"/>
        <v>5.2041730602323568</v>
      </c>
      <c r="BC336">
        <f t="shared" si="306"/>
        <v>-1.3302747373853863</v>
      </c>
      <c r="BD336">
        <f t="shared" si="290"/>
        <v>-256.21912813214965</v>
      </c>
      <c r="BF336">
        <f t="shared" si="291"/>
        <v>-40.263412744111385</v>
      </c>
      <c r="BG336">
        <f t="shared" si="292"/>
        <v>-177.23825787125892</v>
      </c>
      <c r="BH336">
        <f t="shared" si="307"/>
        <v>2.7617421287410764</v>
      </c>
      <c r="BI336">
        <f t="shared" si="308"/>
        <v>2.7617421287410764</v>
      </c>
      <c r="BJ336">
        <f t="shared" si="293"/>
        <v>0</v>
      </c>
      <c r="BK336">
        <f t="shared" si="309"/>
        <v>0</v>
      </c>
      <c r="BM336">
        <f t="shared" si="310"/>
        <v>-45.467585804343742</v>
      </c>
      <c r="BN336">
        <f t="shared" si="294"/>
        <v>-101.01912973910929</v>
      </c>
      <c r="BQ336" s="56">
        <f t="shared" si="311"/>
        <v>22.106133860517492</v>
      </c>
      <c r="BR336" s="59"/>
      <c r="BS336" s="59"/>
      <c r="BT336" s="59">
        <v>181970.08600000001</v>
      </c>
      <c r="BU336" s="59">
        <v>11.8933</v>
      </c>
      <c r="BV336" s="59">
        <v>-143.41399999999999</v>
      </c>
      <c r="BY336" s="59"/>
      <c r="BZ336" s="59"/>
      <c r="CA336" s="59"/>
      <c r="CC336" s="59"/>
    </row>
    <row r="337" spans="1:81" x14ac:dyDescent="0.25">
      <c r="A337">
        <f t="shared" si="263"/>
        <v>615000</v>
      </c>
      <c r="B337">
        <f t="shared" si="295"/>
        <v>615</v>
      </c>
      <c r="C337">
        <f t="shared" si="264"/>
        <v>5.1977915220378614</v>
      </c>
      <c r="D337">
        <f t="shared" si="265"/>
        <v>1.3771998702847505</v>
      </c>
      <c r="F337">
        <f t="shared" si="266"/>
        <v>6.7769236616860716E-5</v>
      </c>
      <c r="G337">
        <f t="shared" si="267"/>
        <v>2.8004348058896832E-3</v>
      </c>
      <c r="H337">
        <f t="shared" si="268"/>
        <v>-3.1387922151941106</v>
      </c>
      <c r="J337">
        <f t="shared" si="269"/>
        <v>15</v>
      </c>
      <c r="M337">
        <f t="shared" si="270"/>
        <v>2.4294373523627453E-3</v>
      </c>
      <c r="N337">
        <f t="shared" si="271"/>
        <v>-1.5707963250000001</v>
      </c>
      <c r="O337">
        <f t="shared" si="272"/>
        <v>157.28217700143804</v>
      </c>
      <c r="P337">
        <f t="shared" si="273"/>
        <v>1.5644382844753719</v>
      </c>
      <c r="Q337">
        <f t="shared" si="274"/>
        <v>133.12016805367884</v>
      </c>
      <c r="R337">
        <f t="shared" si="275"/>
        <v>1.5632842463948478</v>
      </c>
      <c r="S337">
        <f t="shared" si="276"/>
        <v>0.19538180196232713</v>
      </c>
      <c r="T337">
        <f t="shared" si="277"/>
        <v>-1.3741495867805196</v>
      </c>
      <c r="U337">
        <f t="shared" si="278"/>
        <v>0.24744296856092143</v>
      </c>
      <c r="V337">
        <f t="shared" si="279"/>
        <v>-1.3207560656670065</v>
      </c>
      <c r="X337">
        <f t="shared" si="296"/>
        <v>-37.725379792299073</v>
      </c>
      <c r="Y337">
        <f t="shared" si="280"/>
        <v>-166.13322623720802</v>
      </c>
      <c r="Z337">
        <f t="shared" si="297"/>
        <v>13.866773762791979</v>
      </c>
      <c r="AC337">
        <v>1</v>
      </c>
      <c r="AD337">
        <f t="shared" si="281"/>
        <v>157.27899796956902</v>
      </c>
      <c r="AE337">
        <f t="shared" si="282"/>
        <v>-7.2930125897435097E-2</v>
      </c>
      <c r="AF337">
        <f t="shared" si="283"/>
        <v>1.8625246184789997E-2</v>
      </c>
      <c r="AG337">
        <f t="shared" si="298"/>
        <v>504.16160206562893</v>
      </c>
      <c r="AH337">
        <f t="shared" si="299"/>
        <v>-2027.8158332286619</v>
      </c>
      <c r="AJ337">
        <f t="shared" si="284"/>
        <v>22100</v>
      </c>
      <c r="AK337">
        <f t="shared" si="285"/>
        <v>110931.88899343007</v>
      </c>
      <c r="AL337">
        <v>1</v>
      </c>
      <c r="AM337">
        <f t="shared" si="286"/>
        <v>133.1164119958155</v>
      </c>
      <c r="AN337">
        <f t="shared" si="300"/>
        <v>834.54502822243978</v>
      </c>
      <c r="AO337">
        <f t="shared" si="301"/>
        <v>-159.75081248768964</v>
      </c>
      <c r="AQ337">
        <f t="shared" si="287"/>
        <v>6.6098178268108754E-3</v>
      </c>
      <c r="AR337">
        <f t="shared" si="288"/>
        <v>-8.1300759269773764</v>
      </c>
      <c r="AT337">
        <f t="shared" si="261"/>
        <v>-16482.964273730988</v>
      </c>
      <c r="AU337">
        <f t="shared" si="262"/>
        <v>-4112.2755975040818</v>
      </c>
      <c r="AV337">
        <f t="shared" si="302"/>
        <v>-2.8970974268304746</v>
      </c>
      <c r="AW337">
        <f t="shared" si="303"/>
        <v>68.979653019761585</v>
      </c>
      <c r="AX337">
        <f t="shared" si="304"/>
        <v>-9404.7150984543823</v>
      </c>
      <c r="AY337">
        <f t="shared" si="312"/>
        <v>-1.5634618764269337</v>
      </c>
      <c r="BA337">
        <f t="shared" si="289"/>
        <v>1.8063006033759448</v>
      </c>
      <c r="BB337">
        <f t="shared" si="305"/>
        <v>5.1358005399678595</v>
      </c>
      <c r="BC337">
        <f t="shared" si="306"/>
        <v>-1.3336355504035409</v>
      </c>
      <c r="BD337">
        <f t="shared" si="290"/>
        <v>-256.41168853404253</v>
      </c>
      <c r="BF337">
        <f t="shared" si="291"/>
        <v>-40.405345278961605</v>
      </c>
      <c r="BG337">
        <f t="shared" si="292"/>
        <v>-177.34349523523429</v>
      </c>
      <c r="BH337">
        <f t="shared" si="307"/>
        <v>2.6565047647657138</v>
      </c>
      <c r="BI337">
        <f t="shared" si="308"/>
        <v>2.6565047647657138</v>
      </c>
      <c r="BJ337">
        <f t="shared" si="293"/>
        <v>0</v>
      </c>
      <c r="BK337">
        <f t="shared" si="309"/>
        <v>0</v>
      </c>
      <c r="BM337">
        <f t="shared" si="310"/>
        <v>-45.541145818929472</v>
      </c>
      <c r="BN337">
        <f t="shared" si="294"/>
        <v>-100.93180670119176</v>
      </c>
      <c r="BQ337" s="56">
        <f t="shared" si="311"/>
        <v>22.037761340252999</v>
      </c>
      <c r="BR337" s="59"/>
      <c r="BS337" s="59"/>
      <c r="BT337" s="59">
        <v>186208.71400000001</v>
      </c>
      <c r="BU337" s="59">
        <v>12.027799999999999</v>
      </c>
      <c r="BV337" s="59">
        <v>-144.279</v>
      </c>
      <c r="BY337" s="59"/>
      <c r="BZ337" s="59"/>
      <c r="CA337" s="59"/>
      <c r="CC337" s="59"/>
    </row>
    <row r="338" spans="1:81" x14ac:dyDescent="0.25">
      <c r="A338">
        <f t="shared" si="263"/>
        <v>620000</v>
      </c>
      <c r="B338">
        <f t="shared" si="295"/>
        <v>620</v>
      </c>
      <c r="C338">
        <f t="shared" si="264"/>
        <v>5.2384919236071035</v>
      </c>
      <c r="D338">
        <f t="shared" si="265"/>
        <v>1.3787228665424807</v>
      </c>
      <c r="F338">
        <f t="shared" si="266"/>
        <v>6.6680523064008209E-5</v>
      </c>
      <c r="G338">
        <f t="shared" si="267"/>
        <v>2.777847729006177E-3</v>
      </c>
      <c r="H338">
        <f t="shared" si="268"/>
        <v>-3.1388148022709941</v>
      </c>
      <c r="J338">
        <f t="shared" si="269"/>
        <v>15</v>
      </c>
      <c r="M338">
        <f t="shared" si="270"/>
        <v>2.4098451156501425E-3</v>
      </c>
      <c r="N338">
        <f t="shared" si="271"/>
        <v>-1.5707963250000001</v>
      </c>
      <c r="O338">
        <f t="shared" si="272"/>
        <v>158.56084240499919</v>
      </c>
      <c r="P338">
        <f t="shared" si="273"/>
        <v>1.5644895576450495</v>
      </c>
      <c r="Q338">
        <f t="shared" si="274"/>
        <v>134.20238501573249</v>
      </c>
      <c r="R338">
        <f t="shared" si="275"/>
        <v>1.5633448254367939</v>
      </c>
      <c r="S338">
        <f t="shared" si="276"/>
        <v>0.19386559326617248</v>
      </c>
      <c r="T338">
        <f t="shared" si="277"/>
        <v>-1.3756953538302072</v>
      </c>
      <c r="U338">
        <f t="shared" si="278"/>
        <v>0.24556825684021102</v>
      </c>
      <c r="V338">
        <f t="shared" si="279"/>
        <v>-1.3226904708424332</v>
      </c>
      <c r="X338">
        <f t="shared" si="296"/>
        <v>-37.861703782637775</v>
      </c>
      <c r="Y338">
        <f t="shared" si="280"/>
        <v>-166.24024964454756</v>
      </c>
      <c r="Z338">
        <f t="shared" si="297"/>
        <v>13.759750355452439</v>
      </c>
      <c r="AC338">
        <v>1</v>
      </c>
      <c r="AD338">
        <f t="shared" si="281"/>
        <v>158.55768900997199</v>
      </c>
      <c r="AE338">
        <f t="shared" si="282"/>
        <v>-7.4120802154733434E-2</v>
      </c>
      <c r="AF338">
        <f t="shared" si="283"/>
        <v>1.8776670950519998E-2</v>
      </c>
      <c r="AG338">
        <f t="shared" si="298"/>
        <v>496.55114335880523</v>
      </c>
      <c r="AH338">
        <f t="shared" si="299"/>
        <v>-2013.3904011114237</v>
      </c>
      <c r="AJ338">
        <f t="shared" si="284"/>
        <v>22100</v>
      </c>
      <c r="AK338">
        <f t="shared" si="285"/>
        <v>111833.77426979941</v>
      </c>
      <c r="AL338">
        <v>1</v>
      </c>
      <c r="AM338">
        <f t="shared" si="286"/>
        <v>134.19865924781402</v>
      </c>
      <c r="AN338">
        <f t="shared" si="300"/>
        <v>834.52575115614025</v>
      </c>
      <c r="AO338">
        <f t="shared" si="301"/>
        <v>-158.46264312950098</v>
      </c>
      <c r="AQ338">
        <f t="shared" si="287"/>
        <v>6.5036378098089166E-3</v>
      </c>
      <c r="AR338">
        <f t="shared" si="288"/>
        <v>-8.0645108841630559</v>
      </c>
      <c r="AT338">
        <f t="shared" si="261"/>
        <v>-16233.779415042045</v>
      </c>
      <c r="AU338">
        <f t="shared" si="262"/>
        <v>-4017.5364620992696</v>
      </c>
      <c r="AV338">
        <f t="shared" si="302"/>
        <v>-2.8989871153491027</v>
      </c>
      <c r="AW338">
        <f t="shared" si="303"/>
        <v>81.767937861957293</v>
      </c>
      <c r="AX338">
        <f t="shared" si="304"/>
        <v>-9330.715057491032</v>
      </c>
      <c r="AY338">
        <f t="shared" si="312"/>
        <v>-1.5620332422600238</v>
      </c>
      <c r="BA338">
        <f t="shared" si="289"/>
        <v>1.7922399241841762</v>
      </c>
      <c r="BB338">
        <f t="shared" si="305"/>
        <v>5.0679229499882181</v>
      </c>
      <c r="BC338">
        <f t="shared" si="306"/>
        <v>-1.3369538730890789</v>
      </c>
      <c r="BD338">
        <f t="shared" si="290"/>
        <v>-256.60181441920366</v>
      </c>
      <c r="BF338">
        <f t="shared" si="291"/>
        <v>-40.54614633696665</v>
      </c>
      <c r="BG338">
        <f t="shared" si="292"/>
        <v>-177.44765400669195</v>
      </c>
      <c r="BH338">
        <f t="shared" si="307"/>
        <v>2.5523459933080517</v>
      </c>
      <c r="BI338">
        <f t="shared" si="308"/>
        <v>2.5523459933080517</v>
      </c>
      <c r="BJ338">
        <f t="shared" si="293"/>
        <v>0</v>
      </c>
      <c r="BK338">
        <f t="shared" si="309"/>
        <v>0</v>
      </c>
      <c r="BM338">
        <f t="shared" si="310"/>
        <v>-45.614069286954866</v>
      </c>
      <c r="BN338">
        <f t="shared" si="294"/>
        <v>-100.84583958748833</v>
      </c>
      <c r="BQ338" s="56">
        <f t="shared" si="311"/>
        <v>21.969883750273354</v>
      </c>
      <c r="BR338" s="59"/>
      <c r="BS338" s="59"/>
      <c r="BT338" s="59">
        <v>190546.07199999999</v>
      </c>
      <c r="BU338" s="59">
        <v>12.182600000000001</v>
      </c>
      <c r="BV338" s="59">
        <v>-145.40799999999999</v>
      </c>
      <c r="BY338" s="59"/>
      <c r="BZ338" s="59"/>
      <c r="CA338" s="59"/>
      <c r="CC338" s="59"/>
    </row>
    <row r="339" spans="1:81" x14ac:dyDescent="0.25">
      <c r="A339">
        <f t="shared" si="263"/>
        <v>625000</v>
      </c>
      <c r="B339">
        <f t="shared" si="295"/>
        <v>625</v>
      </c>
      <c r="C339">
        <f t="shared" si="264"/>
        <v>5.2792042885797557</v>
      </c>
      <c r="D339">
        <f t="shared" si="265"/>
        <v>1.3802223760348469</v>
      </c>
      <c r="F339">
        <f t="shared" si="266"/>
        <v>6.5617836146151197E-5</v>
      </c>
      <c r="G339">
        <f t="shared" si="267"/>
        <v>2.7556221147232254E-3</v>
      </c>
      <c r="H339">
        <f t="shared" si="268"/>
        <v>-3.1388370278852769</v>
      </c>
      <c r="J339">
        <f t="shared" si="269"/>
        <v>15</v>
      </c>
      <c r="M339">
        <f t="shared" si="270"/>
        <v>2.3905663547249415E-3</v>
      </c>
      <c r="N339">
        <f t="shared" si="271"/>
        <v>-1.5707963250000001</v>
      </c>
      <c r="O339">
        <f t="shared" si="272"/>
        <v>159.83950821873765</v>
      </c>
      <c r="P339">
        <f t="shared" si="273"/>
        <v>1.5645400104763829</v>
      </c>
      <c r="Q339">
        <f t="shared" si="274"/>
        <v>135.28460246240522</v>
      </c>
      <c r="R339">
        <f t="shared" si="275"/>
        <v>1.5634044352674579</v>
      </c>
      <c r="S339">
        <f t="shared" si="276"/>
        <v>0.19237228654307323</v>
      </c>
      <c r="T339">
        <f t="shared" si="277"/>
        <v>-1.3772173110196935</v>
      </c>
      <c r="U339">
        <f t="shared" si="278"/>
        <v>0.24372084690585785</v>
      </c>
      <c r="V339">
        <f t="shared" si="279"/>
        <v>-1.3245957779989745</v>
      </c>
      <c r="X339">
        <f t="shared" si="296"/>
        <v>-37.996997501471753</v>
      </c>
      <c r="Y339">
        <f t="shared" si="280"/>
        <v>-166.34566916959977</v>
      </c>
      <c r="Z339">
        <f t="shared" si="297"/>
        <v>13.654330830400227</v>
      </c>
      <c r="AC339">
        <v>1</v>
      </c>
      <c r="AD339">
        <f t="shared" si="281"/>
        <v>159.836380050375</v>
      </c>
      <c r="AE339">
        <f t="shared" si="282"/>
        <v>-7.5321119515329729E-2</v>
      </c>
      <c r="AF339">
        <f t="shared" si="283"/>
        <v>1.8928095716249999E-2</v>
      </c>
      <c r="AG339">
        <f t="shared" si="298"/>
        <v>489.10813767873128</v>
      </c>
      <c r="AH339">
        <f t="shared" si="299"/>
        <v>-1999.1536951883556</v>
      </c>
      <c r="AJ339">
        <f t="shared" si="284"/>
        <v>22100</v>
      </c>
      <c r="AK339">
        <f t="shared" si="285"/>
        <v>112735.65954616875</v>
      </c>
      <c r="AL339">
        <v>1</v>
      </c>
      <c r="AM339">
        <f t="shared" si="286"/>
        <v>135.28090649981252</v>
      </c>
      <c r="AN339">
        <f t="shared" si="300"/>
        <v>834.50693485263037</v>
      </c>
      <c r="AO339">
        <f t="shared" si="301"/>
        <v>-157.19508107507281</v>
      </c>
      <c r="AQ339">
        <f t="shared" si="287"/>
        <v>6.3999959040026214E-3</v>
      </c>
      <c r="AR339">
        <f t="shared" si="288"/>
        <v>-7.9999948800032765</v>
      </c>
      <c r="AT339">
        <f t="shared" si="261"/>
        <v>-15990.089035768717</v>
      </c>
      <c r="AU339">
        <f t="shared" si="262"/>
        <v>-3925.6571726584652</v>
      </c>
      <c r="AV339">
        <f t="shared" si="302"/>
        <v>-2.9008484212830514</v>
      </c>
      <c r="AW339">
        <f t="shared" si="303"/>
        <v>94.235443265281589</v>
      </c>
      <c r="AX339">
        <f t="shared" si="304"/>
        <v>-9257.8590827787702</v>
      </c>
      <c r="AY339">
        <f t="shared" si="312"/>
        <v>-1.5606177111988024</v>
      </c>
      <c r="BA339">
        <f t="shared" si="289"/>
        <v>1.7783886343786839</v>
      </c>
      <c r="BB339">
        <f t="shared" si="305"/>
        <v>5.000533482770618</v>
      </c>
      <c r="BC339">
        <f t="shared" si="306"/>
        <v>-1.340230710084249</v>
      </c>
      <c r="BD339">
        <f t="shared" si="290"/>
        <v>-256.78956334939375</v>
      </c>
      <c r="BF339">
        <f t="shared" si="291"/>
        <v>-40.685833878498684</v>
      </c>
      <c r="BG339">
        <f t="shared" si="292"/>
        <v>-177.55076080542847</v>
      </c>
      <c r="BH339">
        <f t="shared" si="307"/>
        <v>2.4492391945715326</v>
      </c>
      <c r="BI339">
        <f t="shared" si="308"/>
        <v>2.4492391945715326</v>
      </c>
      <c r="BJ339">
        <f t="shared" si="293"/>
        <v>0</v>
      </c>
      <c r="BK339">
        <f t="shared" si="309"/>
        <v>0</v>
      </c>
      <c r="BM339">
        <f t="shared" si="310"/>
        <v>-45.686367361269298</v>
      </c>
      <c r="BN339">
        <f t="shared" si="294"/>
        <v>-100.76119745603472</v>
      </c>
      <c r="BQ339" s="56">
        <f t="shared" si="311"/>
        <v>21.902494283055756</v>
      </c>
      <c r="BR339" s="59"/>
      <c r="BS339" s="59"/>
      <c r="BT339" s="59">
        <v>194984.46</v>
      </c>
      <c r="BU339" s="59">
        <v>12.458399999999999</v>
      </c>
      <c r="BV339" s="59">
        <v>-146.886</v>
      </c>
      <c r="BY339" s="59"/>
      <c r="BZ339" s="59"/>
      <c r="CA339" s="59"/>
      <c r="CC339" s="59"/>
    </row>
    <row r="340" spans="1:81" x14ac:dyDescent="0.25">
      <c r="A340">
        <f t="shared" si="263"/>
        <v>630000</v>
      </c>
      <c r="B340">
        <f t="shared" si="295"/>
        <v>630</v>
      </c>
      <c r="C340">
        <f t="shared" si="264"/>
        <v>5.3199283422951051</v>
      </c>
      <c r="D340">
        <f t="shared" si="265"/>
        <v>1.3816989313134669</v>
      </c>
      <c r="F340">
        <f t="shared" si="266"/>
        <v>6.4580352823811571E-5</v>
      </c>
      <c r="G340">
        <f t="shared" si="267"/>
        <v>2.7337493546121506E-3</v>
      </c>
      <c r="H340">
        <f t="shared" si="268"/>
        <v>-3.138858900645388</v>
      </c>
      <c r="J340">
        <f t="shared" si="269"/>
        <v>15</v>
      </c>
      <c r="M340">
        <f t="shared" si="270"/>
        <v>2.3715936058779177E-3</v>
      </c>
      <c r="N340">
        <f t="shared" si="271"/>
        <v>-1.5707963250000001</v>
      </c>
      <c r="O340">
        <f t="shared" si="272"/>
        <v>161.11817443288774</v>
      </c>
      <c r="P340">
        <f t="shared" si="273"/>
        <v>1.5645896625002218</v>
      </c>
      <c r="Q340">
        <f t="shared" si="274"/>
        <v>136.36682038215912</v>
      </c>
      <c r="R340">
        <f t="shared" si="275"/>
        <v>1.5634630989616243</v>
      </c>
      <c r="S340">
        <f t="shared" si="276"/>
        <v>0.19090137713181538</v>
      </c>
      <c r="T340">
        <f t="shared" si="277"/>
        <v>-1.3787159973781637</v>
      </c>
      <c r="U340">
        <f t="shared" si="278"/>
        <v>0.24190016698143238</v>
      </c>
      <c r="V340">
        <f t="shared" si="279"/>
        <v>-1.3264726252632761</v>
      </c>
      <c r="X340">
        <f t="shared" si="296"/>
        <v>-38.13127596089965</v>
      </c>
      <c r="Y340">
        <f t="shared" si="280"/>
        <v>-166.44951979756908</v>
      </c>
      <c r="Z340">
        <f t="shared" si="297"/>
        <v>13.550480202430919</v>
      </c>
      <c r="AC340">
        <v>1</v>
      </c>
      <c r="AD340">
        <f t="shared" si="281"/>
        <v>161.115071090778</v>
      </c>
      <c r="AE340">
        <f t="shared" si="282"/>
        <v>-7.6531077979223969E-2</v>
      </c>
      <c r="AF340">
        <f t="shared" si="283"/>
        <v>1.9079520481979997E-2</v>
      </c>
      <c r="AG340">
        <f t="shared" si="298"/>
        <v>481.82781537333159</v>
      </c>
      <c r="AH340">
        <f t="shared" si="299"/>
        <v>-1985.1024110730204</v>
      </c>
      <c r="AJ340">
        <f t="shared" si="284"/>
        <v>22100</v>
      </c>
      <c r="AK340">
        <f t="shared" si="285"/>
        <v>113637.54482253813</v>
      </c>
      <c r="AL340">
        <v>1</v>
      </c>
      <c r="AM340">
        <f t="shared" si="286"/>
        <v>136.36315375181101</v>
      </c>
      <c r="AN340">
        <f t="shared" si="300"/>
        <v>834.48856474403749</v>
      </c>
      <c r="AO340">
        <f t="shared" si="301"/>
        <v>-155.94763578114691</v>
      </c>
      <c r="AQ340">
        <f t="shared" si="287"/>
        <v>6.2988118551197689E-3</v>
      </c>
      <c r="AR340">
        <f t="shared" si="288"/>
        <v>-7.9365029374509088</v>
      </c>
      <c r="AT340">
        <f t="shared" si="261"/>
        <v>-15751.736173866309</v>
      </c>
      <c r="AU340">
        <f t="shared" si="262"/>
        <v>-3836.5316586564941</v>
      </c>
      <c r="AV340">
        <f t="shared" si="302"/>
        <v>-2.902681965725832</v>
      </c>
      <c r="AW340">
        <f t="shared" si="303"/>
        <v>106.39285987379422</v>
      </c>
      <c r="AX340">
        <f t="shared" si="304"/>
        <v>-9186.1210504111714</v>
      </c>
      <c r="AY340">
        <f t="shared" si="312"/>
        <v>-1.5592149310710854</v>
      </c>
      <c r="BA340">
        <f t="shared" si="289"/>
        <v>1.7647422069301362</v>
      </c>
      <c r="BB340">
        <f t="shared" si="305"/>
        <v>4.9336254547066085</v>
      </c>
      <c r="BC340">
        <f t="shared" si="306"/>
        <v>-1.3434670346547466</v>
      </c>
      <c r="BD340">
        <f t="shared" si="290"/>
        <v>-256.97499108862962</v>
      </c>
      <c r="BF340">
        <f t="shared" si="291"/>
        <v>-40.824425445961595</v>
      </c>
      <c r="BG340">
        <f t="shared" si="292"/>
        <v>-177.65284137572709</v>
      </c>
      <c r="BH340">
        <f t="shared" si="307"/>
        <v>2.3471586242729074</v>
      </c>
      <c r="BI340">
        <f t="shared" si="308"/>
        <v>2.3471586242729074</v>
      </c>
      <c r="BJ340">
        <f t="shared" si="293"/>
        <v>0</v>
      </c>
      <c r="BK340">
        <f t="shared" si="309"/>
        <v>0</v>
      </c>
      <c r="BM340">
        <f t="shared" si="310"/>
        <v>-45.758050900668209</v>
      </c>
      <c r="BN340">
        <f t="shared" si="294"/>
        <v>-100.67785028709746</v>
      </c>
      <c r="BQ340" s="56">
        <f t="shared" si="311"/>
        <v>21.835586254991743</v>
      </c>
      <c r="BR340" s="59"/>
      <c r="BS340" s="59"/>
      <c r="BT340" s="59">
        <v>199526.231</v>
      </c>
      <c r="BU340" s="59">
        <v>12.6511</v>
      </c>
      <c r="BV340" s="59">
        <v>-147.23699999999999</v>
      </c>
      <c r="BY340" s="59"/>
      <c r="BZ340" s="59"/>
      <c r="CA340" s="59"/>
      <c r="CC340" s="59"/>
    </row>
    <row r="341" spans="1:81" x14ac:dyDescent="0.25">
      <c r="A341">
        <f t="shared" si="263"/>
        <v>635000</v>
      </c>
      <c r="B341">
        <f t="shared" si="295"/>
        <v>635</v>
      </c>
      <c r="C341">
        <f t="shared" si="264"/>
        <v>5.3606638183609716</v>
      </c>
      <c r="D341">
        <f t="shared" si="265"/>
        <v>1.3831530491499719</v>
      </c>
      <c r="F341">
        <f t="shared" si="266"/>
        <v>6.3567282336493374E-5</v>
      </c>
      <c r="G341">
        <f t="shared" si="267"/>
        <v>2.7122211114605664E-3</v>
      </c>
      <c r="H341">
        <f t="shared" si="268"/>
        <v>-3.1388804288885397</v>
      </c>
      <c r="J341">
        <f t="shared" si="269"/>
        <v>15</v>
      </c>
      <c r="M341">
        <f t="shared" si="270"/>
        <v>2.3529196404773046E-3</v>
      </c>
      <c r="N341">
        <f t="shared" si="271"/>
        <v>-1.5707963250000001</v>
      </c>
      <c r="O341">
        <f t="shared" si="272"/>
        <v>162.39684103799121</v>
      </c>
      <c r="P341">
        <f t="shared" si="273"/>
        <v>1.5646385326323109</v>
      </c>
      <c r="Q341">
        <f t="shared" si="274"/>
        <v>137.44903876381969</v>
      </c>
      <c r="R341">
        <f t="shared" si="275"/>
        <v>1.5635208388673778</v>
      </c>
      <c r="S341">
        <f t="shared" si="276"/>
        <v>0.18945237477192078</v>
      </c>
      <c r="T341">
        <f t="shared" si="277"/>
        <v>-1.3801919359946382</v>
      </c>
      <c r="U341">
        <f t="shared" si="278"/>
        <v>0.2401056605221174</v>
      </c>
      <c r="V341">
        <f t="shared" si="279"/>
        <v>-1.3283216326421061</v>
      </c>
      <c r="X341">
        <f t="shared" si="296"/>
        <v>-38.264553856586168</v>
      </c>
      <c r="Y341">
        <f t="shared" si="280"/>
        <v>-166.55183552763029</v>
      </c>
      <c r="Z341">
        <f t="shared" si="297"/>
        <v>13.448164472369712</v>
      </c>
      <c r="AC341">
        <v>1</v>
      </c>
      <c r="AD341">
        <f t="shared" si="281"/>
        <v>162.39376213118101</v>
      </c>
      <c r="AE341">
        <f t="shared" si="282"/>
        <v>-7.775067754641618E-2</v>
      </c>
      <c r="AF341">
        <f t="shared" si="283"/>
        <v>1.9230945247709998E-2</v>
      </c>
      <c r="AG341">
        <f t="shared" si="298"/>
        <v>474.7055714023129</v>
      </c>
      <c r="AH341">
        <f t="shared" si="299"/>
        <v>-1971.2333077388696</v>
      </c>
      <c r="AJ341">
        <f t="shared" si="284"/>
        <v>22100</v>
      </c>
      <c r="AK341">
        <f t="shared" si="285"/>
        <v>114539.43009890747</v>
      </c>
      <c r="AL341">
        <v>1</v>
      </c>
      <c r="AM341">
        <f t="shared" si="286"/>
        <v>137.44540100380951</v>
      </c>
      <c r="AN341">
        <f t="shared" si="300"/>
        <v>834.47062683369836</v>
      </c>
      <c r="AO341">
        <f t="shared" si="301"/>
        <v>-154.71983215049076</v>
      </c>
      <c r="AQ341">
        <f t="shared" si="287"/>
        <v>6.2000085560118077E-3</v>
      </c>
      <c r="AR341">
        <f t="shared" si="288"/>
        <v>-7.874010866134995</v>
      </c>
      <c r="AT341">
        <f t="shared" si="261"/>
        <v>-15518.569306218807</v>
      </c>
      <c r="AU341">
        <f t="shared" si="262"/>
        <v>-3750.0584908105097</v>
      </c>
      <c r="AV341">
        <f t="shared" si="302"/>
        <v>-2.9044883521875153</v>
      </c>
      <c r="AW341">
        <f t="shared" si="303"/>
        <v>118.25043572038525</v>
      </c>
      <c r="AX341">
        <f t="shared" si="304"/>
        <v>-9115.4756216738133</v>
      </c>
      <c r="AY341">
        <f t="shared" si="312"/>
        <v>-1.5578245622904772</v>
      </c>
      <c r="BA341">
        <f t="shared" si="289"/>
        <v>1.7512962397327869</v>
      </c>
      <c r="BB341">
        <f t="shared" si="305"/>
        <v>4.8671923037288076</v>
      </c>
      <c r="BC341">
        <f t="shared" si="306"/>
        <v>-1.3466637898970382</v>
      </c>
      <c r="BD341">
        <f t="shared" si="290"/>
        <v>-257.15815167235854</v>
      </c>
      <c r="BF341">
        <f t="shared" si="291"/>
        <v>-40.961938176457693</v>
      </c>
      <c r="BG341">
        <f t="shared" si="292"/>
        <v>-177.75392062188871</v>
      </c>
      <c r="BH341">
        <f t="shared" si="307"/>
        <v>2.2460793781112898</v>
      </c>
      <c r="BI341">
        <f t="shared" si="308"/>
        <v>2.2460793781112898</v>
      </c>
      <c r="BJ341">
        <f t="shared" si="293"/>
        <v>0</v>
      </c>
      <c r="BK341">
        <f t="shared" si="309"/>
        <v>0</v>
      </c>
      <c r="BM341">
        <f t="shared" si="310"/>
        <v>-45.8291304801865</v>
      </c>
      <c r="BN341">
        <f t="shared" si="294"/>
        <v>-100.59576894953015</v>
      </c>
      <c r="BQ341" s="56">
        <f t="shared" si="311"/>
        <v>21.769153104013945</v>
      </c>
      <c r="BR341" s="59"/>
      <c r="BS341" s="59"/>
      <c r="BT341" s="59">
        <v>204173.79399999999</v>
      </c>
      <c r="BU341" s="59">
        <v>12.903600000000001</v>
      </c>
      <c r="BV341" s="59">
        <v>-148.923</v>
      </c>
      <c r="BY341" s="59"/>
      <c r="BZ341" s="59"/>
      <c r="CA341" s="59"/>
      <c r="CC341" s="59"/>
    </row>
    <row r="342" spans="1:81" x14ac:dyDescent="0.25">
      <c r="A342">
        <f t="shared" si="263"/>
        <v>640000</v>
      </c>
      <c r="B342">
        <f t="shared" si="295"/>
        <v>640</v>
      </c>
      <c r="C342">
        <f t="shared" si="264"/>
        <v>5.4014104583477041</v>
      </c>
      <c r="D342">
        <f t="shared" si="265"/>
        <v>1.3845852311086446</v>
      </c>
      <c r="F342">
        <f t="shared" si="266"/>
        <v>6.2577864695335578E-5</v>
      </c>
      <c r="G342">
        <f t="shared" si="267"/>
        <v>2.6910293086740674E-3</v>
      </c>
      <c r="H342">
        <f t="shared" si="268"/>
        <v>-3.1389016206913261</v>
      </c>
      <c r="J342">
        <f t="shared" si="269"/>
        <v>15</v>
      </c>
      <c r="M342">
        <f t="shared" si="270"/>
        <v>2.3345374557860758E-3</v>
      </c>
      <c r="N342">
        <f t="shared" si="271"/>
        <v>-1.5707963250000001</v>
      </c>
      <c r="O342">
        <f t="shared" si="272"/>
        <v>163.67550802488549</v>
      </c>
      <c r="P342">
        <f t="shared" si="273"/>
        <v>1.5646866391973149</v>
      </c>
      <c r="Q342">
        <f t="shared" si="274"/>
        <v>138.53125759656149</v>
      </c>
      <c r="R342">
        <f t="shared" si="275"/>
        <v>1.5635776766344871</v>
      </c>
      <c r="S342">
        <f t="shared" si="276"/>
        <v>0.18802480310594044</v>
      </c>
      <c r="T342">
        <f t="shared" si="277"/>
        <v>-1.3816456345950094</v>
      </c>
      <c r="U342">
        <f t="shared" si="278"/>
        <v>0.23833678573516459</v>
      </c>
      <c r="V342">
        <f t="shared" si="279"/>
        <v>-1.3301434026459327</v>
      </c>
      <c r="X342">
        <f t="shared" si="296"/>
        <v>-38.39684557633975</v>
      </c>
      <c r="Y342">
        <f t="shared" si="280"/>
        <v>-166.65264940651292</v>
      </c>
      <c r="Z342">
        <f t="shared" si="297"/>
        <v>13.347350593487079</v>
      </c>
      <c r="AC342">
        <v>1</v>
      </c>
      <c r="AD342">
        <f t="shared" si="281"/>
        <v>163.67245317158401</v>
      </c>
      <c r="AE342">
        <f t="shared" si="282"/>
        <v>-7.8979918216906378E-2</v>
      </c>
      <c r="AF342">
        <f t="shared" si="283"/>
        <v>1.9382370013439999E-2</v>
      </c>
      <c r="AG342">
        <f t="shared" si="298"/>
        <v>467.7369587463682</v>
      </c>
      <c r="AH342">
        <f t="shared" si="299"/>
        <v>-1957.5432066616879</v>
      </c>
      <c r="AJ342">
        <f t="shared" si="284"/>
        <v>22100</v>
      </c>
      <c r="AK342">
        <f t="shared" si="285"/>
        <v>115441.31537527681</v>
      </c>
      <c r="AL342">
        <v>1</v>
      </c>
      <c r="AM342">
        <f t="shared" si="286"/>
        <v>138.527648255808</v>
      </c>
      <c r="AN342">
        <f t="shared" si="300"/>
        <v>834.45310766949387</v>
      </c>
      <c r="AO342">
        <f t="shared" si="301"/>
        <v>-153.51120992872924</v>
      </c>
      <c r="AQ342">
        <f t="shared" si="287"/>
        <v>6.1035118997119749E-3</v>
      </c>
      <c r="AR342">
        <f t="shared" si="288"/>
        <v>-7.8124952316313285</v>
      </c>
      <c r="AT342">
        <f t="shared" ref="AT342:AT405" si="313">-AR342*AH342+AG342*AQ342</f>
        <v>-15290.442129663095</v>
      </c>
      <c r="AU342">
        <f t="shared" ref="AU342:AU405" si="314">AQ342*AH342+AG342*AR342</f>
        <v>-3666.140648119801</v>
      </c>
      <c r="AV342">
        <f t="shared" si="302"/>
        <v>-2.9062681671973567</v>
      </c>
      <c r="AW342">
        <f t="shared" si="303"/>
        <v>129.8179980340802</v>
      </c>
      <c r="AX342">
        <f t="shared" si="304"/>
        <v>-9045.8982138339416</v>
      </c>
      <c r="AY342">
        <f t="shared" si="312"/>
        <v>-1.5564462773065881</v>
      </c>
      <c r="BA342">
        <f t="shared" si="289"/>
        <v>1.7380464515329535</v>
      </c>
      <c r="BB342">
        <f t="shared" si="305"/>
        <v>4.8012275869578076</v>
      </c>
      <c r="BC342">
        <f t="shared" si="306"/>
        <v>-1.3498218898907686</v>
      </c>
      <c r="BD342">
        <f t="shared" si="290"/>
        <v>-257.33909747348639</v>
      </c>
      <c r="BF342">
        <f t="shared" si="291"/>
        <v>-41.098388813988116</v>
      </c>
      <c r="BG342">
        <f t="shared" si="292"/>
        <v>-177.85402264205734</v>
      </c>
      <c r="BH342">
        <f t="shared" si="307"/>
        <v>2.1459773579426553</v>
      </c>
      <c r="BI342">
        <f t="shared" si="308"/>
        <v>2.1459773579426553</v>
      </c>
      <c r="BJ342">
        <f t="shared" si="293"/>
        <v>0</v>
      </c>
      <c r="BK342">
        <f t="shared" si="309"/>
        <v>0</v>
      </c>
      <c r="BM342">
        <f t="shared" si="310"/>
        <v>-45.899616400945924</v>
      </c>
      <c r="BN342">
        <f t="shared" si="294"/>
        <v>-100.514925168571</v>
      </c>
      <c r="BQ342" s="56">
        <f t="shared" si="311"/>
        <v>21.703188387242946</v>
      </c>
      <c r="BR342" s="59"/>
      <c r="BS342" s="59"/>
      <c r="BT342" s="59">
        <v>208929.61300000001</v>
      </c>
      <c r="BU342" s="59">
        <v>13.1541</v>
      </c>
      <c r="BV342" s="59">
        <v>-149.92099999999999</v>
      </c>
      <c r="BY342" s="59"/>
      <c r="BZ342" s="59"/>
      <c r="CA342" s="59"/>
      <c r="CC342" s="59"/>
    </row>
    <row r="343" spans="1:81" x14ac:dyDescent="0.25">
      <c r="A343">
        <f t="shared" si="263"/>
        <v>645000</v>
      </c>
      <c r="B343">
        <f t="shared" si="295"/>
        <v>645</v>
      </c>
      <c r="C343">
        <f t="shared" si="264"/>
        <v>5.4421680114955384</v>
      </c>
      <c r="D343">
        <f t="shared" si="265"/>
        <v>1.3859959640946389</v>
      </c>
      <c r="F343">
        <f t="shared" si="266"/>
        <v>6.1611369257252694E-5</v>
      </c>
      <c r="G343">
        <f t="shared" si="267"/>
        <v>2.6701661201710791E-3</v>
      </c>
      <c r="H343">
        <f t="shared" si="268"/>
        <v>-3.1389224838798291</v>
      </c>
      <c r="J343">
        <f t="shared" si="269"/>
        <v>15</v>
      </c>
      <c r="M343">
        <f t="shared" si="270"/>
        <v>2.3164402662063386E-3</v>
      </c>
      <c r="N343">
        <f t="shared" si="271"/>
        <v>-1.5707963250000001</v>
      </c>
      <c r="O343">
        <f t="shared" si="272"/>
        <v>164.95417538469201</v>
      </c>
      <c r="P343">
        <f t="shared" si="273"/>
        <v>1.5647339999517278</v>
      </c>
      <c r="Q343">
        <f t="shared" si="274"/>
        <v>139.61347686989484</v>
      </c>
      <c r="R343">
        <f t="shared" si="275"/>
        <v>1.5636336332414686</v>
      </c>
      <c r="S343">
        <f t="shared" si="276"/>
        <v>0.18661819920167194</v>
      </c>
      <c r="T343">
        <f t="shared" si="277"/>
        <v>-1.3830775860945483</v>
      </c>
      <c r="U343">
        <f t="shared" si="278"/>
        <v>0.23659301511719563</v>
      </c>
      <c r="V343">
        <f t="shared" si="279"/>
        <v>-1.3319385208875993</v>
      </c>
      <c r="X343">
        <f t="shared" si="296"/>
        <v>-38.528165208409881</v>
      </c>
      <c r="Y343">
        <f t="shared" si="280"/>
        <v>-166.75199356076462</v>
      </c>
      <c r="Z343">
        <f t="shared" si="297"/>
        <v>13.248006439235382</v>
      </c>
      <c r="AC343">
        <v>1</v>
      </c>
      <c r="AD343">
        <f t="shared" si="281"/>
        <v>164.95114421198699</v>
      </c>
      <c r="AE343">
        <f t="shared" si="282"/>
        <v>-8.021879999069452E-2</v>
      </c>
      <c r="AF343">
        <f t="shared" si="283"/>
        <v>1.953379477917E-2</v>
      </c>
      <c r="AG343">
        <f t="shared" si="298"/>
        <v>460.91768211276872</v>
      </c>
      <c r="AH343">
        <f t="shared" si="299"/>
        <v>-1944.0289909297517</v>
      </c>
      <c r="AJ343">
        <f t="shared" si="284"/>
        <v>22100</v>
      </c>
      <c r="AK343">
        <f t="shared" si="285"/>
        <v>116343.20065164616</v>
      </c>
      <c r="AL343">
        <v>1</v>
      </c>
      <c r="AM343">
        <f t="shared" si="286"/>
        <v>139.60989550780653</v>
      </c>
      <c r="AN343">
        <f t="shared" si="300"/>
        <v>834.43599431862128</v>
      </c>
      <c r="AO343">
        <f t="shared" si="301"/>
        <v>-152.32132312922099</v>
      </c>
      <c r="AQ343">
        <f t="shared" si="287"/>
        <v>6.0092506404358873E-3</v>
      </c>
      <c r="AR343">
        <f t="shared" si="288"/>
        <v>-7.7519333261622938</v>
      </c>
      <c r="AT343">
        <f t="shared" si="313"/>
        <v>-15067.213351937573</v>
      </c>
      <c r="AU343">
        <f t="shared" si="314"/>
        <v>-3584.6852980462209</v>
      </c>
      <c r="AV343">
        <f t="shared" si="302"/>
        <v>-2.9080219808824928</v>
      </c>
      <c r="AW343">
        <f t="shared" si="303"/>
        <v>141.10497380625321</v>
      </c>
      <c r="AX343">
        <f t="shared" si="304"/>
        <v>-8977.3649722255541</v>
      </c>
      <c r="AY343">
        <f t="shared" si="312"/>
        <v>-1.5550797600833743</v>
      </c>
      <c r="BA343">
        <f t="shared" si="289"/>
        <v>1.7249886780042452</v>
      </c>
      <c r="BB343">
        <f t="shared" si="305"/>
        <v>4.7357249783723274</v>
      </c>
      <c r="BC343">
        <f t="shared" si="306"/>
        <v>-1.3529422207991184</v>
      </c>
      <c r="BD343">
        <f t="shared" si="290"/>
        <v>-257.51787926542329</v>
      </c>
      <c r="BF343">
        <f t="shared" si="291"/>
        <v>-41.233793721206922</v>
      </c>
      <c r="BG343">
        <f t="shared" si="292"/>
        <v>-177.95317076043435</v>
      </c>
      <c r="BH343">
        <f t="shared" si="307"/>
        <v>2.0468292395656533</v>
      </c>
      <c r="BI343">
        <f t="shared" si="308"/>
        <v>2.0468292395656533</v>
      </c>
      <c r="BJ343">
        <f t="shared" si="293"/>
        <v>0</v>
      </c>
      <c r="BK343">
        <f t="shared" si="309"/>
        <v>0</v>
      </c>
      <c r="BM343">
        <f t="shared" si="310"/>
        <v>-45.969518699579254</v>
      </c>
      <c r="BN343">
        <f t="shared" si="294"/>
        <v>-100.43529149501104</v>
      </c>
      <c r="BQ343" s="56">
        <f t="shared" si="311"/>
        <v>21.637685778657463</v>
      </c>
      <c r="BR343" s="59"/>
      <c r="BS343" s="59"/>
      <c r="BT343" s="59">
        <v>213796.209</v>
      </c>
      <c r="BU343" s="59">
        <v>13.368399999999999</v>
      </c>
      <c r="BV343" s="59">
        <v>-151.101</v>
      </c>
      <c r="BY343" s="59"/>
      <c r="BZ343" s="59"/>
      <c r="CA343" s="59"/>
      <c r="CC343" s="59"/>
    </row>
    <row r="344" spans="1:81" x14ac:dyDescent="0.25">
      <c r="A344">
        <f t="shared" si="263"/>
        <v>650000</v>
      </c>
      <c r="B344">
        <f t="shared" si="295"/>
        <v>650</v>
      </c>
      <c r="C344">
        <f t="shared" si="264"/>
        <v>5.4829362344346562</v>
      </c>
      <c r="D344">
        <f t="shared" si="265"/>
        <v>1.3873857208789737</v>
      </c>
      <c r="F344">
        <f t="shared" si="266"/>
        <v>6.0667093375567051E-5</v>
      </c>
      <c r="G344">
        <f t="shared" si="267"/>
        <v>2.649623960744283E-3</v>
      </c>
      <c r="H344">
        <f t="shared" si="268"/>
        <v>-3.1389430260392559</v>
      </c>
      <c r="J344">
        <f t="shared" si="269"/>
        <v>15</v>
      </c>
      <c r="M344">
        <f t="shared" si="270"/>
        <v>2.2986214949278281E-3</v>
      </c>
      <c r="N344">
        <f t="shared" si="271"/>
        <v>-1.5707963250000001</v>
      </c>
      <c r="O344">
        <f t="shared" si="272"/>
        <v>166.23284310880541</v>
      </c>
      <c r="P344">
        <f t="shared" si="273"/>
        <v>1.5647806321057229</v>
      </c>
      <c r="Q344">
        <f t="shared" si="274"/>
        <v>140.69569657365273</v>
      </c>
      <c r="R344">
        <f t="shared" si="275"/>
        <v>1.563688729021401</v>
      </c>
      <c r="S344">
        <f t="shared" si="276"/>
        <v>0.18523211309340931</v>
      </c>
      <c r="T344">
        <f t="shared" si="277"/>
        <v>-1.384488269127067</v>
      </c>
      <c r="U344">
        <f t="shared" si="278"/>
        <v>0.23487383500772813</v>
      </c>
      <c r="V344">
        <f t="shared" si="279"/>
        <v>-1.3337075566572121</v>
      </c>
      <c r="X344">
        <f t="shared" si="296"/>
        <v>-38.658526549514619</v>
      </c>
      <c r="Y344">
        <f t="shared" si="280"/>
        <v>-166.84989922774955</v>
      </c>
      <c r="Z344">
        <f t="shared" si="297"/>
        <v>13.150100772250454</v>
      </c>
      <c r="AC344">
        <v>1</v>
      </c>
      <c r="AD344">
        <f t="shared" si="281"/>
        <v>166.22983525239002</v>
      </c>
      <c r="AE344">
        <f t="shared" si="282"/>
        <v>-8.146732286778062E-2</v>
      </c>
      <c r="AF344">
        <f t="shared" si="283"/>
        <v>1.9685219544899997E-2</v>
      </c>
      <c r="AG344">
        <f t="shared" si="298"/>
        <v>454.2435919227762</v>
      </c>
      <c r="AH344">
        <f t="shared" si="299"/>
        <v>-1930.6876043269585</v>
      </c>
      <c r="AJ344">
        <f t="shared" si="284"/>
        <v>22100</v>
      </c>
      <c r="AK344">
        <f t="shared" si="285"/>
        <v>117245.08592801553</v>
      </c>
      <c r="AL344">
        <v>1</v>
      </c>
      <c r="AM344">
        <f t="shared" si="286"/>
        <v>140.69214275980502</v>
      </c>
      <c r="AN344">
        <f t="shared" si="300"/>
        <v>834.41927434372303</v>
      </c>
      <c r="AO344">
        <f t="shared" si="301"/>
        <v>-151.14973948446919</v>
      </c>
      <c r="AQ344">
        <f t="shared" si="287"/>
        <v>5.9171562620377151E-3</v>
      </c>
      <c r="AR344">
        <f t="shared" si="288"/>
        <v>-7.6923031406490292</v>
      </c>
      <c r="AT344">
        <f t="shared" si="313"/>
        <v>-14848.746492061977</v>
      </c>
      <c r="AU344">
        <f t="shared" si="314"/>
        <v>-3505.6035890152493</v>
      </c>
      <c r="AV344">
        <f t="shared" si="302"/>
        <v>-2.9097503475237736</v>
      </c>
      <c r="AW344">
        <f t="shared" si="303"/>
        <v>152.12040919558112</v>
      </c>
      <c r="AX344">
        <f t="shared" si="304"/>
        <v>-8909.8527435632132</v>
      </c>
      <c r="AY344">
        <f t="shared" si="312"/>
        <v>-1.5537247056039667</v>
      </c>
      <c r="BA344">
        <f t="shared" si="289"/>
        <v>1.7121188679641637</v>
      </c>
      <c r="BB344">
        <f t="shared" si="305"/>
        <v>4.6706782665051669</v>
      </c>
      <c r="BC344">
        <f t="shared" si="306"/>
        <v>-1.3560256419198069</v>
      </c>
      <c r="BD344">
        <f t="shared" si="290"/>
        <v>-257.69454628230216</v>
      </c>
      <c r="BF344">
        <f t="shared" si="291"/>
        <v>-41.368168890747718</v>
      </c>
      <c r="BG344">
        <f t="shared" si="292"/>
        <v>-178.0513875579687</v>
      </c>
      <c r="BH344">
        <f t="shared" si="307"/>
        <v>1.9486124420313047</v>
      </c>
      <c r="BI344">
        <f t="shared" si="308"/>
        <v>1.9486124420313047</v>
      </c>
      <c r="BJ344">
        <f t="shared" si="293"/>
        <v>0</v>
      </c>
      <c r="BK344">
        <f t="shared" si="309"/>
        <v>0</v>
      </c>
      <c r="BM344">
        <f t="shared" si="310"/>
        <v>-46.038847157252874</v>
      </c>
      <c r="BN344">
        <f t="shared" si="294"/>
        <v>-100.35684127566658</v>
      </c>
      <c r="BQ344" s="56">
        <f t="shared" si="311"/>
        <v>21.572639066790305</v>
      </c>
      <c r="BR344" s="59"/>
      <c r="BS344" s="59"/>
      <c r="BT344" s="59">
        <v>218776.16200000001</v>
      </c>
      <c r="BU344" s="59">
        <v>13.6015</v>
      </c>
      <c r="BV344" s="59">
        <v>-153.08699999999999</v>
      </c>
      <c r="BY344" s="59"/>
      <c r="BZ344" s="59"/>
      <c r="CA344" s="59"/>
      <c r="CC344" s="59"/>
    </row>
    <row r="345" spans="1:81" x14ac:dyDescent="0.25">
      <c r="A345">
        <f t="shared" si="263"/>
        <v>655000</v>
      </c>
      <c r="B345">
        <f t="shared" si="295"/>
        <v>655</v>
      </c>
      <c r="C345">
        <f t="shared" si="264"/>
        <v>5.5237148909172991</v>
      </c>
      <c r="D345">
        <f t="shared" si="265"/>
        <v>1.38875496060142</v>
      </c>
      <c r="F345">
        <f t="shared" si="266"/>
        <v>5.9744361122478833E-5</v>
      </c>
      <c r="G345">
        <f t="shared" si="267"/>
        <v>2.629395476863701E-3</v>
      </c>
      <c r="H345">
        <f t="shared" si="268"/>
        <v>-3.1389632545231363</v>
      </c>
      <c r="J345">
        <f t="shared" si="269"/>
        <v>15</v>
      </c>
      <c r="M345">
        <f t="shared" si="270"/>
        <v>2.2810747659589136E-3</v>
      </c>
      <c r="N345">
        <f t="shared" si="271"/>
        <v>-1.5707963250000001</v>
      </c>
      <c r="O345">
        <f t="shared" si="272"/>
        <v>167.51151118888313</v>
      </c>
      <c r="P345">
        <f t="shared" si="273"/>
        <v>1.5648265523440037</v>
      </c>
      <c r="Q345">
        <f t="shared" si="274"/>
        <v>141.77791669797867</v>
      </c>
      <c r="R345">
        <f t="shared" si="275"/>
        <v>1.563742983686558</v>
      </c>
      <c r="S345">
        <f t="shared" si="276"/>
        <v>0.18386610734137485</v>
      </c>
      <c r="T345">
        <f t="shared" si="277"/>
        <v>-1.3858781485518641</v>
      </c>
      <c r="U345">
        <f t="shared" si="278"/>
        <v>0.23317874515832782</v>
      </c>
      <c r="V345">
        <f t="shared" si="279"/>
        <v>-1.3354510634743055</v>
      </c>
      <c r="X345">
        <f t="shared" si="296"/>
        <v>-38.787943112608502</v>
      </c>
      <c r="Y345">
        <f t="shared" si="280"/>
        <v>-166.94639678543885</v>
      </c>
      <c r="Z345">
        <f t="shared" si="297"/>
        <v>13.05360321456115</v>
      </c>
      <c r="AC345">
        <v>1</v>
      </c>
      <c r="AD345">
        <f t="shared" si="281"/>
        <v>167.50852629279299</v>
      </c>
      <c r="AE345">
        <f t="shared" si="282"/>
        <v>-8.2725486848164692E-2</v>
      </c>
      <c r="AF345">
        <f t="shared" si="283"/>
        <v>1.9836644310629998E-2</v>
      </c>
      <c r="AG345">
        <f t="shared" si="298"/>
        <v>447.71067856707572</v>
      </c>
      <c r="AH345">
        <f t="shared" si="299"/>
        <v>-1917.5160503936806</v>
      </c>
      <c r="AJ345">
        <f t="shared" si="284"/>
        <v>22100</v>
      </c>
      <c r="AK345">
        <f t="shared" si="285"/>
        <v>118146.97120438487</v>
      </c>
      <c r="AL345">
        <v>1</v>
      </c>
      <c r="AM345">
        <f t="shared" si="286"/>
        <v>141.77439001180352</v>
      </c>
      <c r="AN345">
        <f t="shared" si="300"/>
        <v>834.40293578028172</v>
      </c>
      <c r="AO345">
        <f t="shared" si="301"/>
        <v>-149.9960399226492</v>
      </c>
      <c r="AQ345">
        <f t="shared" si="287"/>
        <v>5.8271628534684143E-3</v>
      </c>
      <c r="AR345">
        <f t="shared" si="288"/>
        <v>-7.6335833380436231</v>
      </c>
      <c r="AT345">
        <f t="shared" si="313"/>
        <v>-14634.90968968117</v>
      </c>
      <c r="AU345">
        <f t="shared" si="314"/>
        <v>-3428.810454473617</v>
      </c>
      <c r="AV345">
        <f t="shared" si="302"/>
        <v>-2.9114538060897428</v>
      </c>
      <c r="AW345">
        <f t="shared" si="303"/>
        <v>162.87298784587182</v>
      </c>
      <c r="AX345">
        <f t="shared" si="304"/>
        <v>-8843.339050421604</v>
      </c>
      <c r="AY345">
        <f t="shared" si="312"/>
        <v>-1.5523808194004554</v>
      </c>
      <c r="BA345">
        <f t="shared" si="289"/>
        <v>1.6994330797268813</v>
      </c>
      <c r="BB345">
        <f t="shared" si="305"/>
        <v>4.6060813521672852</v>
      </c>
      <c r="BC345">
        <f t="shared" si="306"/>
        <v>-1.3590729866892874</v>
      </c>
      <c r="BD345">
        <f t="shared" si="290"/>
        <v>-257.86914627651413</v>
      </c>
      <c r="BF345">
        <f t="shared" si="291"/>
        <v>-41.501529956140743</v>
      </c>
      <c r="BG345">
        <f t="shared" si="292"/>
        <v>-178.14869490160689</v>
      </c>
      <c r="BH345">
        <f t="shared" si="307"/>
        <v>1.8513050983931123</v>
      </c>
      <c r="BI345">
        <f t="shared" si="308"/>
        <v>1.8513050983931123</v>
      </c>
      <c r="BJ345">
        <f t="shared" si="293"/>
        <v>0</v>
      </c>
      <c r="BK345">
        <f t="shared" si="309"/>
        <v>0</v>
      </c>
      <c r="BM345">
        <f t="shared" si="310"/>
        <v>-46.107611308308023</v>
      </c>
      <c r="BN345">
        <f t="shared" si="294"/>
        <v>-100.27954862509273</v>
      </c>
      <c r="BQ345" s="56">
        <f t="shared" si="311"/>
        <v>21.508042152452418</v>
      </c>
      <c r="BR345" s="59"/>
      <c r="BS345" s="59"/>
      <c r="BT345" s="59">
        <v>223872.114</v>
      </c>
      <c r="BU345" s="59">
        <v>13.8704</v>
      </c>
      <c r="BV345" s="59">
        <v>-154.70699999999999</v>
      </c>
      <c r="BY345" s="59"/>
      <c r="BZ345" s="59"/>
      <c r="CA345" s="59"/>
      <c r="CC345" s="59"/>
    </row>
    <row r="346" spans="1:81" x14ac:dyDescent="0.25">
      <c r="A346">
        <f t="shared" si="263"/>
        <v>660000</v>
      </c>
      <c r="B346">
        <f t="shared" si="295"/>
        <v>660</v>
      </c>
      <c r="C346">
        <f t="shared" si="264"/>
        <v>5.5645037515613511</v>
      </c>
      <c r="D346">
        <f t="shared" si="265"/>
        <v>1.3901041292523444</v>
      </c>
      <c r="F346">
        <f t="shared" si="266"/>
        <v>5.8842522079035802E-5</v>
      </c>
      <c r="G346">
        <f t="shared" si="267"/>
        <v>2.6094735378979802E-3</v>
      </c>
      <c r="H346">
        <f t="shared" si="268"/>
        <v>-3.1389831764621023</v>
      </c>
      <c r="J346">
        <f t="shared" si="269"/>
        <v>15</v>
      </c>
      <c r="M346">
        <f t="shared" si="270"/>
        <v>2.2637938965198311E-3</v>
      </c>
      <c r="N346">
        <f t="shared" si="271"/>
        <v>-1.5707963250000001</v>
      </c>
      <c r="O346">
        <f t="shared" si="272"/>
        <v>168.79017961683536</v>
      </c>
      <c r="P346">
        <f t="shared" si="273"/>
        <v>1.564871776845707</v>
      </c>
      <c r="Q346">
        <f t="shared" si="274"/>
        <v>142.8601372333147</v>
      </c>
      <c r="R346">
        <f t="shared" si="275"/>
        <v>1.5637964163519211</v>
      </c>
      <c r="S346">
        <f t="shared" si="276"/>
        <v>0.18251975660852557</v>
      </c>
      <c r="T346">
        <f t="shared" si="277"/>
        <v>-1.3872476759395196</v>
      </c>
      <c r="U346">
        <f t="shared" si="278"/>
        <v>0.23150725831680974</v>
      </c>
      <c r="V346">
        <f t="shared" si="279"/>
        <v>-1.3371695796182959</v>
      </c>
      <c r="X346">
        <f t="shared" si="296"/>
        <v>-38.916428134400675</v>
      </c>
      <c r="Y346">
        <f t="shared" si="280"/>
        <v>-167.04151578104506</v>
      </c>
      <c r="Z346">
        <f t="shared" si="297"/>
        <v>12.958484218954936</v>
      </c>
      <c r="AC346">
        <v>1</v>
      </c>
      <c r="AD346">
        <f t="shared" si="281"/>
        <v>168.787217333196</v>
      </c>
      <c r="AE346">
        <f t="shared" si="282"/>
        <v>-8.3993291931846722E-2</v>
      </c>
      <c r="AF346">
        <f t="shared" si="283"/>
        <v>1.9988069076359999E-2</v>
      </c>
      <c r="AG346">
        <f t="shared" si="298"/>
        <v>441.31506691614004</v>
      </c>
      <c r="AH346">
        <f t="shared" si="299"/>
        <v>-1904.5113914696481</v>
      </c>
      <c r="AJ346">
        <f t="shared" si="284"/>
        <v>22100</v>
      </c>
      <c r="AK346">
        <f t="shared" si="285"/>
        <v>119048.85648075421</v>
      </c>
      <c r="AL346">
        <v>1</v>
      </c>
      <c r="AM346">
        <f t="shared" si="286"/>
        <v>142.85663726380201</v>
      </c>
      <c r="AN346">
        <f t="shared" si="300"/>
        <v>834.38696711521482</v>
      </c>
      <c r="AO346">
        <f t="shared" si="301"/>
        <v>-148.85981806792262</v>
      </c>
      <c r="AQ346">
        <f t="shared" si="287"/>
        <v>5.7392069908132511E-3</v>
      </c>
      <c r="AR346">
        <f t="shared" si="288"/>
        <v>-7.5757532278734914</v>
      </c>
      <c r="AT346">
        <f t="shared" si="313"/>
        <v>-14425.575522930823</v>
      </c>
      <c r="AU346">
        <f t="shared" si="314"/>
        <v>-3354.2244277911595</v>
      </c>
      <c r="AV346">
        <f t="shared" si="302"/>
        <v>-2.9131328807497359</v>
      </c>
      <c r="AW346">
        <f t="shared" si="303"/>
        <v>173.37104818560849</v>
      </c>
      <c r="AX346">
        <f t="shared" si="304"/>
        <v>-8777.8020668216941</v>
      </c>
      <c r="AY346">
        <f t="shared" si="312"/>
        <v>-1.5510478171072064</v>
      </c>
      <c r="BA346">
        <f t="shared" si="289"/>
        <v>1.6869274775871501</v>
      </c>
      <c r="BB346">
        <f t="shared" si="305"/>
        <v>4.5419282462018673</v>
      </c>
      <c r="BC346">
        <f t="shared" si="306"/>
        <v>-1.3620850636425295</v>
      </c>
      <c r="BD346">
        <f t="shared" si="290"/>
        <v>-258.04172557370077</v>
      </c>
      <c r="BF346">
        <f t="shared" si="291"/>
        <v>-41.633892202337833</v>
      </c>
      <c r="BG346">
        <f t="shared" si="292"/>
        <v>-178.24511397217958</v>
      </c>
      <c r="BH346">
        <f t="shared" si="307"/>
        <v>1.7548860278204188</v>
      </c>
      <c r="BI346">
        <f t="shared" si="308"/>
        <v>1.7548860278204188</v>
      </c>
      <c r="BJ346">
        <f t="shared" si="293"/>
        <v>0</v>
      </c>
      <c r="BK346">
        <f t="shared" si="309"/>
        <v>0</v>
      </c>
      <c r="BM346">
        <f t="shared" si="310"/>
        <v>-46.175820448539696</v>
      </c>
      <c r="BN346">
        <f t="shared" si="294"/>
        <v>-100.20338839847885</v>
      </c>
      <c r="BQ346" s="56">
        <f t="shared" si="311"/>
        <v>21.443889046487001</v>
      </c>
      <c r="BR346" s="59"/>
      <c r="BS346" s="59"/>
      <c r="BT346" s="59">
        <v>229086.76500000001</v>
      </c>
      <c r="BU346" s="59">
        <v>14.1297</v>
      </c>
      <c r="BV346" s="59">
        <v>-156.46</v>
      </c>
      <c r="BY346" s="59"/>
      <c r="BZ346" s="59"/>
      <c r="CA346" s="59"/>
      <c r="CC346" s="59"/>
    </row>
    <row r="347" spans="1:81" x14ac:dyDescent="0.25">
      <c r="A347">
        <f t="shared" si="263"/>
        <v>665000</v>
      </c>
      <c r="B347">
        <f t="shared" si="295"/>
        <v>665</v>
      </c>
      <c r="C347">
        <f t="shared" si="264"/>
        <v>5.6053025936048293</v>
      </c>
      <c r="D347">
        <f t="shared" si="265"/>
        <v>1.3914336601345194</v>
      </c>
      <c r="F347">
        <f t="shared" si="266"/>
        <v>5.7960950188557482E-5</v>
      </c>
      <c r="G347">
        <f t="shared" si="267"/>
        <v>2.5898512277318731E-3</v>
      </c>
      <c r="H347">
        <f t="shared" si="268"/>
        <v>-3.1390027987722684</v>
      </c>
      <c r="J347">
        <f t="shared" si="269"/>
        <v>15</v>
      </c>
      <c r="M347">
        <f t="shared" si="270"/>
        <v>2.24677288977908E-3</v>
      </c>
      <c r="N347">
        <f t="shared" si="271"/>
        <v>-1.5707963250000001</v>
      </c>
      <c r="O347">
        <f t="shared" si="272"/>
        <v>170.06884838481551</v>
      </c>
      <c r="P347">
        <f t="shared" si="273"/>
        <v>1.5649163213034072</v>
      </c>
      <c r="Q347">
        <f t="shared" si="274"/>
        <v>143.94235817039043</v>
      </c>
      <c r="R347">
        <f t="shared" si="275"/>
        <v>1.5638490455576324</v>
      </c>
      <c r="S347">
        <f t="shared" si="276"/>
        <v>0.18119264725396494</v>
      </c>
      <c r="T347">
        <f t="shared" si="277"/>
        <v>-1.3885972900375434</v>
      </c>
      <c r="U347">
        <f t="shared" si="278"/>
        <v>0.22985889982593133</v>
      </c>
      <c r="V347">
        <f t="shared" si="279"/>
        <v>-1.3388636286381816</v>
      </c>
      <c r="X347">
        <f t="shared" si="296"/>
        <v>-39.043994582632337</v>
      </c>
      <c r="Y347">
        <f t="shared" si="280"/>
        <v>-167.13528495855061</v>
      </c>
      <c r="Z347">
        <f t="shared" si="297"/>
        <v>12.864715041449386</v>
      </c>
      <c r="AC347">
        <v>1</v>
      </c>
      <c r="AD347">
        <f t="shared" si="281"/>
        <v>170.065908373599</v>
      </c>
      <c r="AE347">
        <f t="shared" si="282"/>
        <v>-8.5270738118826711E-2</v>
      </c>
      <c r="AF347">
        <f t="shared" si="283"/>
        <v>2.0139493842089996E-2</v>
      </c>
      <c r="AG347">
        <f t="shared" si="298"/>
        <v>435.05301107312528</v>
      </c>
      <c r="AH347">
        <f t="shared" si="299"/>
        <v>-1891.6707477227192</v>
      </c>
      <c r="AJ347">
        <f t="shared" si="284"/>
        <v>22100</v>
      </c>
      <c r="AK347">
        <f t="shared" si="285"/>
        <v>119950.74175712357</v>
      </c>
      <c r="AL347">
        <v>1</v>
      </c>
      <c r="AM347">
        <f t="shared" si="286"/>
        <v>143.93888451580051</v>
      </c>
      <c r="AN347">
        <f t="shared" si="300"/>
        <v>834.37135726658607</v>
      </c>
      <c r="AO347">
        <f t="shared" si="301"/>
        <v>-147.74067976328547</v>
      </c>
      <c r="AQ347">
        <f t="shared" si="287"/>
        <v>5.6532276255143732E-3</v>
      </c>
      <c r="AR347">
        <f t="shared" si="288"/>
        <v>-7.5187927419341163</v>
      </c>
      <c r="AT347">
        <f t="shared" si="313"/>
        <v>-14220.620834405901</v>
      </c>
      <c r="AU347">
        <f t="shared" si="314"/>
        <v>-3281.7674673426009</v>
      </c>
      <c r="AV347">
        <f t="shared" si="302"/>
        <v>-2.9147880813670044</v>
      </c>
      <c r="AW347">
        <f t="shared" si="303"/>
        <v>183.62259977323407</v>
      </c>
      <c r="AX347">
        <f t="shared" si="304"/>
        <v>-8713.2205948676819</v>
      </c>
      <c r="AY347">
        <f t="shared" si="312"/>
        <v>-1.5497254240363647</v>
      </c>
      <c r="BA347">
        <f t="shared" si="289"/>
        <v>1.6745983284304522</v>
      </c>
      <c r="BB347">
        <f t="shared" si="305"/>
        <v>4.478213067270012</v>
      </c>
      <c r="BC347">
        <f t="shared" si="306"/>
        <v>-1.3650626573306397</v>
      </c>
      <c r="BD347">
        <f t="shared" si="290"/>
        <v>-258.21232912532918</v>
      </c>
      <c r="BF347">
        <f t="shared" si="291"/>
        <v>-41.765270575861436</v>
      </c>
      <c r="BG347">
        <f t="shared" si="292"/>
        <v>-178.34066529099815</v>
      </c>
      <c r="BH347">
        <f t="shared" si="307"/>
        <v>1.659334709001854</v>
      </c>
      <c r="BI347">
        <f t="shared" si="308"/>
        <v>1.659334709001854</v>
      </c>
      <c r="BJ347">
        <f t="shared" si="293"/>
        <v>0</v>
      </c>
      <c r="BK347">
        <f t="shared" si="309"/>
        <v>0</v>
      </c>
      <c r="BM347">
        <f t="shared" si="310"/>
        <v>-46.243483643131441</v>
      </c>
      <c r="BN347">
        <f t="shared" si="294"/>
        <v>-100.12833616566897</v>
      </c>
      <c r="BQ347" s="56">
        <f t="shared" si="311"/>
        <v>21.380173867555147</v>
      </c>
      <c r="BR347" s="59"/>
      <c r="BS347" s="59"/>
      <c r="BT347" s="59">
        <v>234422.88200000001</v>
      </c>
      <c r="BU347" s="59">
        <v>14.451599999999999</v>
      </c>
      <c r="BV347" s="59">
        <v>-158.77500000000001</v>
      </c>
      <c r="BY347" s="59"/>
      <c r="BZ347" s="59"/>
      <c r="CA347" s="59"/>
      <c r="CC347" s="59"/>
    </row>
    <row r="348" spans="1:81" x14ac:dyDescent="0.25">
      <c r="A348">
        <f t="shared" si="263"/>
        <v>670000</v>
      </c>
      <c r="B348">
        <f t="shared" si="295"/>
        <v>670</v>
      </c>
      <c r="C348">
        <f t="shared" si="264"/>
        <v>5.6461112006707364</v>
      </c>
      <c r="D348">
        <f t="shared" si="265"/>
        <v>1.3927439743058465</v>
      </c>
      <c r="F348">
        <f t="shared" si="266"/>
        <v>5.7099042669738745E-5</v>
      </c>
      <c r="G348">
        <f t="shared" si="267"/>
        <v>2.5705218367592059E-3</v>
      </c>
      <c r="H348">
        <f t="shared" si="268"/>
        <v>-3.1390221281632411</v>
      </c>
      <c r="J348">
        <f t="shared" si="269"/>
        <v>15</v>
      </c>
      <c r="M348">
        <f t="shared" si="270"/>
        <v>2.2300059279150575E-3</v>
      </c>
      <c r="N348">
        <f t="shared" si="271"/>
        <v>-1.5707963250000001</v>
      </c>
      <c r="O348">
        <f t="shared" si="272"/>
        <v>171.34751748521134</v>
      </c>
      <c r="P348">
        <f t="shared" si="273"/>
        <v>1.5649602009412706</v>
      </c>
      <c r="Q348">
        <f t="shared" si="274"/>
        <v>145.02457950021207</v>
      </c>
      <c r="R348">
        <f t="shared" si="275"/>
        <v>1.5639008892904409</v>
      </c>
      <c r="S348">
        <f t="shared" si="276"/>
        <v>0.17988437694222756</v>
      </c>
      <c r="T348">
        <f t="shared" si="277"/>
        <v>-1.3899274172168341</v>
      </c>
      <c r="U348">
        <f t="shared" si="278"/>
        <v>0.22823320723604054</v>
      </c>
      <c r="V348">
        <f t="shared" si="279"/>
        <v>-1.3405337198424101</v>
      </c>
      <c r="X348">
        <f t="shared" si="296"/>
        <v>-39.170655163122646</v>
      </c>
      <c r="Y348">
        <f t="shared" si="280"/>
        <v>-167.22773228517923</v>
      </c>
      <c r="Z348">
        <f t="shared" si="297"/>
        <v>12.772267714820771</v>
      </c>
      <c r="AC348">
        <v>1</v>
      </c>
      <c r="AD348">
        <f t="shared" si="281"/>
        <v>171.344599414002</v>
      </c>
      <c r="AE348">
        <f t="shared" si="282"/>
        <v>-8.6557825409104672E-2</v>
      </c>
      <c r="AF348">
        <f t="shared" si="283"/>
        <v>2.0290918607819997E-2</v>
      </c>
      <c r="AG348">
        <f t="shared" si="298"/>
        <v>428.9208893575385</v>
      </c>
      <c r="AH348">
        <f t="shared" si="299"/>
        <v>-1878.9912961670457</v>
      </c>
      <c r="AJ348">
        <f t="shared" si="284"/>
        <v>22100</v>
      </c>
      <c r="AK348">
        <f t="shared" si="285"/>
        <v>120852.62703349291</v>
      </c>
      <c r="AL348">
        <v>1</v>
      </c>
      <c r="AM348">
        <f t="shared" si="286"/>
        <v>145.02113176779903</v>
      </c>
      <c r="AN348">
        <f t="shared" si="300"/>
        <v>834.35609556437589</v>
      </c>
      <c r="AO348">
        <f t="shared" si="301"/>
        <v>-146.63824261477401</v>
      </c>
      <c r="AQ348">
        <f t="shared" si="287"/>
        <v>5.5691659784105714E-3</v>
      </c>
      <c r="AR348">
        <f t="shared" si="288"/>
        <v>-7.4626824110701655</v>
      </c>
      <c r="AT348">
        <f t="shared" si="313"/>
        <v>-14019.926564835303</v>
      </c>
      <c r="AU348">
        <f t="shared" si="314"/>
        <v>-3211.3647911494181</v>
      </c>
      <c r="AV348">
        <f t="shared" si="302"/>
        <v>-2.9164199039727525</v>
      </c>
      <c r="AW348">
        <f t="shared" si="303"/>
        <v>193.6353387477067</v>
      </c>
      <c r="AX348">
        <f t="shared" si="304"/>
        <v>-8649.5740423821771</v>
      </c>
      <c r="AY348">
        <f t="shared" si="312"/>
        <v>-1.5484133747742939</v>
      </c>
      <c r="BA348">
        <f t="shared" si="289"/>
        <v>1.6624419984646814</v>
      </c>
      <c r="BB348">
        <f t="shared" si="305"/>
        <v>4.4149300396694278</v>
      </c>
      <c r="BC348">
        <f t="shared" si="306"/>
        <v>-1.3680065291984587</v>
      </c>
      <c r="BD348">
        <f t="shared" si="290"/>
        <v>-258.38100055897524</v>
      </c>
      <c r="BF348">
        <f t="shared" si="291"/>
        <v>-41.895679694593355</v>
      </c>
      <c r="BG348">
        <f t="shared" si="292"/>
        <v>-178.43536874522977</v>
      </c>
      <c r="BH348">
        <f t="shared" si="307"/>
        <v>1.5646312547702337</v>
      </c>
      <c r="BI348">
        <f t="shared" si="308"/>
        <v>1.5646312547702337</v>
      </c>
      <c r="BJ348">
        <f t="shared" si="293"/>
        <v>0</v>
      </c>
      <c r="BK348">
        <f t="shared" si="309"/>
        <v>0</v>
      </c>
      <c r="BM348">
        <f t="shared" si="310"/>
        <v>-46.310609734262783</v>
      </c>
      <c r="BN348">
        <f t="shared" si="294"/>
        <v>-100.05436818625452</v>
      </c>
      <c r="BQ348" s="56">
        <f t="shared" si="311"/>
        <v>21.316890839954567</v>
      </c>
      <c r="BR348" s="59"/>
      <c r="BS348" s="59"/>
      <c r="BT348" s="59">
        <v>239883.29199999999</v>
      </c>
      <c r="BU348" s="59">
        <v>14.4628</v>
      </c>
      <c r="BV348" s="59">
        <v>-161.529</v>
      </c>
      <c r="BY348" s="59"/>
      <c r="BZ348" s="59"/>
      <c r="CA348" s="59"/>
      <c r="CC348" s="59"/>
    </row>
    <row r="349" spans="1:81" x14ac:dyDescent="0.25">
      <c r="A349">
        <f t="shared" si="263"/>
        <v>675000</v>
      </c>
      <c r="B349">
        <f t="shared" si="295"/>
        <v>675</v>
      </c>
      <c r="C349">
        <f t="shared" si="264"/>
        <v>5.6869293625417816</v>
      </c>
      <c r="D349">
        <f t="shared" si="265"/>
        <v>1.3940354810038995</v>
      </c>
      <c r="F349">
        <f t="shared" si="266"/>
        <v>5.6256218985909211E-5</v>
      </c>
      <c r="G349">
        <f t="shared" si="267"/>
        <v>2.5514788542318478E-3</v>
      </c>
      <c r="H349">
        <f t="shared" si="268"/>
        <v>-3.1390411711457684</v>
      </c>
      <c r="J349">
        <f t="shared" si="269"/>
        <v>15</v>
      </c>
      <c r="M349">
        <f t="shared" si="270"/>
        <v>2.2134873654860569E-3</v>
      </c>
      <c r="N349">
        <f t="shared" si="271"/>
        <v>-1.5707963250000001</v>
      </c>
      <c r="O349">
        <f t="shared" si="272"/>
        <v>172.62618691063608</v>
      </c>
      <c r="P349">
        <f t="shared" si="273"/>
        <v>1.5650034305324034</v>
      </c>
      <c r="Q349">
        <f t="shared" si="274"/>
        <v>146.10680121405235</v>
      </c>
      <c r="R349">
        <f t="shared" si="275"/>
        <v>1.5639519650041975</v>
      </c>
      <c r="S349">
        <f t="shared" si="276"/>
        <v>0.17859455426774093</v>
      </c>
      <c r="T349">
        <f t="shared" si="277"/>
        <v>-1.3912384718998503</v>
      </c>
      <c r="U349">
        <f t="shared" si="278"/>
        <v>0.22662972993116054</v>
      </c>
      <c r="V349">
        <f t="shared" si="279"/>
        <v>-1.3421803487697757</v>
      </c>
      <c r="X349">
        <f t="shared" si="296"/>
        <v>-39.296422326591639</v>
      </c>
      <c r="Y349">
        <f t="shared" si="280"/>
        <v>-167.31888497685426</v>
      </c>
      <c r="Z349">
        <f t="shared" si="297"/>
        <v>12.681115023145736</v>
      </c>
      <c r="AC349">
        <v>1</v>
      </c>
      <c r="AD349">
        <f t="shared" si="281"/>
        <v>172.62329045440501</v>
      </c>
      <c r="AE349">
        <f t="shared" si="282"/>
        <v>-8.7854553802680604E-2</v>
      </c>
      <c r="AF349">
        <f t="shared" si="283"/>
        <v>2.0442343373549998E-2</v>
      </c>
      <c r="AG349">
        <f t="shared" si="298"/>
        <v>422.91519950853183</v>
      </c>
      <c r="AH349">
        <f t="shared" si="299"/>
        <v>-1866.4702696737722</v>
      </c>
      <c r="AJ349">
        <f t="shared" si="284"/>
        <v>22100</v>
      </c>
      <c r="AK349">
        <f t="shared" si="285"/>
        <v>121754.51230986226</v>
      </c>
      <c r="AL349">
        <v>1</v>
      </c>
      <c r="AM349">
        <f t="shared" si="286"/>
        <v>146.10337901979753</v>
      </c>
      <c r="AN349">
        <f t="shared" si="300"/>
        <v>834.34117173224502</v>
      </c>
      <c r="AO349">
        <f t="shared" si="301"/>
        <v>-145.55213555592152</v>
      </c>
      <c r="AQ349">
        <f t="shared" si="287"/>
        <v>5.4869654392507876E-3</v>
      </c>
      <c r="AR349">
        <f t="shared" si="288"/>
        <v>-7.4074033429885633</v>
      </c>
      <c r="AT349">
        <f t="shared" si="313"/>
        <v>-13823.377594086829</v>
      </c>
      <c r="AU349">
        <f t="shared" si="314"/>
        <v>-3142.9447205032629</v>
      </c>
      <c r="AV349">
        <f t="shared" si="302"/>
        <v>-2.9180288312219056</v>
      </c>
      <c r="AW349">
        <f t="shared" si="303"/>
        <v>203.41666243972801</v>
      </c>
      <c r="AX349">
        <f t="shared" si="304"/>
        <v>-8586.8424014900975</v>
      </c>
      <c r="AY349">
        <f t="shared" si="312"/>
        <v>-1.5471114127977734</v>
      </c>
      <c r="BA349">
        <f t="shared" si="289"/>
        <v>1.6504549500687848</v>
      </c>
      <c r="BB349">
        <f t="shared" si="305"/>
        <v>4.3520734911872374</v>
      </c>
      <c r="BC349">
        <f t="shared" si="306"/>
        <v>-1.3709174184241322</v>
      </c>
      <c r="BD349">
        <f t="shared" si="290"/>
        <v>-258.54778222642699</v>
      </c>
      <c r="BF349">
        <f t="shared" si="291"/>
        <v>-42.025133857218179</v>
      </c>
      <c r="BG349">
        <f t="shared" si="292"/>
        <v>-178.52924361211507</v>
      </c>
      <c r="BH349">
        <f t="shared" si="307"/>
        <v>1.4707563878849328</v>
      </c>
      <c r="BI349">
        <f t="shared" si="308"/>
        <v>1.4707563878849328</v>
      </c>
      <c r="BJ349">
        <f t="shared" si="293"/>
        <v>0</v>
      </c>
      <c r="BK349">
        <f t="shared" si="309"/>
        <v>0</v>
      </c>
      <c r="BM349">
        <f t="shared" si="310"/>
        <v>-46.377207348405413</v>
      </c>
      <c r="BN349">
        <f t="shared" si="294"/>
        <v>-99.981461385688036</v>
      </c>
      <c r="BQ349" s="56">
        <f t="shared" si="311"/>
        <v>21.254034291472376</v>
      </c>
      <c r="BR349" s="59"/>
      <c r="BS349" s="59"/>
      <c r="BT349" s="59">
        <v>245470.89199999999</v>
      </c>
      <c r="BU349" s="59">
        <v>14.575900000000001</v>
      </c>
      <c r="BV349" s="59">
        <v>-163.59700000000001</v>
      </c>
      <c r="BY349" s="59"/>
      <c r="BZ349" s="59"/>
      <c r="CA349" s="59"/>
      <c r="CC349" s="59"/>
    </row>
    <row r="350" spans="1:81" x14ac:dyDescent="0.25">
      <c r="A350">
        <f t="shared" si="263"/>
        <v>680000</v>
      </c>
      <c r="B350">
        <f t="shared" si="295"/>
        <v>680</v>
      </c>
      <c r="C350">
        <f t="shared" si="264"/>
        <v>5.7277568749445056</v>
      </c>
      <c r="D350">
        <f t="shared" si="265"/>
        <v>1.3953085780531365</v>
      </c>
      <c r="F350">
        <f t="shared" si="266"/>
        <v>5.5431919867156748E-5</v>
      </c>
      <c r="G350">
        <f t="shared" si="267"/>
        <v>2.5327159609463581E-3</v>
      </c>
      <c r="H350">
        <f t="shared" si="268"/>
        <v>-3.1390599340390537</v>
      </c>
      <c r="J350">
        <f t="shared" si="269"/>
        <v>15</v>
      </c>
      <c r="M350">
        <f t="shared" si="270"/>
        <v>2.1972117230927768E-3</v>
      </c>
      <c r="N350">
        <f t="shared" si="271"/>
        <v>-1.5707963250000001</v>
      </c>
      <c r="O350">
        <f t="shared" si="272"/>
        <v>173.90485665392021</v>
      </c>
      <c r="P350">
        <f t="shared" si="273"/>
        <v>1.5650460244154318</v>
      </c>
      <c r="Q350">
        <f t="shared" si="274"/>
        <v>147.18902330344071</v>
      </c>
      <c r="R350">
        <f t="shared" si="275"/>
        <v>1.5640022896394448</v>
      </c>
      <c r="S350">
        <f t="shared" si="276"/>
        <v>0.17732279839379986</v>
      </c>
      <c r="T350">
        <f t="shared" si="277"/>
        <v>-1.3925308569713515</v>
      </c>
      <c r="U350">
        <f t="shared" si="278"/>
        <v>0.22504802876801341</v>
      </c>
      <c r="V350">
        <f t="shared" si="279"/>
        <v>-1.3438039976421823</v>
      </c>
      <c r="X350">
        <f t="shared" si="296"/>
        <v>-39.421308275268075</v>
      </c>
      <c r="Y350">
        <f t="shared" si="280"/>
        <v>-167.40876952268889</v>
      </c>
      <c r="Z350">
        <f t="shared" si="297"/>
        <v>12.591230477311115</v>
      </c>
      <c r="AC350">
        <v>1</v>
      </c>
      <c r="AD350">
        <f t="shared" si="281"/>
        <v>173.90198149480798</v>
      </c>
      <c r="AE350">
        <f t="shared" si="282"/>
        <v>-8.9160923299554481E-2</v>
      </c>
      <c r="AF350">
        <f t="shared" si="283"/>
        <v>2.0593768139279999E-2</v>
      </c>
      <c r="AG350">
        <f t="shared" si="298"/>
        <v>417.03255409724994</v>
      </c>
      <c r="AH350">
        <f t="shared" si="299"/>
        <v>-1854.1049559770934</v>
      </c>
      <c r="AJ350">
        <f t="shared" si="284"/>
        <v>22100</v>
      </c>
      <c r="AK350">
        <f t="shared" si="285"/>
        <v>122656.3975862316</v>
      </c>
      <c r="AL350">
        <v>1</v>
      </c>
      <c r="AM350">
        <f t="shared" si="286"/>
        <v>147.18562627179602</v>
      </c>
      <c r="AN350">
        <f t="shared" si="300"/>
        <v>834.3265758702305</v>
      </c>
      <c r="AO350">
        <f t="shared" si="301"/>
        <v>-144.48199843142385</v>
      </c>
      <c r="AQ350">
        <f t="shared" si="287"/>
        <v>5.4065714713605797E-3</v>
      </c>
      <c r="AR350">
        <f t="shared" si="288"/>
        <v>-7.3529372010503886</v>
      </c>
      <c r="AT350">
        <f t="shared" si="313"/>
        <v>-13630.862589146251</v>
      </c>
      <c r="AU350">
        <f t="shared" si="314"/>
        <v>-3076.4385320306219</v>
      </c>
      <c r="AV350">
        <f t="shared" si="302"/>
        <v>-2.9196153328314107</v>
      </c>
      <c r="AW350">
        <f t="shared" si="303"/>
        <v>212.97368319522613</v>
      </c>
      <c r="AX350">
        <f t="shared" si="304"/>
        <v>-8525.0062281044538</v>
      </c>
      <c r="AY350">
        <f t="shared" si="312"/>
        <v>-1.5458192901088552</v>
      </c>
      <c r="BA350">
        <f t="shared" si="289"/>
        <v>1.6386337387539651</v>
      </c>
      <c r="BB350">
        <f t="shared" si="305"/>
        <v>4.2896378509878303</v>
      </c>
      <c r="BC350">
        <f t="shared" si="306"/>
        <v>-1.3737960427225555</v>
      </c>
      <c r="BD350">
        <f t="shared" si="290"/>
        <v>-258.71271524971894</v>
      </c>
      <c r="BF350">
        <f t="shared" si="291"/>
        <v>-42.153647052335437</v>
      </c>
      <c r="BG350">
        <f t="shared" si="292"/>
        <v>-178.62230858208972</v>
      </c>
      <c r="BH350">
        <f t="shared" si="307"/>
        <v>1.3776914179102846</v>
      </c>
      <c r="BI350">
        <f t="shared" si="308"/>
        <v>1.3776914179102846</v>
      </c>
      <c r="BJ350">
        <f t="shared" si="293"/>
        <v>0</v>
      </c>
      <c r="BK350">
        <f t="shared" si="309"/>
        <v>0</v>
      </c>
      <c r="BM350">
        <f t="shared" si="310"/>
        <v>-46.443284903323267</v>
      </c>
      <c r="BN350">
        <f t="shared" si="294"/>
        <v>-99.90959333237079</v>
      </c>
      <c r="BQ350" s="56">
        <f t="shared" si="311"/>
        <v>21.191598651272969</v>
      </c>
      <c r="BR350" s="59"/>
      <c r="BS350" s="59"/>
      <c r="BT350" s="59">
        <v>251188.64300000001</v>
      </c>
      <c r="BU350" s="59">
        <v>14.7446</v>
      </c>
      <c r="BV350" s="59">
        <v>-165.89599999999999</v>
      </c>
      <c r="BY350" s="59"/>
      <c r="BZ350" s="59"/>
      <c r="CA350" s="59"/>
      <c r="CC350" s="59"/>
    </row>
    <row r="351" spans="1:81" x14ac:dyDescent="0.25">
      <c r="A351">
        <f t="shared" si="263"/>
        <v>685000</v>
      </c>
      <c r="B351">
        <f t="shared" si="295"/>
        <v>685</v>
      </c>
      <c r="C351">
        <f t="shared" si="264"/>
        <v>5.76859353934233</v>
      </c>
      <c r="D351">
        <f t="shared" si="265"/>
        <v>1.3965636522555935</v>
      </c>
      <c r="F351">
        <f t="shared" si="266"/>
        <v>5.4625606382238888E-5</v>
      </c>
      <c r="G351">
        <f t="shared" si="267"/>
        <v>2.514227022251049E-3</v>
      </c>
      <c r="H351">
        <f t="shared" si="268"/>
        <v>-3.1390784229777493</v>
      </c>
      <c r="J351">
        <f t="shared" si="269"/>
        <v>15</v>
      </c>
      <c r="M351">
        <f t="shared" si="270"/>
        <v>2.1811736813183774E-3</v>
      </c>
      <c r="N351">
        <f t="shared" si="271"/>
        <v>-1.5707963250000001</v>
      </c>
      <c r="O351">
        <f t="shared" si="272"/>
        <v>175.18352670810353</v>
      </c>
      <c r="P351">
        <f t="shared" si="273"/>
        <v>1.5650879965103603</v>
      </c>
      <c r="Q351">
        <f t="shared" si="274"/>
        <v>148.27124576015382</v>
      </c>
      <c r="R351">
        <f t="shared" si="275"/>
        <v>1.5640518796421485</v>
      </c>
      <c r="S351">
        <f t="shared" si="276"/>
        <v>0.17606873870542294</v>
      </c>
      <c r="T351">
        <f t="shared" si="277"/>
        <v>-1.3938049641725194</v>
      </c>
      <c r="U351">
        <f t="shared" si="278"/>
        <v>0.22348767572750103</v>
      </c>
      <c r="V351">
        <f t="shared" si="279"/>
        <v>-1.3454051358000565</v>
      </c>
      <c r="X351">
        <f t="shared" si="296"/>
        <v>-39.545324969290476</v>
      </c>
      <c r="Y351">
        <f t="shared" si="280"/>
        <v>-167.49741170854855</v>
      </c>
      <c r="Z351">
        <f t="shared" si="297"/>
        <v>12.502588291451445</v>
      </c>
      <c r="AC351">
        <v>1</v>
      </c>
      <c r="AD351">
        <f t="shared" si="281"/>
        <v>175.18067253521099</v>
      </c>
      <c r="AE351">
        <f t="shared" si="282"/>
        <v>-9.0476933899726317E-2</v>
      </c>
      <c r="AF351">
        <f t="shared" si="283"/>
        <v>2.074519290501E-2</v>
      </c>
      <c r="AG351">
        <f t="shared" si="298"/>
        <v>411.26967613820796</v>
      </c>
      <c r="AH351">
        <f t="shared" si="299"/>
        <v>-1841.8926966782078</v>
      </c>
      <c r="AJ351">
        <f t="shared" si="284"/>
        <v>22100</v>
      </c>
      <c r="AK351">
        <f t="shared" si="285"/>
        <v>123558.28286260097</v>
      </c>
      <c r="AL351">
        <v>1</v>
      </c>
      <c r="AM351">
        <f t="shared" si="286"/>
        <v>148.26787352379452</v>
      </c>
      <c r="AN351">
        <f t="shared" si="300"/>
        <v>834.3122984383258</v>
      </c>
      <c r="AO351">
        <f t="shared" si="301"/>
        <v>-143.42748159903221</v>
      </c>
      <c r="AQ351">
        <f t="shared" si="287"/>
        <v>5.327931521161745E-3</v>
      </c>
      <c r="AR351">
        <f t="shared" si="288"/>
        <v>-7.2992661839915902</v>
      </c>
      <c r="AT351">
        <f t="shared" si="313"/>
        <v>-13442.273858733126</v>
      </c>
      <c r="AU351">
        <f t="shared" si="314"/>
        <v>-3011.7803176940238</v>
      </c>
      <c r="AV351">
        <f t="shared" si="302"/>
        <v>-2.9211798660018236</v>
      </c>
      <c r="AW351">
        <f t="shared" si="303"/>
        <v>222.31324145916486</v>
      </c>
      <c r="AX351">
        <f t="shared" si="304"/>
        <v>-8464.0466222699906</v>
      </c>
      <c r="AY351">
        <f t="shared" si="312"/>
        <v>-1.5445367668873415</v>
      </c>
      <c r="BA351">
        <f t="shared" si="289"/>
        <v>1.626975010233191</v>
      </c>
      <c r="BB351">
        <f t="shared" si="305"/>
        <v>4.227617647536472</v>
      </c>
      <c r="BC351">
        <f t="shared" si="306"/>
        <v>-1.376643099114482</v>
      </c>
      <c r="BD351">
        <f t="shared" si="290"/>
        <v>-258.87583956519848</v>
      </c>
      <c r="BF351">
        <f t="shared" si="291"/>
        <v>-42.281232967254184</v>
      </c>
      <c r="BG351">
        <f t="shared" si="292"/>
        <v>-178.71458178086669</v>
      </c>
      <c r="BH351">
        <f t="shared" si="307"/>
        <v>1.2854182191333052</v>
      </c>
      <c r="BI351">
        <f t="shared" si="308"/>
        <v>1.2854182191333052</v>
      </c>
      <c r="BJ351">
        <f t="shared" si="293"/>
        <v>0</v>
      </c>
      <c r="BK351">
        <f t="shared" si="309"/>
        <v>0</v>
      </c>
      <c r="BM351">
        <f t="shared" si="310"/>
        <v>-46.508850614790653</v>
      </c>
      <c r="BN351">
        <f t="shared" si="294"/>
        <v>-99.838742215668233</v>
      </c>
      <c r="BQ351" s="56">
        <f t="shared" si="311"/>
        <v>21.129578447821608</v>
      </c>
      <c r="BR351" s="59"/>
      <c r="BS351" s="59"/>
      <c r="BT351" s="59">
        <v>257039.57800000001</v>
      </c>
      <c r="BU351" s="59">
        <v>14.891</v>
      </c>
      <c r="BV351" s="59">
        <v>-168.07</v>
      </c>
      <c r="BY351" s="59"/>
      <c r="BZ351" s="59"/>
      <c r="CA351" s="59"/>
      <c r="CC351" s="59"/>
    </row>
    <row r="352" spans="1:81" x14ac:dyDescent="0.25">
      <c r="A352">
        <f t="shared" si="263"/>
        <v>690000</v>
      </c>
      <c r="B352">
        <f t="shared" si="295"/>
        <v>690</v>
      </c>
      <c r="C352">
        <f t="shared" si="264"/>
        <v>5.8094391627371307</v>
      </c>
      <c r="D352">
        <f t="shared" si="265"/>
        <v>1.3978010797658256</v>
      </c>
      <c r="F352">
        <f t="shared" si="266"/>
        <v>5.3836759057406188E-5</v>
      </c>
      <c r="G352">
        <f t="shared" si="267"/>
        <v>2.4960060813571986E-3</v>
      </c>
      <c r="H352">
        <f t="shared" si="268"/>
        <v>-3.1390966439186432</v>
      </c>
      <c r="J352">
        <f t="shared" si="269"/>
        <v>15</v>
      </c>
      <c r="M352">
        <f t="shared" si="270"/>
        <v>2.1653680749320124E-3</v>
      </c>
      <c r="N352">
        <f t="shared" si="271"/>
        <v>-1.5707963250000001</v>
      </c>
      <c r="O352">
        <f t="shared" si="272"/>
        <v>176.46219706642759</v>
      </c>
      <c r="P352">
        <f t="shared" si="273"/>
        <v>1.5651293603337357</v>
      </c>
      <c r="Q352">
        <f t="shared" si="274"/>
        <v>149.35346857620669</v>
      </c>
      <c r="R352">
        <f t="shared" si="275"/>
        <v>1.5641007509816167</v>
      </c>
      <c r="S352">
        <f t="shared" si="276"/>
        <v>0.17483201447548916</v>
      </c>
      <c r="T352">
        <f t="shared" si="277"/>
        <v>-1.3950611744792278</v>
      </c>
      <c r="U352">
        <f t="shared" si="278"/>
        <v>0.22194825357818165</v>
      </c>
      <c r="V352">
        <f t="shared" si="279"/>
        <v>-1.3469842201211633</v>
      </c>
      <c r="X352">
        <f t="shared" si="296"/>
        <v>-39.66848413290856</v>
      </c>
      <c r="Y352">
        <f t="shared" si="280"/>
        <v>-167.58483663972603</v>
      </c>
      <c r="Z352">
        <f t="shared" si="297"/>
        <v>12.415163360273965</v>
      </c>
      <c r="AC352">
        <v>1</v>
      </c>
      <c r="AD352">
        <f t="shared" si="281"/>
        <v>176.45936357561402</v>
      </c>
      <c r="AE352">
        <f t="shared" si="282"/>
        <v>-9.1802585603196082E-2</v>
      </c>
      <c r="AF352">
        <f t="shared" si="283"/>
        <v>2.0896617670740001E-2</v>
      </c>
      <c r="AG352">
        <f t="shared" si="298"/>
        <v>405.62339489019161</v>
      </c>
      <c r="AH352">
        <f t="shared" si="299"/>
        <v>-1829.8308862494366</v>
      </c>
      <c r="AJ352">
        <f t="shared" si="284"/>
        <v>22100</v>
      </c>
      <c r="AK352">
        <f t="shared" si="285"/>
        <v>124460.16813897032</v>
      </c>
      <c r="AL352">
        <v>1</v>
      </c>
      <c r="AM352">
        <f t="shared" si="286"/>
        <v>149.35012077579302</v>
      </c>
      <c r="AN352">
        <f t="shared" si="300"/>
        <v>834.29833024088805</v>
      </c>
      <c r="AO352">
        <f t="shared" si="301"/>
        <v>-142.38824554875021</v>
      </c>
      <c r="AQ352">
        <f t="shared" si="287"/>
        <v>5.2509949322647907E-3</v>
      </c>
      <c r="AR352">
        <f t="shared" si="288"/>
        <v>-7.2463730065254115</v>
      </c>
      <c r="AT352">
        <f t="shared" si="313"/>
        <v>-13257.507214233412</v>
      </c>
      <c r="AU352">
        <f t="shared" si="314"/>
        <v>-2948.9068522580792</v>
      </c>
      <c r="AV352">
        <f t="shared" si="302"/>
        <v>-2.9227228758228967</v>
      </c>
      <c r="AW352">
        <f t="shared" si="303"/>
        <v>231.44191816444976</v>
      </c>
      <c r="AX352">
        <f t="shared" si="304"/>
        <v>-8403.9452093229502</v>
      </c>
      <c r="AY352">
        <f t="shared" si="312"/>
        <v>-1.5432636111599185</v>
      </c>
      <c r="BA352">
        <f t="shared" si="289"/>
        <v>1.6154754975949168</v>
      </c>
      <c r="BB352">
        <f t="shared" si="305"/>
        <v>4.1660075065592341</v>
      </c>
      <c r="BC352">
        <f t="shared" si="306"/>
        <v>-1.3794592646629782</v>
      </c>
      <c r="BD352">
        <f t="shared" si="290"/>
        <v>-259.03719396572183</v>
      </c>
      <c r="BF352">
        <f t="shared" si="291"/>
        <v>-42.407904996482813</v>
      </c>
      <c r="BG352">
        <f t="shared" si="292"/>
        <v>-178.80608079053252</v>
      </c>
      <c r="BH352">
        <f t="shared" si="307"/>
        <v>1.1939192094674809</v>
      </c>
      <c r="BI352">
        <f t="shared" si="308"/>
        <v>1.1939192094674809</v>
      </c>
      <c r="BJ352">
        <f t="shared" si="293"/>
        <v>0</v>
      </c>
      <c r="BK352">
        <f t="shared" si="309"/>
        <v>0</v>
      </c>
      <c r="BM352">
        <f t="shared" si="310"/>
        <v>-46.573912503042045</v>
      </c>
      <c r="BN352">
        <f t="shared" si="294"/>
        <v>-99.768886824810707</v>
      </c>
      <c r="BQ352" s="56">
        <f t="shared" si="311"/>
        <v>21.067968306844371</v>
      </c>
      <c r="BR352" s="59"/>
      <c r="BS352" s="59"/>
      <c r="BT352" s="59">
        <v>263026.799</v>
      </c>
      <c r="BU352" s="59">
        <v>14.9779</v>
      </c>
      <c r="BV352" s="59">
        <v>-170.82400000000001</v>
      </c>
      <c r="BY352" s="59"/>
      <c r="BZ352" s="59"/>
      <c r="CA352" s="59"/>
      <c r="CC352" s="59"/>
    </row>
    <row r="353" spans="1:81" x14ac:dyDescent="0.25">
      <c r="A353">
        <f t="shared" si="263"/>
        <v>695000</v>
      </c>
      <c r="B353">
        <f t="shared" si="295"/>
        <v>695</v>
      </c>
      <c r="C353">
        <f t="shared" si="264"/>
        <v>5.8502935574789383</v>
      </c>
      <c r="D353">
        <f t="shared" si="265"/>
        <v>1.3990212264508202</v>
      </c>
      <c r="F353">
        <f t="shared" si="266"/>
        <v>5.3064877039446742E-5</v>
      </c>
      <c r="G353">
        <f t="shared" si="267"/>
        <v>2.4780473529390969E-3</v>
      </c>
      <c r="H353">
        <f t="shared" si="268"/>
        <v>-3.1391146026470613</v>
      </c>
      <c r="J353">
        <f t="shared" si="269"/>
        <v>15</v>
      </c>
      <c r="M353">
        <f t="shared" si="270"/>
        <v>2.1497898873425732E-3</v>
      </c>
      <c r="N353">
        <f t="shared" si="271"/>
        <v>-1.5707963250000001</v>
      </c>
      <c r="O353">
        <f t="shared" si="272"/>
        <v>177.7408677223284</v>
      </c>
      <c r="P353">
        <f t="shared" si="273"/>
        <v>1.5651701290131614</v>
      </c>
      <c r="Q353">
        <f t="shared" si="274"/>
        <v>150.43569174384422</v>
      </c>
      <c r="R353">
        <f t="shared" si="275"/>
        <v>1.5641489191676421</v>
      </c>
      <c r="S353">
        <f t="shared" si="276"/>
        <v>0.17361227454358102</v>
      </c>
      <c r="T353">
        <f t="shared" si="277"/>
        <v>-1.396299858465192</v>
      </c>
      <c r="U353">
        <f t="shared" si="278"/>
        <v>0.22042935555129567</v>
      </c>
      <c r="V353">
        <f t="shared" si="279"/>
        <v>-1.3485416954235379</v>
      </c>
      <c r="X353">
        <f t="shared" si="296"/>
        <v>-39.790797260492461</v>
      </c>
      <c r="Y353">
        <f t="shared" si="280"/>
        <v>-167.67106876276594</v>
      </c>
      <c r="Z353">
        <f t="shared" si="297"/>
        <v>12.328931237234059</v>
      </c>
      <c r="AC353">
        <v>1</v>
      </c>
      <c r="AD353">
        <f t="shared" si="281"/>
        <v>177.738054616017</v>
      </c>
      <c r="AE353">
        <f t="shared" si="282"/>
        <v>-9.3137878409963862E-2</v>
      </c>
      <c r="AF353">
        <f t="shared" si="283"/>
        <v>2.1048042436470002E-2</v>
      </c>
      <c r="AG353">
        <f t="shared" si="298"/>
        <v>400.09064183765872</v>
      </c>
      <c r="AH353">
        <f t="shared" si="299"/>
        <v>-1817.9169710405381</v>
      </c>
      <c r="AJ353">
        <f t="shared" si="284"/>
        <v>22100</v>
      </c>
      <c r="AK353">
        <f t="shared" si="285"/>
        <v>125362.05341533966</v>
      </c>
      <c r="AL353">
        <v>1</v>
      </c>
      <c r="AM353">
        <f t="shared" si="286"/>
        <v>150.43236802779151</v>
      </c>
      <c r="AN353">
        <f t="shared" si="300"/>
        <v>834.28466241182934</v>
      </c>
      <c r="AO353">
        <f t="shared" si="301"/>
        <v>-141.36396053846238</v>
      </c>
      <c r="AQ353">
        <f t="shared" si="287"/>
        <v>5.1757128638720232E-3</v>
      </c>
      <c r="AR353">
        <f t="shared" si="288"/>
        <v>-7.1942408807821119</v>
      </c>
      <c r="AT353">
        <f t="shared" si="313"/>
        <v>-13076.461836645756</v>
      </c>
      <c r="AU353">
        <f t="shared" si="314"/>
        <v>-2887.7574677793041</v>
      </c>
      <c r="AV353">
        <f t="shared" si="302"/>
        <v>-2.924244795663856</v>
      </c>
      <c r="AW353">
        <f t="shared" si="303"/>
        <v>240.3660464677331</v>
      </c>
      <c r="AX353">
        <f t="shared" si="304"/>
        <v>-8344.6841218276732</v>
      </c>
      <c r="AY353">
        <f t="shared" si="312"/>
        <v>-1.5419995984850341</v>
      </c>
      <c r="BA353">
        <f t="shared" si="289"/>
        <v>1.6041320185770618</v>
      </c>
      <c r="BB353">
        <f t="shared" si="305"/>
        <v>4.1048021490396494</v>
      </c>
      <c r="BC353">
        <f t="shared" si="306"/>
        <v>-1.3822451971788219</v>
      </c>
      <c r="BD353">
        <f t="shared" si="290"/>
        <v>-259.19681614107031</v>
      </c>
      <c r="BF353">
        <f t="shared" si="291"/>
        <v>-42.533676249926458</v>
      </c>
      <c r="BG353">
        <f t="shared" si="292"/>
        <v>-178.89682266970902</v>
      </c>
      <c r="BH353">
        <f t="shared" si="307"/>
        <v>1.1031773302909755</v>
      </c>
      <c r="BI353">
        <f t="shared" si="308"/>
        <v>1.1031773302909755</v>
      </c>
      <c r="BJ353">
        <f t="shared" si="293"/>
        <v>0</v>
      </c>
      <c r="BK353">
        <f t="shared" si="309"/>
        <v>0</v>
      </c>
      <c r="BM353">
        <f t="shared" si="310"/>
        <v>-46.638478398966107</v>
      </c>
      <c r="BN353">
        <f t="shared" si="294"/>
        <v>-99.70000652863871</v>
      </c>
      <c r="BQ353" s="56">
        <f t="shared" si="311"/>
        <v>21.006762949324784</v>
      </c>
      <c r="BR353" s="59"/>
      <c r="BS353" s="59"/>
      <c r="BT353" s="59">
        <v>269153.48</v>
      </c>
      <c r="BU353" s="59">
        <v>15.0854</v>
      </c>
      <c r="BV353" s="59">
        <v>-173.35300000000001</v>
      </c>
      <c r="BY353" s="59"/>
      <c r="BZ353" s="59"/>
      <c r="CA353" s="59"/>
      <c r="CC353" s="59"/>
    </row>
    <row r="354" spans="1:81" x14ac:dyDescent="0.25">
      <c r="A354">
        <f t="shared" si="263"/>
        <v>700000</v>
      </c>
      <c r="B354">
        <f t="shared" si="295"/>
        <v>700</v>
      </c>
      <c r="C354">
        <f t="shared" si="264"/>
        <v>5.8911565410833431</v>
      </c>
      <c r="D354">
        <f t="shared" si="265"/>
        <v>1.4002244482355757</v>
      </c>
      <c r="F354">
        <f t="shared" si="266"/>
        <v>5.2309477300433718E-5</v>
      </c>
      <c r="G354">
        <f t="shared" si="267"/>
        <v>2.4603452170084759E-3</v>
      </c>
      <c r="H354">
        <f t="shared" si="268"/>
        <v>-3.1391323047829918</v>
      </c>
      <c r="J354">
        <f t="shared" si="269"/>
        <v>15</v>
      </c>
      <c r="M354">
        <f t="shared" si="270"/>
        <v>2.1344342452901265E-3</v>
      </c>
      <c r="N354">
        <f t="shared" si="271"/>
        <v>-1.5707963250000001</v>
      </c>
      <c r="O354">
        <f t="shared" si="272"/>
        <v>179.01953866942949</v>
      </c>
      <c r="P354">
        <f t="shared" si="273"/>
        <v>1.5652103153011854</v>
      </c>
      <c r="Q354">
        <f t="shared" si="274"/>
        <v>151.51791525553267</v>
      </c>
      <c r="R354">
        <f t="shared" si="275"/>
        <v>1.5641963992669146</v>
      </c>
      <c r="S354">
        <f t="shared" si="276"/>
        <v>0.17240917700698999</v>
      </c>
      <c r="T354">
        <f t="shared" si="277"/>
        <v>-1.397521376650688</v>
      </c>
      <c r="U354">
        <f t="shared" si="278"/>
        <v>0.21893058502691282</v>
      </c>
      <c r="V354">
        <f t="shared" si="279"/>
        <v>-1.3500779948532184</v>
      </c>
      <c r="X354">
        <f t="shared" si="296"/>
        <v>-39.91227562235661</v>
      </c>
      <c r="Y354">
        <f t="shared" si="280"/>
        <v>-167.75613188647486</v>
      </c>
      <c r="Z354">
        <f t="shared" si="297"/>
        <v>12.243868113525139</v>
      </c>
      <c r="AC354">
        <v>1</v>
      </c>
      <c r="AD354">
        <f t="shared" si="281"/>
        <v>179.01674565642</v>
      </c>
      <c r="AE354">
        <f t="shared" si="282"/>
        <v>-9.4482812320029586E-2</v>
      </c>
      <c r="AF354">
        <f t="shared" si="283"/>
        <v>2.1199467202199999E-2</v>
      </c>
      <c r="AG354">
        <f t="shared" si="298"/>
        <v>394.66844684409068</v>
      </c>
      <c r="AH354">
        <f t="shared" si="299"/>
        <v>-1806.1484482890337</v>
      </c>
      <c r="AJ354">
        <f t="shared" si="284"/>
        <v>22100</v>
      </c>
      <c r="AK354">
        <f t="shared" si="285"/>
        <v>126263.93869170903</v>
      </c>
      <c r="AL354">
        <v>1</v>
      </c>
      <c r="AM354">
        <f t="shared" si="286"/>
        <v>151.51461527979001</v>
      </c>
      <c r="AN354">
        <f t="shared" si="300"/>
        <v>834.2712864005457</v>
      </c>
      <c r="AO354">
        <f t="shared" si="301"/>
        <v>-140.3543062451746</v>
      </c>
      <c r="AQ354">
        <f t="shared" si="287"/>
        <v>5.1020382132458096E-3</v>
      </c>
      <c r="AR354">
        <f t="shared" si="288"/>
        <v>-7.1428534985441337</v>
      </c>
      <c r="AT354">
        <f t="shared" si="313"/>
        <v>-12899.04014925402</v>
      </c>
      <c r="AU354">
        <f t="shared" si="314"/>
        <v>-2828.2739347072575</v>
      </c>
      <c r="AV354">
        <f t="shared" si="302"/>
        <v>-2.9257460475490178</v>
      </c>
      <c r="AW354">
        <f t="shared" si="303"/>
        <v>249.09172287107569</v>
      </c>
      <c r="AX354">
        <f t="shared" si="304"/>
        <v>-8286.2459822528181</v>
      </c>
      <c r="AY354">
        <f t="shared" si="312"/>
        <v>-1.5407445116526632</v>
      </c>
      <c r="BA354">
        <f t="shared" si="289"/>
        <v>1.5929414729374527</v>
      </c>
      <c r="BB354">
        <f t="shared" si="305"/>
        <v>4.0439963892524107</v>
      </c>
      <c r="BC354">
        <f t="shared" si="306"/>
        <v>-1.3850015358963546</v>
      </c>
      <c r="BD354">
        <f t="shared" si="290"/>
        <v>-259.35474271667391</v>
      </c>
      <c r="BF354">
        <f t="shared" si="291"/>
        <v>-42.658559560803766</v>
      </c>
      <c r="BG354">
        <f t="shared" si="292"/>
        <v>-178.98682397282749</v>
      </c>
      <c r="BH354">
        <f t="shared" si="307"/>
        <v>1.0131760271725057</v>
      </c>
      <c r="BI354">
        <f t="shared" si="308"/>
        <v>1.0131760271725057</v>
      </c>
      <c r="BJ354">
        <f t="shared" si="293"/>
        <v>0</v>
      </c>
      <c r="BK354">
        <f t="shared" si="309"/>
        <v>0</v>
      </c>
      <c r="BM354">
        <f t="shared" si="310"/>
        <v>-46.702555950056173</v>
      </c>
      <c r="BN354">
        <f t="shared" si="294"/>
        <v>-99.632081256153597</v>
      </c>
      <c r="BQ354" s="56">
        <f t="shared" si="311"/>
        <v>20.945957189537548</v>
      </c>
      <c r="BR354" s="59"/>
      <c r="BS354" s="59"/>
      <c r="BT354" s="59">
        <v>275422.87</v>
      </c>
      <c r="BU354" s="59">
        <v>15.1145</v>
      </c>
      <c r="BV354" s="59">
        <v>-175.80699999999999</v>
      </c>
      <c r="BY354" s="59"/>
      <c r="BZ354" s="59"/>
      <c r="CA354" s="59"/>
      <c r="CC354" s="59"/>
    </row>
    <row r="355" spans="1:81" x14ac:dyDescent="0.25">
      <c r="A355">
        <f t="shared" si="263"/>
        <v>705000</v>
      </c>
      <c r="B355">
        <f t="shared" si="295"/>
        <v>705</v>
      </c>
      <c r="C355">
        <f t="shared" si="264"/>
        <v>5.9320279360563024</v>
      </c>
      <c r="D355">
        <f t="shared" si="265"/>
        <v>1.4014110914349958</v>
      </c>
      <c r="F355">
        <f t="shared" si="266"/>
        <v>5.1570093881817985E-5</v>
      </c>
      <c r="G355">
        <f t="shared" si="267"/>
        <v>2.4428942130496904E-3</v>
      </c>
      <c r="H355">
        <f t="shared" si="268"/>
        <v>-3.1391497557869505</v>
      </c>
      <c r="J355">
        <f t="shared" si="269"/>
        <v>15</v>
      </c>
      <c r="M355">
        <f t="shared" si="270"/>
        <v>2.119296413763246E-3</v>
      </c>
      <c r="N355">
        <f t="shared" si="271"/>
        <v>-1.5707963250000001</v>
      </c>
      <c r="O355">
        <f t="shared" si="272"/>
        <v>180.29820990153536</v>
      </c>
      <c r="P355">
        <f t="shared" si="273"/>
        <v>1.5652499315886002</v>
      </c>
      <c r="Q355">
        <f t="shared" si="274"/>
        <v>152.60013910395222</v>
      </c>
      <c r="R355">
        <f t="shared" si="275"/>
        <v>1.5642432059187299</v>
      </c>
      <c r="S355">
        <f t="shared" si="276"/>
        <v>0.17122238892336253</v>
      </c>
      <c r="T355">
        <f t="shared" si="277"/>
        <v>-1.3987260798374967</v>
      </c>
      <c r="U355">
        <f t="shared" si="278"/>
        <v>0.21745155523078785</v>
      </c>
      <c r="V355">
        <f t="shared" si="279"/>
        <v>-1.3515935402574235</v>
      </c>
      <c r="X355">
        <f t="shared" si="296"/>
        <v>-40.032930270404883</v>
      </c>
      <c r="Y355">
        <f t="shared" si="280"/>
        <v>-167.84004920215168</v>
      </c>
      <c r="Z355">
        <f t="shared" si="297"/>
        <v>12.159950797848325</v>
      </c>
      <c r="AC355">
        <v>1</v>
      </c>
      <c r="AD355">
        <f t="shared" si="281"/>
        <v>180.295436696823</v>
      </c>
      <c r="AE355">
        <f t="shared" si="282"/>
        <v>-9.5837387333393281E-2</v>
      </c>
      <c r="AF355">
        <f t="shared" si="283"/>
        <v>2.135089196793E-2</v>
      </c>
      <c r="AG355">
        <f t="shared" si="298"/>
        <v>389.35393446916555</v>
      </c>
      <c r="AH355">
        <f t="shared" si="299"/>
        <v>-1794.5228651361447</v>
      </c>
      <c r="AJ355">
        <f t="shared" si="284"/>
        <v>22100</v>
      </c>
      <c r="AK355">
        <f t="shared" si="285"/>
        <v>127165.82396807837</v>
      </c>
      <c r="AL355">
        <v>1</v>
      </c>
      <c r="AM355">
        <f t="shared" si="286"/>
        <v>152.5968625317885</v>
      </c>
      <c r="AN355">
        <f t="shared" si="300"/>
        <v>834.25819395853989</v>
      </c>
      <c r="AO355">
        <f t="shared" si="301"/>
        <v>-139.35897143108983</v>
      </c>
      <c r="AQ355">
        <f t="shared" si="287"/>
        <v>5.0299255420122018E-3</v>
      </c>
      <c r="AR355">
        <f t="shared" si="288"/>
        <v>-7.0921950142372046</v>
      </c>
      <c r="AT355">
        <f t="shared" si="313"/>
        <v>-12725.14769575336</v>
      </c>
      <c r="AU355">
        <f t="shared" si="314"/>
        <v>-2770.4003492109282</v>
      </c>
      <c r="AV355">
        <f t="shared" si="302"/>
        <v>-2.9272270425193709</v>
      </c>
      <c r="AW355">
        <f t="shared" si="303"/>
        <v>257.62481776586395</v>
      </c>
      <c r="AX355">
        <f t="shared" si="304"/>
        <v>-8228.6138863520373</v>
      </c>
      <c r="AY355">
        <f t="shared" si="312"/>
        <v>-1.5394981403981611</v>
      </c>
      <c r="BA355">
        <f t="shared" si="289"/>
        <v>1.5819008399170513</v>
      </c>
      <c r="BB355">
        <f t="shared" si="305"/>
        <v>3.9835851328341985</v>
      </c>
      <c r="BC355">
        <f t="shared" si="306"/>
        <v>-1.3877289021212098</v>
      </c>
      <c r="BD355">
        <f t="shared" si="290"/>
        <v>-259.51100929072322</v>
      </c>
      <c r="BF355">
        <f t="shared" si="291"/>
        <v>-42.782567493294216</v>
      </c>
      <c r="BG355">
        <f t="shared" si="292"/>
        <v>-179.07610076856068</v>
      </c>
      <c r="BH355">
        <f t="shared" si="307"/>
        <v>0.92389923143932151</v>
      </c>
      <c r="BI355">
        <f t="shared" si="308"/>
        <v>0.92389923143932151</v>
      </c>
      <c r="BJ355">
        <f t="shared" si="293"/>
        <v>0</v>
      </c>
      <c r="BK355">
        <f t="shared" si="309"/>
        <v>0</v>
      </c>
      <c r="BM355">
        <f t="shared" si="310"/>
        <v>-46.76615262612841</v>
      </c>
      <c r="BN355">
        <f t="shared" si="294"/>
        <v>-99.565091477837484</v>
      </c>
      <c r="BQ355" s="56">
        <f t="shared" si="311"/>
        <v>20.885545933119335</v>
      </c>
      <c r="BR355" s="59"/>
      <c r="BS355" s="59"/>
      <c r="BT355" s="59">
        <v>281838.29300000001</v>
      </c>
      <c r="BU355" s="59">
        <v>15.1486</v>
      </c>
      <c r="BV355" s="59">
        <v>-177.72399999999999</v>
      </c>
      <c r="BY355" s="59"/>
      <c r="BZ355" s="59"/>
      <c r="CA355" s="59"/>
      <c r="CC355" s="59"/>
    </row>
    <row r="356" spans="1:81" x14ac:dyDescent="0.25">
      <c r="A356">
        <f t="shared" si="263"/>
        <v>710000</v>
      </c>
      <c r="B356">
        <f t="shared" si="295"/>
        <v>710</v>
      </c>
      <c r="C356">
        <f t="shared" si="264"/>
        <v>5.9729075697259502</v>
      </c>
      <c r="D356">
        <f t="shared" si="265"/>
        <v>1.4025814930727216</v>
      </c>
      <c r="F356">
        <f t="shared" si="266"/>
        <v>5.0846277175656465E-5</v>
      </c>
      <c r="G356">
        <f t="shared" si="267"/>
        <v>2.4256890344028009E-3</v>
      </c>
      <c r="H356">
        <f t="shared" si="268"/>
        <v>-3.1391669609655972</v>
      </c>
      <c r="J356">
        <f t="shared" si="269"/>
        <v>15</v>
      </c>
      <c r="M356">
        <f t="shared" si="270"/>
        <v>2.1043717911311101E-3</v>
      </c>
      <c r="N356">
        <f t="shared" si="271"/>
        <v>-1.5707963250000001</v>
      </c>
      <c r="O356">
        <f t="shared" si="272"/>
        <v>181.57688141262494</v>
      </c>
      <c r="P356">
        <f t="shared" si="273"/>
        <v>1.5652889899171802</v>
      </c>
      <c r="Q356">
        <f t="shared" si="274"/>
        <v>153.6823632819891</v>
      </c>
      <c r="R356">
        <f t="shared" si="275"/>
        <v>1.5642893533500397</v>
      </c>
      <c r="S356">
        <f t="shared" si="276"/>
        <v>0.17005158602449225</v>
      </c>
      <c r="T356">
        <f t="shared" si="277"/>
        <v>-1.3999143094307009</v>
      </c>
      <c r="U356">
        <f t="shared" si="278"/>
        <v>0.21599188894152732</v>
      </c>
      <c r="V356">
        <f t="shared" si="279"/>
        <v>-1.353088742543797</v>
      </c>
      <c r="X356">
        <f t="shared" si="296"/>
        <v>-40.152772043603534</v>
      </c>
      <c r="Y356">
        <f t="shared" si="280"/>
        <v>-167.92284330307038</v>
      </c>
      <c r="Z356">
        <f t="shared" si="297"/>
        <v>12.07715669692962</v>
      </c>
      <c r="AC356">
        <v>1</v>
      </c>
      <c r="AD356">
        <f t="shared" si="281"/>
        <v>181.57412773722601</v>
      </c>
      <c r="AE356">
        <f t="shared" si="282"/>
        <v>-9.7201603450054935E-2</v>
      </c>
      <c r="AF356">
        <f t="shared" si="283"/>
        <v>2.1502316733660001E-2</v>
      </c>
      <c r="AG356">
        <f t="shared" si="298"/>
        <v>384.14432044205319</v>
      </c>
      <c r="AH356">
        <f t="shared" si="299"/>
        <v>-1783.0378176497709</v>
      </c>
      <c r="AJ356">
        <f t="shared" si="284"/>
        <v>22100</v>
      </c>
      <c r="AK356">
        <f t="shared" si="285"/>
        <v>128067.70924444772</v>
      </c>
      <c r="AL356">
        <v>1</v>
      </c>
      <c r="AM356">
        <f t="shared" si="286"/>
        <v>153.67910978378703</v>
      </c>
      <c r="AN356">
        <f t="shared" si="300"/>
        <v>834.2453771267036</v>
      </c>
      <c r="AO356">
        <f t="shared" si="301"/>
        <v>-138.37765362379011</v>
      </c>
      <c r="AQ356">
        <f t="shared" si="287"/>
        <v>4.9593310060846033E-3</v>
      </c>
      <c r="AR356">
        <f t="shared" si="288"/>
        <v>-7.0422500286401366</v>
      </c>
      <c r="AT356">
        <f t="shared" si="313"/>
        <v>-12554.693023571366</v>
      </c>
      <c r="AU356">
        <f t="shared" si="314"/>
        <v>-2714.0830263690868</v>
      </c>
      <c r="AV356">
        <f t="shared" si="302"/>
        <v>-2.9286881809807133</v>
      </c>
      <c r="AW356">
        <f t="shared" si="303"/>
        <v>265.97098543296221</v>
      </c>
      <c r="AX356">
        <f t="shared" si="304"/>
        <v>-8171.7713872158783</v>
      </c>
      <c r="AY356">
        <f t="shared" si="312"/>
        <v>-1.5382602811294483</v>
      </c>
      <c r="BA356">
        <f t="shared" si="289"/>
        <v>1.571007175792448</v>
      </c>
      <c r="BB356">
        <f t="shared" si="305"/>
        <v>3.9235633748917147</v>
      </c>
      <c r="BC356">
        <f t="shared" si="306"/>
        <v>-1.3904278998512649</v>
      </c>
      <c r="BD356">
        <f t="shared" si="290"/>
        <v>-259.66565046974745</v>
      </c>
      <c r="BF356">
        <f t="shared" si="291"/>
        <v>-42.905712349926802</v>
      </c>
      <c r="BG356">
        <f t="shared" si="292"/>
        <v>-179.16466865745477</v>
      </c>
      <c r="BH356">
        <f t="shared" si="307"/>
        <v>0.83533134254523134</v>
      </c>
      <c r="BI356">
        <f t="shared" si="308"/>
        <v>0.83533134254523134</v>
      </c>
      <c r="BJ356">
        <f t="shared" si="293"/>
        <v>0</v>
      </c>
      <c r="BK356">
        <f t="shared" si="309"/>
        <v>0</v>
      </c>
      <c r="BM356">
        <f t="shared" si="310"/>
        <v>-46.829275724818515</v>
      </c>
      <c r="BN356">
        <f t="shared" si="294"/>
        <v>-99.499018187707307</v>
      </c>
      <c r="BQ356" s="56">
        <f t="shared" si="311"/>
        <v>20.825524175176852</v>
      </c>
      <c r="BR356" s="59"/>
      <c r="BS356" s="59"/>
      <c r="BT356" s="59">
        <v>288403.15000000002</v>
      </c>
      <c r="BU356" s="59">
        <v>14.961</v>
      </c>
      <c r="BV356" s="59">
        <v>-178.92099999999999</v>
      </c>
      <c r="BY356" s="59"/>
      <c r="BZ356" s="59"/>
      <c r="CA356" s="59"/>
      <c r="CC356" s="59"/>
    </row>
    <row r="357" spans="1:81" x14ac:dyDescent="0.25">
      <c r="A357">
        <f t="shared" si="263"/>
        <v>715000</v>
      </c>
      <c r="B357">
        <f t="shared" si="295"/>
        <v>715</v>
      </c>
      <c r="C357">
        <f t="shared" si="264"/>
        <v>6.0137952740811311</v>
      </c>
      <c r="D357">
        <f t="shared" si="265"/>
        <v>1.4037359811874912</v>
      </c>
      <c r="F357">
        <f t="shared" si="266"/>
        <v>5.0137593240906077E-5</v>
      </c>
      <c r="G357">
        <f t="shared" si="267"/>
        <v>2.4087245228824098E-3</v>
      </c>
      <c r="H357">
        <f t="shared" si="268"/>
        <v>-3.1391839254771177</v>
      </c>
      <c r="J357">
        <f t="shared" si="269"/>
        <v>15</v>
      </c>
      <c r="M357">
        <f t="shared" si="270"/>
        <v>2.089655904479844E-3</v>
      </c>
      <c r="N357">
        <f t="shared" si="271"/>
        <v>-1.5707963250000001</v>
      </c>
      <c r="O357">
        <f t="shared" si="272"/>
        <v>182.85555319684559</v>
      </c>
      <c r="P357">
        <f t="shared" si="273"/>
        <v>1.565327501991884</v>
      </c>
      <c r="Q357">
        <f t="shared" si="274"/>
        <v>154.76458778272851</v>
      </c>
      <c r="R357">
        <f t="shared" si="275"/>
        <v>1.5643348553898666</v>
      </c>
      <c r="S357">
        <f t="shared" si="276"/>
        <v>0.16889645244078533</v>
      </c>
      <c r="T357">
        <f t="shared" si="277"/>
        <v>-1.4010863977479178</v>
      </c>
      <c r="U357">
        <f t="shared" si="278"/>
        <v>0.21455121820768655</v>
      </c>
      <c r="V357">
        <f t="shared" si="279"/>
        <v>-1.3545640020263083</v>
      </c>
      <c r="X357">
        <f t="shared" si="296"/>
        <v>-40.271811573287806</v>
      </c>
      <c r="Y357">
        <f t="shared" si="280"/>
        <v>-168.00453620324657</v>
      </c>
      <c r="Z357">
        <f t="shared" si="297"/>
        <v>11.995463796753427</v>
      </c>
      <c r="AC357">
        <v>1</v>
      </c>
      <c r="AD357">
        <f t="shared" si="281"/>
        <v>182.85281877762901</v>
      </c>
      <c r="AE357">
        <f t="shared" si="282"/>
        <v>-9.8575460670014534E-2</v>
      </c>
      <c r="AF357">
        <f t="shared" si="283"/>
        <v>2.1653741499389999E-2</v>
      </c>
      <c r="AG357">
        <f t="shared" si="298"/>
        <v>379.03690828351881</v>
      </c>
      <c r="AH357">
        <f t="shared" si="299"/>
        <v>-1771.6909498557857</v>
      </c>
      <c r="AJ357">
        <f t="shared" si="284"/>
        <v>22100</v>
      </c>
      <c r="AK357">
        <f t="shared" si="285"/>
        <v>128969.59452081706</v>
      </c>
      <c r="AL357">
        <v>1</v>
      </c>
      <c r="AM357">
        <f t="shared" si="286"/>
        <v>154.76135703578552</v>
      </c>
      <c r="AN357">
        <f t="shared" si="300"/>
        <v>834.23282822321994</v>
      </c>
      <c r="AO357">
        <f t="shared" si="301"/>
        <v>-137.41005880983255</v>
      </c>
      <c r="AQ357">
        <f t="shared" si="287"/>
        <v>4.8902122890056784E-3</v>
      </c>
      <c r="AR357">
        <f t="shared" si="288"/>
        <v>-6.9930035732781199</v>
      </c>
      <c r="AT357">
        <f t="shared" si="313"/>
        <v>-12387.587572139142</v>
      </c>
      <c r="AU357">
        <f t="shared" si="314"/>
        <v>-2659.2703988862431</v>
      </c>
      <c r="AV357">
        <f t="shared" si="302"/>
        <v>-2.9301298530389079</v>
      </c>
      <c r="AW357">
        <f t="shared" si="303"/>
        <v>274.13567353087552</v>
      </c>
      <c r="AX357">
        <f t="shared" si="304"/>
        <v>-8115.7024799634783</v>
      </c>
      <c r="AY357">
        <f t="shared" si="312"/>
        <v>-1.5370307366668159</v>
      </c>
      <c r="BA357">
        <f t="shared" si="289"/>
        <v>1.5602576115142348</v>
      </c>
      <c r="BB357">
        <f t="shared" si="305"/>
        <v>3.8639261981469275</v>
      </c>
      <c r="BC357">
        <f t="shared" si="306"/>
        <v>-1.3930991163720921</v>
      </c>
      <c r="BD357">
        <f t="shared" si="290"/>
        <v>-259.81869990273134</v>
      </c>
      <c r="BF357">
        <f t="shared" si="291"/>
        <v>-43.028006178720219</v>
      </c>
      <c r="BG357">
        <f t="shared" si="292"/>
        <v>-179.25254278880149</v>
      </c>
      <c r="BH357">
        <f t="shared" si="307"/>
        <v>0.74745721119850828</v>
      </c>
      <c r="BI357">
        <f t="shared" si="308"/>
        <v>0.74745721119850828</v>
      </c>
      <c r="BJ357">
        <f t="shared" si="293"/>
        <v>0</v>
      </c>
      <c r="BK357">
        <f t="shared" si="309"/>
        <v>0</v>
      </c>
      <c r="BM357">
        <f t="shared" si="310"/>
        <v>-46.891932376867146</v>
      </c>
      <c r="BN357">
        <f t="shared" si="294"/>
        <v>-99.433842886070138</v>
      </c>
      <c r="BQ357" s="56">
        <f t="shared" si="311"/>
        <v>20.765886998432066</v>
      </c>
      <c r="BR357" s="59"/>
      <c r="BS357" s="59"/>
      <c r="BT357" s="59">
        <v>295120.92300000001</v>
      </c>
      <c r="BU357" s="59">
        <v>14.946199999999999</v>
      </c>
      <c r="BV357" s="59">
        <v>-181.99</v>
      </c>
      <c r="BW357" s="61"/>
      <c r="BY357" s="59"/>
      <c r="BZ357" s="59"/>
      <c r="CA357" s="59"/>
      <c r="CC357" s="59"/>
    </row>
    <row r="358" spans="1:81" x14ac:dyDescent="0.25">
      <c r="A358">
        <f t="shared" si="263"/>
        <v>720000</v>
      </c>
      <c r="B358">
        <f t="shared" si="295"/>
        <v>720</v>
      </c>
      <c r="C358">
        <f t="shared" si="264"/>
        <v>6.0546908856163233</v>
      </c>
      <c r="D358">
        <f t="shared" si="265"/>
        <v>1.4048748751275841</v>
      </c>
      <c r="F358">
        <f t="shared" si="266"/>
        <v>4.9443623152841361E-5</v>
      </c>
      <c r="G358">
        <f t="shared" si="267"/>
        <v>2.3919956636207899E-3</v>
      </c>
      <c r="H358">
        <f t="shared" si="268"/>
        <v>-3.1392006543363795</v>
      </c>
      <c r="J358">
        <f t="shared" si="269"/>
        <v>15</v>
      </c>
      <c r="M358">
        <f t="shared" si="270"/>
        <v>2.0751444051431782E-3</v>
      </c>
      <c r="N358">
        <f t="shared" si="271"/>
        <v>-1.5707963250000001</v>
      </c>
      <c r="O358">
        <f t="shared" si="272"/>
        <v>184.13422524850728</v>
      </c>
      <c r="P358">
        <f t="shared" si="273"/>
        <v>1.565365479192548</v>
      </c>
      <c r="Q358">
        <f t="shared" si="274"/>
        <v>155.84681259944784</v>
      </c>
      <c r="R358">
        <f t="shared" si="275"/>
        <v>1.5643797254831209</v>
      </c>
      <c r="S358">
        <f t="shared" si="276"/>
        <v>0.16775668043594899</v>
      </c>
      <c r="T358">
        <f t="shared" si="277"/>
        <v>-1.4022426683165368</v>
      </c>
      <c r="U358">
        <f t="shared" si="278"/>
        <v>0.21312918407442857</v>
      </c>
      <c r="V358">
        <f t="shared" si="279"/>
        <v>-1.3560197087583685</v>
      </c>
      <c r="X358">
        <f t="shared" si="296"/>
        <v>-40.390059288308308</v>
      </c>
      <c r="Y358">
        <f t="shared" si="280"/>
        <v>-168.08514935551739</v>
      </c>
      <c r="Z358">
        <f t="shared" si="297"/>
        <v>11.914850644482613</v>
      </c>
      <c r="AC358">
        <v>1</v>
      </c>
      <c r="AD358">
        <f t="shared" si="281"/>
        <v>184.13150981803199</v>
      </c>
      <c r="AE358">
        <f t="shared" si="282"/>
        <v>-9.9958958993272132E-2</v>
      </c>
      <c r="AF358">
        <f t="shared" si="283"/>
        <v>2.180516626512E-2</v>
      </c>
      <c r="AG358">
        <f t="shared" si="298"/>
        <v>374.02908606988728</v>
      </c>
      <c r="AH358">
        <f t="shared" si="299"/>
        <v>-1760.4799527787347</v>
      </c>
      <c r="AJ358">
        <f t="shared" si="284"/>
        <v>22100</v>
      </c>
      <c r="AK358">
        <f t="shared" si="285"/>
        <v>129871.47979718642</v>
      </c>
      <c r="AL358">
        <v>1</v>
      </c>
      <c r="AM358">
        <f t="shared" si="286"/>
        <v>155.84360428778402</v>
      </c>
      <c r="AN358">
        <f t="shared" si="300"/>
        <v>834.22053983204978</v>
      </c>
      <c r="AO358">
        <f t="shared" si="301"/>
        <v>-136.45590114110888</v>
      </c>
      <c r="AQ358">
        <f t="shared" si="287"/>
        <v>4.822528538518259E-3</v>
      </c>
      <c r="AR358">
        <f t="shared" si="288"/>
        <v>-6.944441095466293</v>
      </c>
      <c r="AT358">
        <f t="shared" si="313"/>
        <v>-12223.745565879397</v>
      </c>
      <c r="AU358">
        <f t="shared" si="314"/>
        <v>-2605.9129210171891</v>
      </c>
      <c r="AV358">
        <f t="shared" si="302"/>
        <v>-2.931552438822802</v>
      </c>
      <c r="AW358">
        <f t="shared" si="303"/>
        <v>282.12413210159519</v>
      </c>
      <c r="AX358">
        <f t="shared" si="304"/>
        <v>-8060.3915870441924</v>
      </c>
      <c r="AY358">
        <f t="shared" si="312"/>
        <v>-1.5358093159946891</v>
      </c>
      <c r="BA358">
        <f t="shared" si="289"/>
        <v>1.5496493504279814</v>
      </c>
      <c r="BB358">
        <f t="shared" si="305"/>
        <v>3.804668771119315</v>
      </c>
      <c r="BC358">
        <f t="shared" si="306"/>
        <v>-1.395743122828113</v>
      </c>
      <c r="BD358">
        <f t="shared" si="290"/>
        <v>-259.97019031383979</v>
      </c>
      <c r="BF358">
        <f t="shared" si="291"/>
        <v>-43.149460780084333</v>
      </c>
      <c r="BG358">
        <f t="shared" si="292"/>
        <v>-179.33973787678789</v>
      </c>
      <c r="BH358">
        <f t="shared" si="307"/>
        <v>0.66026212321210664</v>
      </c>
      <c r="BI358">
        <f t="shared" si="308"/>
        <v>0.66026212321210664</v>
      </c>
      <c r="BJ358">
        <f t="shared" si="293"/>
        <v>0</v>
      </c>
      <c r="BK358">
        <f t="shared" si="309"/>
        <v>0</v>
      </c>
      <c r="BM358">
        <f t="shared" si="310"/>
        <v>-46.954129551203643</v>
      </c>
      <c r="BN358">
        <f t="shared" si="294"/>
        <v>-99.3695475629481</v>
      </c>
      <c r="BQ358" s="56">
        <f t="shared" si="311"/>
        <v>20.706629571404452</v>
      </c>
      <c r="BR358" s="59"/>
      <c r="BS358" s="59"/>
      <c r="BT358" s="59">
        <v>301995.17200000002</v>
      </c>
      <c r="BU358" s="59">
        <v>15.1762</v>
      </c>
      <c r="BV358" s="59">
        <v>-183.36099999999999</v>
      </c>
      <c r="BW358" s="61"/>
      <c r="BY358" s="59"/>
      <c r="BZ358" s="59"/>
      <c r="CA358" s="59"/>
      <c r="CC358" s="59"/>
    </row>
    <row r="359" spans="1:81" x14ac:dyDescent="0.25">
      <c r="A359">
        <f t="shared" si="263"/>
        <v>725000</v>
      </c>
      <c r="B359">
        <f t="shared" si="295"/>
        <v>725</v>
      </c>
      <c r="C359">
        <f t="shared" si="264"/>
        <v>6.0955942451826663</v>
      </c>
      <c r="D359">
        <f t="shared" si="265"/>
        <v>1.4059984858338828</v>
      </c>
      <c r="F359">
        <f t="shared" si="266"/>
        <v>4.8763962383774574E-5</v>
      </c>
      <c r="G359">
        <f t="shared" si="267"/>
        <v>2.3754975801244731E-3</v>
      </c>
      <c r="H359">
        <f t="shared" si="268"/>
        <v>-3.1392171524198758</v>
      </c>
      <c r="J359">
        <f t="shared" si="269"/>
        <v>15</v>
      </c>
      <c r="M359">
        <f t="shared" si="270"/>
        <v>2.0608330644180527E-3</v>
      </c>
      <c r="N359">
        <f t="shared" si="271"/>
        <v>-1.5707963250000001</v>
      </c>
      <c r="O359">
        <f t="shared" si="272"/>
        <v>185.41289756207686</v>
      </c>
      <c r="P359">
        <f t="shared" si="273"/>
        <v>1.565402932585098</v>
      </c>
      <c r="Q359">
        <f t="shared" si="274"/>
        <v>156.92903772560979</v>
      </c>
      <c r="R359">
        <f t="shared" si="275"/>
        <v>1.5644239767038435</v>
      </c>
      <c r="S359">
        <f t="shared" si="276"/>
        <v>0.16663197015147385</v>
      </c>
      <c r="T359">
        <f t="shared" si="277"/>
        <v>-1.4033834361594919</v>
      </c>
      <c r="U359">
        <f t="shared" si="278"/>
        <v>0.21172543631939272</v>
      </c>
      <c r="V359">
        <f t="shared" si="279"/>
        <v>-1.3574562428536989</v>
      </c>
      <c r="X359">
        <f t="shared" si="296"/>
        <v>-40.507525420022631</v>
      </c>
      <c r="Y359">
        <f t="shared" si="280"/>
        <v>-168.16470366896345</v>
      </c>
      <c r="Z359">
        <f t="shared" si="297"/>
        <v>11.835296331036545</v>
      </c>
      <c r="AC359">
        <v>1</v>
      </c>
      <c r="AD359">
        <f t="shared" si="281"/>
        <v>185.41020085843499</v>
      </c>
      <c r="AE359">
        <f t="shared" si="282"/>
        <v>-0.10135209841982767</v>
      </c>
      <c r="AF359">
        <f t="shared" si="283"/>
        <v>2.1956591030850001E-2</v>
      </c>
      <c r="AG359">
        <f t="shared" si="298"/>
        <v>369.11832333228017</v>
      </c>
      <c r="AH359">
        <f t="shared" si="299"/>
        <v>-1749.4025634929378</v>
      </c>
      <c r="AJ359">
        <f t="shared" si="284"/>
        <v>22100</v>
      </c>
      <c r="AK359">
        <f t="shared" si="285"/>
        <v>130773.36507355576</v>
      </c>
      <c r="AL359">
        <v>1</v>
      </c>
      <c r="AM359">
        <f t="shared" si="286"/>
        <v>156.92585153978251</v>
      </c>
      <c r="AN359">
        <f t="shared" si="300"/>
        <v>834.20850479197316</v>
      </c>
      <c r="AO359">
        <f t="shared" si="301"/>
        <v>-135.51490265335221</v>
      </c>
      <c r="AQ359">
        <f t="shared" si="287"/>
        <v>4.7562403061877263E-3</v>
      </c>
      <c r="AR359">
        <f t="shared" si="288"/>
        <v>-6.8965484439722022</v>
      </c>
      <c r="AT359">
        <f t="shared" si="313"/>
        <v>-12063.083911691016</v>
      </c>
      <c r="AU359">
        <f t="shared" si="314"/>
        <v>-2553.9629774030982</v>
      </c>
      <c r="AV359">
        <f t="shared" si="302"/>
        <v>-2.932956308795319</v>
      </c>
      <c r="AW359">
        <f t="shared" si="303"/>
        <v>289.94142212192145</v>
      </c>
      <c r="AX359">
        <f t="shared" si="304"/>
        <v>-8005.8235441210327</v>
      </c>
      <c r="AY359">
        <f t="shared" si="312"/>
        <v>-1.5345958340247152</v>
      </c>
      <c r="BA359">
        <f t="shared" si="289"/>
        <v>1.5391796660746933</v>
      </c>
      <c r="BB359">
        <f t="shared" si="305"/>
        <v>3.7457863463450254</v>
      </c>
      <c r="BC359">
        <f t="shared" si="306"/>
        <v>-1.3983604747706038</v>
      </c>
      <c r="BD359">
        <f t="shared" si="290"/>
        <v>-260.12015353381628</v>
      </c>
      <c r="BF359">
        <f t="shared" si="291"/>
        <v>-43.270087713492401</v>
      </c>
      <c r="BG359">
        <f t="shared" si="292"/>
        <v>-179.42626821595962</v>
      </c>
      <c r="BH359">
        <f t="shared" si="307"/>
        <v>0.57373178404037617</v>
      </c>
      <c r="BI359">
        <f t="shared" si="308"/>
        <v>0.57373178404037617</v>
      </c>
      <c r="BJ359">
        <f t="shared" si="293"/>
        <v>0</v>
      </c>
      <c r="BK359">
        <f t="shared" si="309"/>
        <v>0</v>
      </c>
      <c r="BM359">
        <f t="shared" si="310"/>
        <v>-47.015874059837415</v>
      </c>
      <c r="BN359">
        <f t="shared" si="294"/>
        <v>-99.306114682143388</v>
      </c>
      <c r="BQ359" s="56">
        <f t="shared" si="311"/>
        <v>20.647747146630163</v>
      </c>
      <c r="BR359" s="59"/>
      <c r="BS359" s="59"/>
      <c r="BT359" s="59">
        <v>309029.54300000001</v>
      </c>
      <c r="BU359" s="59">
        <v>15.284700000000001</v>
      </c>
      <c r="BV359" s="59">
        <v>-186.209</v>
      </c>
      <c r="BW359" s="61"/>
      <c r="BY359" s="59"/>
      <c r="BZ359" s="59"/>
      <c r="CA359" s="59"/>
      <c r="CC359" s="59"/>
    </row>
    <row r="360" spans="1:81" x14ac:dyDescent="0.25">
      <c r="A360">
        <f t="shared" si="263"/>
        <v>730000</v>
      </c>
      <c r="B360">
        <f t="shared" si="295"/>
        <v>730</v>
      </c>
      <c r="C360">
        <f t="shared" si="264"/>
        <v>6.136505197844822</v>
      </c>
      <c r="D360">
        <f t="shared" si="265"/>
        <v>1.4071071161120547</v>
      </c>
      <c r="F360">
        <f t="shared" si="266"/>
        <v>4.8098220213368725E-5</v>
      </c>
      <c r="G360">
        <f t="shared" si="267"/>
        <v>2.3592255295340598E-3</v>
      </c>
      <c r="H360">
        <f t="shared" si="268"/>
        <v>-3.1392334244704663</v>
      </c>
      <c r="J360">
        <f t="shared" si="269"/>
        <v>15</v>
      </c>
      <c r="M360">
        <f t="shared" si="270"/>
        <v>2.0467177694562856E-3</v>
      </c>
      <c r="N360">
        <f t="shared" si="271"/>
        <v>-1.5707963250000001</v>
      </c>
      <c r="O360">
        <f t="shared" si="272"/>
        <v>186.69157013217287</v>
      </c>
      <c r="P360">
        <f t="shared" si="273"/>
        <v>1.5654398729322985</v>
      </c>
      <c r="Q360">
        <f t="shared" si="274"/>
        <v>158.01126315485627</v>
      </c>
      <c r="R360">
        <f t="shared" si="275"/>
        <v>1.5644676217679072</v>
      </c>
      <c r="S360">
        <f t="shared" si="276"/>
        <v>0.16552202936050012</v>
      </c>
      <c r="T360">
        <f t="shared" si="277"/>
        <v>-1.4045090080700746</v>
      </c>
      <c r="U360">
        <f t="shared" si="278"/>
        <v>0.21033963319743207</v>
      </c>
      <c r="V360">
        <f t="shared" si="279"/>
        <v>-1.3588739747954646</v>
      </c>
      <c r="X360">
        <f t="shared" si="296"/>
        <v>-40.624220007137737</v>
      </c>
      <c r="Y360">
        <f t="shared" si="280"/>
        <v>-168.24321952569952</v>
      </c>
      <c r="Z360">
        <f t="shared" si="297"/>
        <v>11.756780474300484</v>
      </c>
      <c r="AC360">
        <v>1</v>
      </c>
      <c r="AD360">
        <f t="shared" si="281"/>
        <v>186.68889189883799</v>
      </c>
      <c r="AE360">
        <f t="shared" si="282"/>
        <v>-0.10275487894968116</v>
      </c>
      <c r="AF360">
        <f t="shared" si="283"/>
        <v>2.2108015796580002E-2</v>
      </c>
      <c r="AG360">
        <f t="shared" ref="AG360:AG423" si="315">AC360*AE360/(AE360^2+AF360^2)+AD360*AF360/(AE360^2+AF360^2)</f>
        <v>364.30216808485966</v>
      </c>
      <c r="AH360">
        <f t="shared" ref="AH360:AH423" si="316">AD360*AE360/(AE360^2+AF360^2)-AC360*AF360/(AE360^2+AF360^2)</f>
        <v>-1738.4565641848178</v>
      </c>
      <c r="AJ360">
        <f t="shared" si="284"/>
        <v>22100</v>
      </c>
      <c r="AK360">
        <f t="shared" si="285"/>
        <v>131675.2503499251</v>
      </c>
      <c r="AL360">
        <v>1</v>
      </c>
      <c r="AM360">
        <f t="shared" si="286"/>
        <v>158.00809879178101</v>
      </c>
      <c r="AN360">
        <f t="shared" ref="AN360:AN423" si="317">AJ360*AL360/(AL360^2+AM360^2)+AK360*AM360/(AL360^2+AM360^2)</f>
        <v>834.19671618615519</v>
      </c>
      <c r="AO360">
        <f t="shared" ref="AO360:AO423" si="318">AK360*AL360/(AL360^2+AM360^2)-AJ360*AM360/(AL360^2+AM360^2)</f>
        <v>-134.58679299620817</v>
      </c>
      <c r="AQ360">
        <f t="shared" si="287"/>
        <v>4.691309489909228E-3</v>
      </c>
      <c r="AR360">
        <f t="shared" si="288"/>
        <v>-6.849311855267473</v>
      </c>
      <c r="AT360">
        <f t="shared" si="313"/>
        <v>-11905.5221007203</v>
      </c>
      <c r="AU360">
        <f t="shared" si="314"/>
        <v>-2503.3747965406283</v>
      </c>
      <c r="AV360">
        <f t="shared" si="302"/>
        <v>-2.9343418240532175</v>
      </c>
      <c r="AW360">
        <f t="shared" si="303"/>
        <v>297.59242362624383</v>
      </c>
      <c r="AX360">
        <f t="shared" si="304"/>
        <v>-7951.9835865091854</v>
      </c>
      <c r="AY360">
        <f t="shared" si="312"/>
        <v>-1.5333901113695902</v>
      </c>
      <c r="BA360">
        <f t="shared" si="289"/>
        <v>1.5288459000677075</v>
      </c>
      <c r="BB360">
        <f t="shared" si="305"/>
        <v>3.6872742586325225</v>
      </c>
      <c r="BC360">
        <f t="shared" si="306"/>
        <v>-1.4009517126836273</v>
      </c>
      <c r="BD360">
        <f t="shared" si="290"/>
        <v>-260.26862053011644</v>
      </c>
      <c r="BF360">
        <f t="shared" si="291"/>
        <v>-43.389898303932803</v>
      </c>
      <c r="BG360">
        <f t="shared" si="292"/>
        <v>-179.51214769603146</v>
      </c>
      <c r="BH360">
        <f t="shared" si="307"/>
        <v>0.48785230396853763</v>
      </c>
      <c r="BI360">
        <f t="shared" si="308"/>
        <v>0.48785230396853763</v>
      </c>
      <c r="BJ360">
        <f t="shared" si="293"/>
        <v>0</v>
      </c>
      <c r="BK360">
        <f t="shared" si="309"/>
        <v>0</v>
      </c>
      <c r="BM360">
        <f t="shared" si="310"/>
        <v>-47.077172562565323</v>
      </c>
      <c r="BN360">
        <f t="shared" si="294"/>
        <v>-99.24352716591504</v>
      </c>
      <c r="BQ360" s="56">
        <f t="shared" si="311"/>
        <v>20.589235058917659</v>
      </c>
      <c r="BR360" s="59"/>
      <c r="BS360" s="59"/>
      <c r="BT360" s="59">
        <v>316227.766</v>
      </c>
      <c r="BU360" s="59">
        <v>15.331799999999999</v>
      </c>
      <c r="BV360" s="59">
        <v>-189.75</v>
      </c>
      <c r="BW360" s="61"/>
      <c r="BY360" s="59"/>
      <c r="BZ360" s="59"/>
      <c r="CA360" s="59"/>
      <c r="CC360" s="59"/>
    </row>
    <row r="361" spans="1:81" x14ac:dyDescent="0.25">
      <c r="A361">
        <f t="shared" si="263"/>
        <v>735000</v>
      </c>
      <c r="B361">
        <f t="shared" si="295"/>
        <v>735</v>
      </c>
      <c r="C361">
        <f t="shared" si="264"/>
        <v>6.1774235927434056</v>
      </c>
      <c r="D361">
        <f t="shared" si="265"/>
        <v>1.4082010608943369</v>
      </c>
      <c r="F361">
        <f t="shared" si="266"/>
        <v>4.7446019166938144E-5</v>
      </c>
      <c r="G361">
        <f t="shared" si="267"/>
        <v>2.3431748980775719E-3</v>
      </c>
      <c r="H361">
        <f t="shared" si="268"/>
        <v>-3.1392494751019226</v>
      </c>
      <c r="J361">
        <f t="shared" si="269"/>
        <v>15</v>
      </c>
      <c r="M361">
        <f t="shared" si="270"/>
        <v>2.0327945193239299E-3</v>
      </c>
      <c r="N361">
        <f t="shared" si="271"/>
        <v>-1.5707963250000001</v>
      </c>
      <c r="O361">
        <f t="shared" si="272"/>
        <v>187.97024295356016</v>
      </c>
      <c r="P361">
        <f t="shared" si="273"/>
        <v>1.5654763107040635</v>
      </c>
      <c r="Q361">
        <f t="shared" si="274"/>
        <v>159.09348888100203</v>
      </c>
      <c r="R361">
        <f t="shared" si="275"/>
        <v>1.5645106730451979</v>
      </c>
      <c r="S361">
        <f t="shared" si="276"/>
        <v>0.16442657323067786</v>
      </c>
      <c r="T361">
        <f t="shared" si="277"/>
        <v>-1.4056196828762717</v>
      </c>
      <c r="U361">
        <f t="shared" si="278"/>
        <v>0.20897144119389421</v>
      </c>
      <c r="V361">
        <f t="shared" si="279"/>
        <v>-1.3602732657341563</v>
      </c>
      <c r="X361">
        <f t="shared" si="296"/>
        <v>-40.740152900408269</v>
      </c>
      <c r="Y361">
        <f t="shared" si="280"/>
        <v>-168.32071679706004</v>
      </c>
      <c r="Z361">
        <f t="shared" si="297"/>
        <v>11.679283202939956</v>
      </c>
      <c r="AC361">
        <v>1</v>
      </c>
      <c r="AD361">
        <f t="shared" si="281"/>
        <v>187.967582939241</v>
      </c>
      <c r="AE361">
        <f t="shared" si="282"/>
        <v>-0.10416730058283263</v>
      </c>
      <c r="AF361">
        <f t="shared" si="283"/>
        <v>2.2259440562309999E-2</v>
      </c>
      <c r="AG361">
        <f t="shared" si="315"/>
        <v>359.57824397613717</v>
      </c>
      <c r="AH361">
        <f t="shared" si="316"/>
        <v>-1727.6397812272137</v>
      </c>
      <c r="AJ361">
        <f t="shared" si="284"/>
        <v>22100</v>
      </c>
      <c r="AK361">
        <f t="shared" si="285"/>
        <v>132577.13562629448</v>
      </c>
      <c r="AL361">
        <v>1</v>
      </c>
      <c r="AM361">
        <f t="shared" si="286"/>
        <v>159.09034604377953</v>
      </c>
      <c r="AN361">
        <f t="shared" si="317"/>
        <v>834.18516733220599</v>
      </c>
      <c r="AO361">
        <f t="shared" si="318"/>
        <v>-133.67130917432115</v>
      </c>
      <c r="AQ361">
        <f t="shared" si="287"/>
        <v>4.627699279143283E-3</v>
      </c>
      <c r="AR361">
        <f t="shared" si="288"/>
        <v>-6.8027179403406262</v>
      </c>
      <c r="AT361">
        <f t="shared" si="313"/>
        <v>-11750.982114220076</v>
      </c>
      <c r="AU361">
        <f t="shared" si="314"/>
        <v>-2454.1043686228518</v>
      </c>
      <c r="AV361">
        <f t="shared" si="302"/>
        <v>-2.9357093366159792</v>
      </c>
      <c r="AW361">
        <f t="shared" si="303"/>
        <v>305.08184342512357</v>
      </c>
      <c r="AX361">
        <f t="shared" si="304"/>
        <v>-7898.857336144255</v>
      </c>
      <c r="AY361">
        <f t="shared" si="312"/>
        <v>-1.5321919741270635</v>
      </c>
      <c r="BA361">
        <f t="shared" si="289"/>
        <v>1.5186454600431565</v>
      </c>
      <c r="BB361">
        <f t="shared" si="305"/>
        <v>3.6291279233545772</v>
      </c>
      <c r="BC361">
        <f t="shared" si="306"/>
        <v>-1.4035173624889157</v>
      </c>
      <c r="BD361">
        <f t="shared" si="290"/>
        <v>-260.41562143583599</v>
      </c>
      <c r="BF361">
        <f t="shared" si="291"/>
        <v>-43.508903648149008</v>
      </c>
      <c r="BG361">
        <f t="shared" si="292"/>
        <v>-179.59738981607629</v>
      </c>
      <c r="BH361">
        <f t="shared" si="307"/>
        <v>0.40261018392371284</v>
      </c>
      <c r="BI361">
        <f t="shared" si="308"/>
        <v>0.40261018392371284</v>
      </c>
      <c r="BJ361">
        <f t="shared" si="293"/>
        <v>0</v>
      </c>
      <c r="BK361">
        <f t="shared" si="309"/>
        <v>0</v>
      </c>
      <c r="BM361">
        <f t="shared" si="310"/>
        <v>-47.138031571503589</v>
      </c>
      <c r="BN361">
        <f t="shared" si="294"/>
        <v>-99.181768380240328</v>
      </c>
      <c r="BQ361" s="56">
        <f t="shared" si="311"/>
        <v>20.531088723639712</v>
      </c>
      <c r="BR361" s="59"/>
      <c r="BS361" s="59"/>
      <c r="BT361" s="59">
        <v>323593.65700000001</v>
      </c>
      <c r="BU361" s="59">
        <v>15.3347</v>
      </c>
      <c r="BV361" s="59">
        <v>-192.398</v>
      </c>
      <c r="BW361" s="61"/>
      <c r="BY361" s="59"/>
      <c r="BZ361" s="59"/>
      <c r="CA361" s="59"/>
      <c r="CC361" s="59"/>
    </row>
    <row r="362" spans="1:81" x14ac:dyDescent="0.25">
      <c r="A362">
        <f t="shared" si="263"/>
        <v>740000</v>
      </c>
      <c r="B362">
        <f t="shared" si="295"/>
        <v>740</v>
      </c>
      <c r="C362">
        <f t="shared" si="264"/>
        <v>6.2183492829627216</v>
      </c>
      <c r="D362">
        <f t="shared" si="265"/>
        <v>1.4092806074913753</v>
      </c>
      <c r="F362">
        <f t="shared" si="266"/>
        <v>4.6806994480229007E-5</v>
      </c>
      <c r="G362">
        <f t="shared" si="267"/>
        <v>2.3273411967081816E-3</v>
      </c>
      <c r="H362">
        <f t="shared" si="268"/>
        <v>-3.1392653088032922</v>
      </c>
      <c r="J362">
        <f t="shared" si="269"/>
        <v>15</v>
      </c>
      <c r="M362">
        <f t="shared" si="270"/>
        <v>2.0190594212203894E-3</v>
      </c>
      <c r="N362">
        <f t="shared" si="271"/>
        <v>-1.5707963250000001</v>
      </c>
      <c r="O362">
        <f t="shared" si="272"/>
        <v>189.24891602114522</v>
      </c>
      <c r="P362">
        <f t="shared" si="273"/>
        <v>1.5655122560873496</v>
      </c>
      <c r="Q362">
        <f t="shared" si="274"/>
        <v>160.17571489802916</v>
      </c>
      <c r="R362">
        <f t="shared" si="275"/>
        <v>1.5645531425713017</v>
      </c>
      <c r="S362">
        <f t="shared" si="276"/>
        <v>0.16334532409564831</v>
      </c>
      <c r="T362">
        <f t="shared" si="277"/>
        <v>-1.4067157516950839</v>
      </c>
      <c r="U362">
        <f t="shared" si="278"/>
        <v>0.20762053478613066</v>
      </c>
      <c r="V362">
        <f t="shared" si="279"/>
        <v>-1.3616544677746891</v>
      </c>
      <c r="X362">
        <f t="shared" si="296"/>
        <v>-40.85533376719571</v>
      </c>
      <c r="Y362">
        <f t="shared" si="280"/>
        <v>-168.39721485920427</v>
      </c>
      <c r="Z362">
        <f t="shared" si="297"/>
        <v>11.602785140795731</v>
      </c>
      <c r="AC362">
        <v>1</v>
      </c>
      <c r="AD362">
        <f t="shared" si="281"/>
        <v>189.246273979644</v>
      </c>
      <c r="AE362">
        <f t="shared" si="282"/>
        <v>-0.10558936331928205</v>
      </c>
      <c r="AF362">
        <f t="shared" si="283"/>
        <v>2.241086532804E-2</v>
      </c>
      <c r="AG362">
        <f t="shared" si="315"/>
        <v>354.94424755769745</v>
      </c>
      <c r="AH362">
        <f t="shared" si="316"/>
        <v>-1716.9500842662969</v>
      </c>
      <c r="AJ362">
        <f t="shared" si="284"/>
        <v>22100</v>
      </c>
      <c r="AK362">
        <f t="shared" si="285"/>
        <v>133479.02090266382</v>
      </c>
      <c r="AL362">
        <v>1</v>
      </c>
      <c r="AM362">
        <f t="shared" si="286"/>
        <v>160.17259329577803</v>
      </c>
      <c r="AN362">
        <f t="shared" si="317"/>
        <v>834.17385177270887</v>
      </c>
      <c r="AO362">
        <f t="shared" si="318"/>
        <v>-132.76819529891344</v>
      </c>
      <c r="AQ362">
        <f t="shared" si="287"/>
        <v>4.5653741027327872E-3</v>
      </c>
      <c r="AR362">
        <f t="shared" si="288"/>
        <v>-6.7567536720445256</v>
      </c>
      <c r="AT362">
        <f t="shared" si="313"/>
        <v>-11599.388333307745</v>
      </c>
      <c r="AU362">
        <f t="shared" si="314"/>
        <v>-2406.1093675069478</v>
      </c>
      <c r="AV362">
        <f t="shared" si="302"/>
        <v>-2.9370591897042808</v>
      </c>
      <c r="AW362">
        <f t="shared" si="303"/>
        <v>312.41422244246723</v>
      </c>
      <c r="AX362">
        <f t="shared" si="304"/>
        <v>-7846.4307890562804</v>
      </c>
      <c r="AY362">
        <f t="shared" si="312"/>
        <v>-1.5310012536735997</v>
      </c>
      <c r="BA362">
        <f t="shared" si="289"/>
        <v>1.5085758176811921</v>
      </c>
      <c r="BB362">
        <f t="shared" si="305"/>
        <v>3.5713428347761198</v>
      </c>
      <c r="BC362">
        <f t="shared" si="306"/>
        <v>-1.4060579360306811</v>
      </c>
      <c r="BD362">
        <f t="shared" si="290"/>
        <v>-260.56118557748806</v>
      </c>
      <c r="BF362">
        <f t="shared" si="291"/>
        <v>-43.627114620675727</v>
      </c>
      <c r="BG362">
        <f t="shared" si="292"/>
        <v>-179.6820076981233</v>
      </c>
      <c r="BH362">
        <f t="shared" si="307"/>
        <v>0.31799230187669991</v>
      </c>
      <c r="BI362">
        <f t="shared" si="308"/>
        <v>0.31799230187669991</v>
      </c>
      <c r="BJ362">
        <f t="shared" si="293"/>
        <v>0</v>
      </c>
      <c r="BK362">
        <f t="shared" si="309"/>
        <v>0</v>
      </c>
      <c r="BM362">
        <f t="shared" si="310"/>
        <v>-47.198457455451852</v>
      </c>
      <c r="BN362">
        <f t="shared" si="294"/>
        <v>-99.120822120635225</v>
      </c>
      <c r="BQ362" s="56">
        <f t="shared" si="311"/>
        <v>20.473303635061257</v>
      </c>
      <c r="BR362" s="59"/>
      <c r="BS362" s="59"/>
      <c r="BT362" s="59">
        <v>331131.12099999998</v>
      </c>
      <c r="BU362" s="59">
        <v>15.331</v>
      </c>
      <c r="BV362" s="59">
        <v>-194.60300000000001</v>
      </c>
      <c r="BW362" s="61"/>
      <c r="BY362" s="59"/>
      <c r="BZ362" s="59"/>
      <c r="CA362" s="59"/>
      <c r="CC362" s="59"/>
    </row>
    <row r="363" spans="1:81" x14ac:dyDescent="0.25">
      <c r="A363">
        <f t="shared" si="263"/>
        <v>745000</v>
      </c>
      <c r="B363">
        <f t="shared" si="295"/>
        <v>745</v>
      </c>
      <c r="C363">
        <f t="shared" si="264"/>
        <v>6.2592821254035975</v>
      </c>
      <c r="D363">
        <f t="shared" si="265"/>
        <v>1.410346035834553</v>
      </c>
      <c r="F363">
        <f t="shared" si="266"/>
        <v>4.6180793589262442E-5</v>
      </c>
      <c r="G363">
        <f t="shared" si="267"/>
        <v>2.3117200569176665E-3</v>
      </c>
      <c r="H363">
        <f t="shared" si="268"/>
        <v>-3.1392809299430824</v>
      </c>
      <c r="J363">
        <f t="shared" si="269"/>
        <v>15</v>
      </c>
      <c r="M363">
        <f t="shared" si="270"/>
        <v>2.0055086868497832E-3</v>
      </c>
      <c r="N363">
        <f t="shared" si="271"/>
        <v>-1.5707963250000001</v>
      </c>
      <c r="O363">
        <f t="shared" si="272"/>
        <v>190.52758932997114</v>
      </c>
      <c r="P363">
        <f t="shared" si="273"/>
        <v>1.565547718995651</v>
      </c>
      <c r="Q363">
        <f t="shared" si="274"/>
        <v>161.25794120008115</v>
      </c>
      <c r="R363">
        <f t="shared" si="275"/>
        <v>1.5645950420587231</v>
      </c>
      <c r="S363">
        <f t="shared" si="276"/>
        <v>0.16227801123479038</v>
      </c>
      <c r="T363">
        <f t="shared" si="277"/>
        <v>-1.4077974981772605</v>
      </c>
      <c r="U363">
        <f t="shared" si="278"/>
        <v>0.20628659621293308</v>
      </c>
      <c r="V363">
        <f t="shared" si="279"/>
        <v>-1.3630179242531588</v>
      </c>
      <c r="X363">
        <f t="shared" si="296"/>
        <v>-40.969772095893298</v>
      </c>
      <c r="Y363">
        <f t="shared" si="280"/>
        <v>-168.47273260816402</v>
      </c>
      <c r="Z363">
        <f t="shared" si="297"/>
        <v>11.527267391835977</v>
      </c>
      <c r="AC363">
        <v>1</v>
      </c>
      <c r="AD363">
        <f t="shared" si="281"/>
        <v>190.52496502004701</v>
      </c>
      <c r="AE363">
        <f t="shared" si="282"/>
        <v>-0.10702106715902944</v>
      </c>
      <c r="AF363">
        <f t="shared" si="283"/>
        <v>2.2562290093770001E-2</v>
      </c>
      <c r="AG363">
        <f t="shared" si="315"/>
        <v>350.3979456649655</v>
      </c>
      <c r="AH363">
        <f t="shared" si="316"/>
        <v>-1706.3853853216347</v>
      </c>
      <c r="AJ363">
        <f t="shared" si="284"/>
        <v>22100</v>
      </c>
      <c r="AK363">
        <f t="shared" si="285"/>
        <v>134380.90617903316</v>
      </c>
      <c r="AL363">
        <v>1</v>
      </c>
      <c r="AM363">
        <f t="shared" si="286"/>
        <v>161.25484054777652</v>
      </c>
      <c r="AN363">
        <f t="shared" si="317"/>
        <v>834.16276326619243</v>
      </c>
      <c r="AO363">
        <f t="shared" si="318"/>
        <v>-131.8772023493656</v>
      </c>
      <c r="AQ363">
        <f t="shared" si="287"/>
        <v>4.50429957916329E-3</v>
      </c>
      <c r="AR363">
        <f t="shared" si="288"/>
        <v>-6.7114063729533022</v>
      </c>
      <c r="AT363">
        <f t="shared" si="313"/>
        <v>-11450.667452442796</v>
      </c>
      <c r="AU363">
        <f t="shared" si="314"/>
        <v>-2359.3490765785887</v>
      </c>
      <c r="AV363">
        <f t="shared" si="302"/>
        <v>-2.9383917180084711</v>
      </c>
      <c r="AW363">
        <f t="shared" si="303"/>
        <v>319.59394269266039</v>
      </c>
      <c r="AX363">
        <f t="shared" si="304"/>
        <v>-7794.6903033267281</v>
      </c>
      <c r="AY363">
        <f t="shared" si="312"/>
        <v>-1.5298177864672002</v>
      </c>
      <c r="BA363">
        <f t="shared" si="289"/>
        <v>1.4986345067952989</v>
      </c>
      <c r="BB363">
        <f t="shared" si="305"/>
        <v>3.5139145644175942</v>
      </c>
      <c r="BC363">
        <f t="shared" si="306"/>
        <v>-1.4085739315412709</v>
      </c>
      <c r="BD363">
        <f t="shared" si="290"/>
        <v>-260.70534150168345</v>
      </c>
      <c r="BF363">
        <f t="shared" si="291"/>
        <v>-43.744541879679204</v>
      </c>
      <c r="BG363">
        <f t="shared" si="292"/>
        <v>-179.76601410019342</v>
      </c>
      <c r="BH363">
        <f t="shared" si="307"/>
        <v>0.23398589980658357</v>
      </c>
      <c r="BI363">
        <f t="shared" si="308"/>
        <v>0.23398589980658357</v>
      </c>
      <c r="BJ363">
        <f t="shared" si="293"/>
        <v>0</v>
      </c>
      <c r="BK363">
        <f t="shared" si="309"/>
        <v>0</v>
      </c>
      <c r="BM363">
        <f t="shared" si="310"/>
        <v>-47.258456444096801</v>
      </c>
      <c r="BN363">
        <f t="shared" si="294"/>
        <v>-99.060672598509967</v>
      </c>
      <c r="BQ363" s="56">
        <f t="shared" si="311"/>
        <v>20.415875364702728</v>
      </c>
      <c r="BR363" s="59"/>
      <c r="BS363" s="59"/>
      <c r="BT363" s="59">
        <v>338844.15600000002</v>
      </c>
      <c r="BU363" s="59">
        <v>15.2844</v>
      </c>
      <c r="BV363" s="59">
        <v>-197.85300000000001</v>
      </c>
      <c r="BW363" s="61"/>
      <c r="BY363" s="59"/>
      <c r="BZ363" s="59"/>
      <c r="CA363" s="59"/>
      <c r="CC363" s="59"/>
    </row>
    <row r="364" spans="1:81" x14ac:dyDescent="0.25">
      <c r="A364">
        <f t="shared" ref="A364:A427" si="319">A363+5000</f>
        <v>750000</v>
      </c>
      <c r="B364">
        <f t="shared" si="295"/>
        <v>750</v>
      </c>
      <c r="C364">
        <f t="shared" si="264"/>
        <v>6.3002219806610622</v>
      </c>
      <c r="D364">
        <f t="shared" si="265"/>
        <v>1.411397618709223</v>
      </c>
      <c r="F364">
        <f t="shared" si="266"/>
        <v>4.5567075643907804E-5</v>
      </c>
      <c r="G364">
        <f t="shared" si="267"/>
        <v>2.2963072267173749E-3</v>
      </c>
      <c r="H364">
        <f t="shared" si="268"/>
        <v>-3.139296342773283</v>
      </c>
      <c r="J364">
        <f t="shared" si="269"/>
        <v>15</v>
      </c>
      <c r="M364">
        <f t="shared" si="270"/>
        <v>1.9921386289374512E-3</v>
      </c>
      <c r="N364">
        <f t="shared" si="271"/>
        <v>-1.5707963250000001</v>
      </c>
      <c r="O364">
        <f t="shared" si="272"/>
        <v>191.80626287521321</v>
      </c>
      <c r="P364">
        <f t="shared" si="273"/>
        <v>1.5655827090781145</v>
      </c>
      <c r="Q364">
        <f t="shared" si="274"/>
        <v>162.34016778145778</v>
      </c>
      <c r="R364">
        <f t="shared" si="275"/>
        <v>1.5646363829076533</v>
      </c>
      <c r="S364">
        <f t="shared" si="276"/>
        <v>0.16122437066089385</v>
      </c>
      <c r="T364">
        <f t="shared" si="277"/>
        <v>-1.4088651987428664</v>
      </c>
      <c r="U364">
        <f t="shared" si="278"/>
        <v>0.20496931525160592</v>
      </c>
      <c r="V364">
        <f t="shared" si="279"/>
        <v>-1.3643639700036811</v>
      </c>
      <c r="X364">
        <f t="shared" si="296"/>
        <v>-41.08347720022131</v>
      </c>
      <c r="Y364">
        <f t="shared" si="280"/>
        <v>-168.54728847435746</v>
      </c>
      <c r="Z364">
        <f t="shared" si="297"/>
        <v>11.452711525642542</v>
      </c>
      <c r="AC364">
        <v>1</v>
      </c>
      <c r="AD364">
        <f t="shared" si="281"/>
        <v>191.80365606045001</v>
      </c>
      <c r="AE364">
        <f t="shared" si="282"/>
        <v>-0.1084624121020748</v>
      </c>
      <c r="AF364">
        <f t="shared" si="283"/>
        <v>2.2713714859499998E-2</v>
      </c>
      <c r="AG364">
        <f t="shared" si="315"/>
        <v>345.9371729049227</v>
      </c>
      <c r="AH364">
        <f t="shared" si="316"/>
        <v>-1695.9436378998553</v>
      </c>
      <c r="AJ364">
        <f t="shared" si="284"/>
        <v>22100</v>
      </c>
      <c r="AK364">
        <f t="shared" si="285"/>
        <v>135282.79145540253</v>
      </c>
      <c r="AL364">
        <v>1</v>
      </c>
      <c r="AM364">
        <f t="shared" si="286"/>
        <v>162.33708779977502</v>
      </c>
      <c r="AN364">
        <f t="shared" si="317"/>
        <v>834.151895778523</v>
      </c>
      <c r="AO364">
        <f t="shared" si="318"/>
        <v>-130.99808794433076</v>
      </c>
      <c r="AQ364">
        <f t="shared" si="287"/>
        <v>4.4444424691366807E-3</v>
      </c>
      <c r="AR364">
        <f t="shared" si="288"/>
        <v>-6.6666637037050203</v>
      </c>
      <c r="AT364">
        <f t="shared" si="313"/>
        <v>-11304.748396453504</v>
      </c>
      <c r="AU364">
        <f t="shared" si="314"/>
        <v>-2313.7843182971205</v>
      </c>
      <c r="AV364">
        <f t="shared" si="302"/>
        <v>-2.9397072479474584</v>
      </c>
      <c r="AW364">
        <f t="shared" si="303"/>
        <v>326.62523391768508</v>
      </c>
      <c r="AX364">
        <f t="shared" si="304"/>
        <v>-7743.6225875068876</v>
      </c>
      <c r="AY364">
        <f t="shared" si="312"/>
        <v>-1.5286414138589228</v>
      </c>
      <c r="BA364">
        <f t="shared" si="289"/>
        <v>1.4888191214871236</v>
      </c>
      <c r="BB364">
        <f t="shared" si="305"/>
        <v>3.4568387594533423</v>
      </c>
      <c r="BC364">
        <f t="shared" si="306"/>
        <v>-1.4110658340885356</v>
      </c>
      <c r="BD364">
        <f t="shared" si="290"/>
        <v>-260.84811700076278</v>
      </c>
      <c r="BF364">
        <f t="shared" si="291"/>
        <v>-43.861195872609116</v>
      </c>
      <c r="BG364">
        <f t="shared" si="292"/>
        <v>-179.84942142879891</v>
      </c>
      <c r="BH364">
        <f t="shared" si="307"/>
        <v>0.15057857120109475</v>
      </c>
      <c r="BI364">
        <f t="shared" si="308"/>
        <v>0.15057857120109475</v>
      </c>
      <c r="BJ364">
        <f t="shared" si="293"/>
        <v>0</v>
      </c>
      <c r="BK364">
        <f t="shared" si="309"/>
        <v>0</v>
      </c>
      <c r="BM364">
        <f t="shared" si="310"/>
        <v>-47.318034632062471</v>
      </c>
      <c r="BN364">
        <f t="shared" si="294"/>
        <v>-99.001304428036121</v>
      </c>
      <c r="BQ364" s="56">
        <f t="shared" si="311"/>
        <v>20.358799559738479</v>
      </c>
      <c r="BR364" s="59"/>
      <c r="BS364" s="59"/>
      <c r="BT364" s="59">
        <v>346736.85</v>
      </c>
      <c r="BU364" s="59">
        <v>15.295400000000001</v>
      </c>
      <c r="BV364" s="59">
        <v>-200.482</v>
      </c>
      <c r="BW364" s="61"/>
      <c r="BY364" s="59"/>
      <c r="BZ364" s="59"/>
      <c r="CA364" s="59"/>
      <c r="CC364" s="59"/>
    </row>
    <row r="365" spans="1:81" x14ac:dyDescent="0.25">
      <c r="A365">
        <f t="shared" si="319"/>
        <v>755000</v>
      </c>
      <c r="B365">
        <f t="shared" si="295"/>
        <v>755</v>
      </c>
      <c r="C365">
        <f t="shared" si="264"/>
        <v>6.3411687129066703</v>
      </c>
      <c r="D365">
        <f t="shared" si="265"/>
        <v>1.4124356219792316</v>
      </c>
      <c r="F365">
        <f t="shared" si="266"/>
        <v>4.49655110439333E-5</v>
      </c>
      <c r="G365">
        <f t="shared" si="267"/>
        <v>2.2810985667789385E-3</v>
      </c>
      <c r="H365">
        <f t="shared" si="268"/>
        <v>-3.139311551433221</v>
      </c>
      <c r="J365">
        <f t="shared" si="269"/>
        <v>15</v>
      </c>
      <c r="M365">
        <f t="shared" si="270"/>
        <v>1.9789456578848852E-3</v>
      </c>
      <c r="N365">
        <f t="shared" si="271"/>
        <v>-1.5707963250000001</v>
      </c>
      <c r="O365">
        <f t="shared" si="272"/>
        <v>193.08493665217458</v>
      </c>
      <c r="P365">
        <f t="shared" si="273"/>
        <v>1.5656172357282911</v>
      </c>
      <c r="Q365">
        <f t="shared" si="274"/>
        <v>163.42239463660974</v>
      </c>
      <c r="R365">
        <f t="shared" si="275"/>
        <v>1.5646771762163103</v>
      </c>
      <c r="S365">
        <f t="shared" si="276"/>
        <v>0.16018414491543462</v>
      </c>
      <c r="T365">
        <f t="shared" si="277"/>
        <v>-1.4099191228080725</v>
      </c>
      <c r="U365">
        <f t="shared" si="278"/>
        <v>0.20366838900239698</v>
      </c>
      <c r="V365">
        <f t="shared" si="279"/>
        <v>-1.365692931615716</v>
      </c>
      <c r="X365">
        <f t="shared" si="296"/>
        <v>-41.196458223396959</v>
      </c>
      <c r="Y365">
        <f t="shared" si="280"/>
        <v>-168.62090043658964</v>
      </c>
      <c r="Z365">
        <f t="shared" si="297"/>
        <v>11.379099563410364</v>
      </c>
      <c r="AC365">
        <v>1</v>
      </c>
      <c r="AD365">
        <f t="shared" si="281"/>
        <v>193.08234710085299</v>
      </c>
      <c r="AE365">
        <f t="shared" si="282"/>
        <v>-0.10991339814841812</v>
      </c>
      <c r="AF365">
        <f t="shared" si="283"/>
        <v>2.2865139625229999E-2</v>
      </c>
      <c r="AG365">
        <f t="shared" si="315"/>
        <v>341.55982924591905</v>
      </c>
      <c r="AH365">
        <f t="shared" si="316"/>
        <v>-1685.6228361222929</v>
      </c>
      <c r="AJ365">
        <f t="shared" si="284"/>
        <v>22100</v>
      </c>
      <c r="AK365">
        <f t="shared" si="285"/>
        <v>136184.67673177188</v>
      </c>
      <c r="AL365">
        <v>1</v>
      </c>
      <c r="AM365">
        <f t="shared" si="286"/>
        <v>163.41933505177352</v>
      </c>
      <c r="AN365">
        <f t="shared" si="317"/>
        <v>834.14124347469294</v>
      </c>
      <c r="AO365">
        <f t="shared" si="318"/>
        <v>-130.1306161219417</v>
      </c>
      <c r="AQ365">
        <f t="shared" si="287"/>
        <v>4.3857706303361121E-3</v>
      </c>
      <c r="AR365">
        <f t="shared" si="288"/>
        <v>-6.6225136518075294</v>
      </c>
      <c r="AT365">
        <f t="shared" si="313"/>
        <v>-11161.562240950801</v>
      </c>
      <c r="AU365">
        <f t="shared" si="314"/>
        <v>-2269.3773872186366</v>
      </c>
      <c r="AV365">
        <f t="shared" si="302"/>
        <v>-2.9410060979184052</v>
      </c>
      <c r="AW365">
        <f t="shared" si="303"/>
        <v>333.51217990300847</v>
      </c>
      <c r="AX365">
        <f t="shared" si="304"/>
        <v>-7693.2146894771486</v>
      </c>
      <c r="AY365">
        <f t="shared" si="312"/>
        <v>-1.5274719819126572</v>
      </c>
      <c r="BA365">
        <f t="shared" si="289"/>
        <v>1.4791273143643469</v>
      </c>
      <c r="BB365">
        <f t="shared" si="305"/>
        <v>3.4001111411445661</v>
      </c>
      <c r="BC365">
        <f t="shared" si="306"/>
        <v>-1.413534116005748</v>
      </c>
      <c r="BD365">
        <f t="shared" si="290"/>
        <v>-260.98953913742912</v>
      </c>
      <c r="BF365">
        <f t="shared" si="291"/>
        <v>-43.97708684166912</v>
      </c>
      <c r="BG365">
        <f t="shared" si="292"/>
        <v>-179.93224175093249</v>
      </c>
      <c r="BH365">
        <f t="shared" si="307"/>
        <v>6.7758249067509269E-2</v>
      </c>
      <c r="BI365">
        <f t="shared" si="308"/>
        <v>6.7758249067509269E-2</v>
      </c>
      <c r="BJ365">
        <f t="shared" si="293"/>
        <v>0</v>
      </c>
      <c r="BK365">
        <f t="shared" si="309"/>
        <v>0</v>
      </c>
      <c r="BM365">
        <f t="shared" si="310"/>
        <v>-47.377197982813691</v>
      </c>
      <c r="BN365">
        <f t="shared" si="294"/>
        <v>-98.9427026135034</v>
      </c>
      <c r="BQ365" s="56">
        <f t="shared" si="311"/>
        <v>20.302071941429706</v>
      </c>
      <c r="BR365" s="59"/>
      <c r="BS365" s="59"/>
      <c r="BT365" s="59">
        <v>354813.38900000002</v>
      </c>
      <c r="BU365" s="59">
        <v>15.3028</v>
      </c>
      <c r="BV365" s="59">
        <v>-203.33199999999999</v>
      </c>
      <c r="BW365" s="61"/>
      <c r="BY365" s="59"/>
      <c r="BZ365" s="59"/>
      <c r="CA365" s="59"/>
      <c r="CC365" s="59"/>
    </row>
    <row r="366" spans="1:81" x14ac:dyDescent="0.25">
      <c r="A366">
        <f t="shared" si="319"/>
        <v>760000</v>
      </c>
      <c r="B366">
        <f t="shared" si="295"/>
        <v>760</v>
      </c>
      <c r="C366">
        <f t="shared" si="264"/>
        <v>6.3821221897752718</v>
      </c>
      <c r="D366">
        <f t="shared" si="265"/>
        <v>1.4134603048031105</v>
      </c>
      <c r="F366">
        <f t="shared" si="266"/>
        <v>4.4375780996354246E-5</v>
      </c>
      <c r="G366">
        <f t="shared" si="267"/>
        <v>2.2660900467273708E-3</v>
      </c>
      <c r="H366">
        <f t="shared" si="268"/>
        <v>-3.1393265599532727</v>
      </c>
      <c r="J366">
        <f t="shared" si="269"/>
        <v>15</v>
      </c>
      <c r="M366">
        <f t="shared" si="270"/>
        <v>1.9659262785566953E-3</v>
      </c>
      <c r="N366">
        <f t="shared" si="271"/>
        <v>-1.5707963250000001</v>
      </c>
      <c r="O366">
        <f t="shared" si="272"/>
        <v>194.36361065628196</v>
      </c>
      <c r="P366">
        <f t="shared" si="273"/>
        <v>1.5656513080925447</v>
      </c>
      <c r="Q366">
        <f t="shared" si="274"/>
        <v>164.5046217601338</v>
      </c>
      <c r="R366">
        <f t="shared" si="275"/>
        <v>1.5647174327908724</v>
      </c>
      <c r="S366">
        <f t="shared" si="276"/>
        <v>0.15915708287114338</v>
      </c>
      <c r="T366">
        <f t="shared" si="277"/>
        <v>-1.4109595330035478</v>
      </c>
      <c r="U366">
        <f t="shared" si="278"/>
        <v>0.20238352168001639</v>
      </c>
      <c r="V366">
        <f t="shared" si="279"/>
        <v>-1.3670051276822641</v>
      </c>
      <c r="X366">
        <f t="shared" si="296"/>
        <v>-41.308724142183436</v>
      </c>
      <c r="Y366">
        <f t="shared" si="280"/>
        <v>-168.69358603556074</v>
      </c>
      <c r="Z366">
        <f t="shared" si="297"/>
        <v>11.306413964439258</v>
      </c>
      <c r="AC366">
        <v>1</v>
      </c>
      <c r="AD366">
        <f t="shared" si="281"/>
        <v>194.36103814125599</v>
      </c>
      <c r="AE366">
        <f t="shared" si="282"/>
        <v>-0.1113740252980594</v>
      </c>
      <c r="AF366">
        <f t="shared" si="283"/>
        <v>2.301656439096E-2</v>
      </c>
      <c r="AG366">
        <f t="shared" si="315"/>
        <v>337.26387770497445</v>
      </c>
      <c r="AH366">
        <f t="shared" si="316"/>
        <v>-1675.4210138669191</v>
      </c>
      <c r="AJ366">
        <f t="shared" si="284"/>
        <v>22100</v>
      </c>
      <c r="AK366">
        <f t="shared" si="285"/>
        <v>137086.56200814122</v>
      </c>
      <c r="AL366">
        <v>1</v>
      </c>
      <c r="AM366">
        <f t="shared" si="286"/>
        <v>164.50158230377204</v>
      </c>
      <c r="AN366">
        <f t="shared" si="317"/>
        <v>834.1308007109883</v>
      </c>
      <c r="AO366">
        <f t="shared" si="318"/>
        <v>-129.27455712869079</v>
      </c>
      <c r="AQ366">
        <f t="shared" si="287"/>
        <v>4.3282529742672375E-3</v>
      </c>
      <c r="AR366">
        <f t="shared" si="288"/>
        <v>-6.5789445208862007</v>
      </c>
      <c r="AT366">
        <f t="shared" si="313"/>
        <v>-11021.04213597558</v>
      </c>
      <c r="AU366">
        <f t="shared" si="314"/>
        <v>-2226.0919863063946</v>
      </c>
      <c r="AV366">
        <f t="shared" si="302"/>
        <v>-2.9422885785375881</v>
      </c>
      <c r="AW366">
        <f t="shared" si="303"/>
        <v>340.25872448988036</v>
      </c>
      <c r="AX366">
        <f t="shared" si="304"/>
        <v>-7643.4539857277323</v>
      </c>
      <c r="AY366">
        <f t="shared" si="312"/>
        <v>-1.526309341232742</v>
      </c>
      <c r="BA366">
        <f t="shared" si="289"/>
        <v>1.469556794819223</v>
      </c>
      <c r="BB366">
        <f t="shared" si="305"/>
        <v>3.3437275033063285</v>
      </c>
      <c r="BC366">
        <f t="shared" si="306"/>
        <v>-1.4159792373048461</v>
      </c>
      <c r="BD366">
        <f t="shared" si="290"/>
        <v>-261.12963426842504</v>
      </c>
      <c r="BF366">
        <f t="shared" si="291"/>
        <v>-44.092224829112936</v>
      </c>
      <c r="BG366">
        <f t="shared" si="292"/>
        <v>-180.01448680557024</v>
      </c>
      <c r="BH366">
        <f t="shared" si="307"/>
        <v>-1.4486805570243177E-2</v>
      </c>
      <c r="BI366">
        <f t="shared" si="308"/>
        <v>-1.4486805570243177E-2</v>
      </c>
      <c r="BJ366">
        <f t="shared" si="293"/>
        <v>0</v>
      </c>
      <c r="BK366">
        <f t="shared" si="309"/>
        <v>0</v>
      </c>
      <c r="BM366">
        <f t="shared" si="310"/>
        <v>-47.435952332419262</v>
      </c>
      <c r="BN366">
        <f t="shared" si="294"/>
        <v>-98.884852537145193</v>
      </c>
      <c r="BQ366" s="56">
        <f t="shared" si="311"/>
        <v>20.245688303591468</v>
      </c>
      <c r="BR366" s="59"/>
      <c r="BS366" s="59"/>
      <c r="BT366" s="59">
        <v>363078.05499999999</v>
      </c>
      <c r="BU366" s="59">
        <v>15.049200000000001</v>
      </c>
      <c r="BV366" s="59">
        <v>-205.19499999999999</v>
      </c>
      <c r="BW366" s="61"/>
      <c r="BY366" s="59"/>
      <c r="BZ366" s="59"/>
      <c r="CA366" s="59"/>
      <c r="CC366" s="59"/>
    </row>
    <row r="367" spans="1:81" x14ac:dyDescent="0.25">
      <c r="A367">
        <f t="shared" si="319"/>
        <v>765000</v>
      </c>
      <c r="B367">
        <f t="shared" si="295"/>
        <v>765</v>
      </c>
      <c r="C367">
        <f t="shared" si="264"/>
        <v>6.4230822822560221</v>
      </c>
      <c r="D367">
        <f t="shared" si="265"/>
        <v>1.4144719198422897</v>
      </c>
      <c r="F367">
        <f t="shared" si="266"/>
        <v>4.3797577092969109E-5</v>
      </c>
      <c r="G367">
        <f t="shared" si="267"/>
        <v>2.2512777415795802E-3</v>
      </c>
      <c r="H367">
        <f t="shared" si="268"/>
        <v>-3.1393413722584205</v>
      </c>
      <c r="J367">
        <f t="shared" si="269"/>
        <v>15</v>
      </c>
      <c r="M367">
        <f t="shared" si="270"/>
        <v>1.9530770871935795E-3</v>
      </c>
      <c r="N367">
        <f t="shared" si="271"/>
        <v>-1.5707963250000001</v>
      </c>
      <c r="O367">
        <f t="shared" si="272"/>
        <v>195.64228488308163</v>
      </c>
      <c r="P367">
        <f t="shared" si="273"/>
        <v>1.5656849350781292</v>
      </c>
      <c r="Q367">
        <f t="shared" si="274"/>
        <v>165.58684914676789</v>
      </c>
      <c r="R367">
        <f t="shared" si="275"/>
        <v>1.5647571631550208</v>
      </c>
      <c r="S367">
        <f t="shared" si="276"/>
        <v>0.1581429395415718</v>
      </c>
      <c r="T367">
        <f t="shared" si="277"/>
        <v>-1.4119866853848067</v>
      </c>
      <c r="U367">
        <f t="shared" si="278"/>
        <v>0.20111442441198749</v>
      </c>
      <c r="V367">
        <f t="shared" si="279"/>
        <v>-1.3683008690393035</v>
      </c>
      <c r="X367">
        <f t="shared" si="296"/>
        <v>-41.420283770821953</v>
      </c>
      <c r="Y367">
        <f t="shared" si="280"/>
        <v>-168.76536238690156</v>
      </c>
      <c r="Z367">
        <f t="shared" si="297"/>
        <v>11.234637613098442</v>
      </c>
      <c r="AC367">
        <v>1</v>
      </c>
      <c r="AD367">
        <f t="shared" si="281"/>
        <v>195.63972918165902</v>
      </c>
      <c r="AE367">
        <f t="shared" si="282"/>
        <v>-0.11284429355099863</v>
      </c>
      <c r="AF367">
        <f t="shared" si="283"/>
        <v>2.3167989156690001E-2</v>
      </c>
      <c r="AG367">
        <f t="shared" si="315"/>
        <v>333.04734212818573</v>
      </c>
      <c r="AH367">
        <f t="shared" si="316"/>
        <v>-1665.3362439248103</v>
      </c>
      <c r="AJ367">
        <f t="shared" si="284"/>
        <v>22100</v>
      </c>
      <c r="AK367">
        <f t="shared" si="285"/>
        <v>137988.44728451056</v>
      </c>
      <c r="AL367">
        <v>1</v>
      </c>
      <c r="AM367">
        <f t="shared" si="286"/>
        <v>165.58382955577054</v>
      </c>
      <c r="AN367">
        <f t="shared" si="317"/>
        <v>834.12056202751251</v>
      </c>
      <c r="AO367">
        <f t="shared" si="318"/>
        <v>-128.42968721658835</v>
      </c>
      <c r="AQ367">
        <f t="shared" si="287"/>
        <v>4.2718594250675274E-3</v>
      </c>
      <c r="AR367">
        <f t="shared" si="288"/>
        <v>-6.5359449203533169</v>
      </c>
      <c r="AT367">
        <f t="shared" si="313"/>
        <v>-10883.123232733173</v>
      </c>
      <c r="AU367">
        <f t="shared" si="314"/>
        <v>-2183.8931663494054</v>
      </c>
      <c r="AV367">
        <f t="shared" si="302"/>
        <v>-2.9435549928727944</v>
      </c>
      <c r="AW367">
        <f t="shared" si="303"/>
        <v>346.86867730057077</v>
      </c>
      <c r="AX367">
        <f t="shared" si="304"/>
        <v>-7594.3281710423653</v>
      </c>
      <c r="AY367">
        <f t="shared" si="312"/>
        <v>-1.5251533467990341</v>
      </c>
      <c r="BA367">
        <f t="shared" si="289"/>
        <v>1.4601053273655105</v>
      </c>
      <c r="BB367">
        <f t="shared" si="305"/>
        <v>3.2876837108081132</v>
      </c>
      <c r="BC367">
        <f t="shared" si="306"/>
        <v>-1.4184016460737603</v>
      </c>
      <c r="BD367">
        <f t="shared" si="290"/>
        <v>-261.26842806729792</v>
      </c>
      <c r="BF367">
        <f t="shared" si="291"/>
        <v>-44.206619682372555</v>
      </c>
      <c r="BG367">
        <f t="shared" si="292"/>
        <v>-180.09616801471074</v>
      </c>
      <c r="BH367">
        <f t="shared" si="307"/>
        <v>-9.6168014710741545E-2</v>
      </c>
      <c r="BI367">
        <f t="shared" si="308"/>
        <v>-9.6168014710741545E-2</v>
      </c>
      <c r="BJ367">
        <f t="shared" si="293"/>
        <v>0</v>
      </c>
      <c r="BK367">
        <f t="shared" si="309"/>
        <v>0</v>
      </c>
      <c r="BM367">
        <f t="shared" si="310"/>
        <v>-47.494303393180672</v>
      </c>
      <c r="BN367">
        <f t="shared" si="294"/>
        <v>-98.827739947412823</v>
      </c>
      <c r="BQ367" s="56">
        <f t="shared" si="311"/>
        <v>20.189644511093249</v>
      </c>
      <c r="BR367" s="59"/>
      <c r="BS367" s="59"/>
      <c r="BT367" s="59">
        <v>371535.22899999999</v>
      </c>
      <c r="BU367" s="59">
        <v>14.9002</v>
      </c>
      <c r="BV367" s="59">
        <v>-207.41</v>
      </c>
      <c r="BW367" s="61"/>
      <c r="BY367" s="59"/>
      <c r="BZ367" s="59"/>
      <c r="CA367" s="59"/>
      <c r="CC367" s="59"/>
    </row>
    <row r="368" spans="1:81" x14ac:dyDescent="0.25">
      <c r="A368">
        <f t="shared" si="319"/>
        <v>770000</v>
      </c>
      <c r="B368">
        <f t="shared" si="295"/>
        <v>770</v>
      </c>
      <c r="C368">
        <f t="shared" si="264"/>
        <v>6.464048864587455</v>
      </c>
      <c r="D368">
        <f t="shared" si="265"/>
        <v>1.4154707134616713</v>
      </c>
      <c r="F368">
        <f t="shared" si="266"/>
        <v>4.3230600907038021E-5</v>
      </c>
      <c r="G368">
        <f t="shared" si="267"/>
        <v>2.2366578283216812E-3</v>
      </c>
      <c r="H368">
        <f t="shared" si="268"/>
        <v>-3.1393559921716787</v>
      </c>
      <c r="J368">
        <f t="shared" si="269"/>
        <v>15</v>
      </c>
      <c r="M368">
        <f t="shared" si="270"/>
        <v>1.9403947684455696E-3</v>
      </c>
      <c r="N368">
        <f t="shared" si="271"/>
        <v>-1.5707963250000001</v>
      </c>
      <c r="O368">
        <f t="shared" si="272"/>
        <v>196.92095932823551</v>
      </c>
      <c r="P368">
        <f t="shared" si="273"/>
        <v>1.5657181253609511</v>
      </c>
      <c r="Q368">
        <f t="shared" si="274"/>
        <v>166.66907679138671</v>
      </c>
      <c r="R368">
        <f t="shared" si="275"/>
        <v>1.5647963775591105</v>
      </c>
      <c r="S368">
        <f t="shared" si="276"/>
        <v>0.15714147589737501</v>
      </c>
      <c r="T368">
        <f t="shared" si="277"/>
        <v>-1.4130008296348546</v>
      </c>
      <c r="U368">
        <f t="shared" si="278"/>
        <v>0.1998608150435808</v>
      </c>
      <c r="V368">
        <f t="shared" si="279"/>
        <v>-1.3695804589968188</v>
      </c>
      <c r="X368">
        <f t="shared" si="296"/>
        <v>-41.531145764850947</v>
      </c>
      <c r="Y368">
        <f t="shared" si="280"/>
        <v>-168.83624619375507</v>
      </c>
      <c r="Z368">
        <f t="shared" si="297"/>
        <v>11.163753806244927</v>
      </c>
      <c r="AC368">
        <v>1</v>
      </c>
      <c r="AD368">
        <f t="shared" si="281"/>
        <v>196.918420222062</v>
      </c>
      <c r="AE368">
        <f t="shared" si="282"/>
        <v>-0.11432420290723579</v>
      </c>
      <c r="AF368">
        <f t="shared" si="283"/>
        <v>2.3319413922419999E-2</v>
      </c>
      <c r="AG368">
        <f t="shared" si="315"/>
        <v>328.90830506007364</v>
      </c>
      <c r="AH368">
        <f t="shared" si="316"/>
        <v>-1655.3666371713375</v>
      </c>
      <c r="AJ368">
        <f t="shared" si="284"/>
        <v>22100</v>
      </c>
      <c r="AK368">
        <f t="shared" si="285"/>
        <v>138890.33256087994</v>
      </c>
      <c r="AL368">
        <v>1</v>
      </c>
      <c r="AM368">
        <f t="shared" si="286"/>
        <v>166.66607680776903</v>
      </c>
      <c r="AN368">
        <f t="shared" si="317"/>
        <v>834.11052214104757</v>
      </c>
      <c r="AO368">
        <f t="shared" si="318"/>
        <v>-127.59578844822042</v>
      </c>
      <c r="AQ368">
        <f t="shared" si="287"/>
        <v>4.2165608801817845E-3</v>
      </c>
      <c r="AR368">
        <f t="shared" si="288"/>
        <v>-6.4935037554799475</v>
      </c>
      <c r="AT368">
        <f t="shared" si="313"/>
        <v>-10747.74261327601</v>
      </c>
      <c r="AU368">
        <f t="shared" si="314"/>
        <v>-2142.7472683207875</v>
      </c>
      <c r="AV368">
        <f t="shared" si="302"/>
        <v>-2.9448056366675774</v>
      </c>
      <c r="AW368">
        <f t="shared" si="303"/>
        <v>353.34571919211356</v>
      </c>
      <c r="AX368">
        <f t="shared" si="304"/>
        <v>-7545.8252485673502</v>
      </c>
      <c r="AY368">
        <f t="shared" si="312"/>
        <v>-1.5240038578090609</v>
      </c>
      <c r="BA368">
        <f t="shared" si="289"/>
        <v>1.4507707300315951</v>
      </c>
      <c r="BB368">
        <f t="shared" si="305"/>
        <v>3.231975698107334</v>
      </c>
      <c r="BC368">
        <f t="shared" si="306"/>
        <v>-1.4208017788585166</v>
      </c>
      <c r="BD368">
        <f t="shared" si="290"/>
        <v>-261.40594554629257</v>
      </c>
      <c r="BF368">
        <f t="shared" si="291"/>
        <v>-44.320281059024765</v>
      </c>
      <c r="BG368">
        <f t="shared" si="292"/>
        <v>-180.17729649397234</v>
      </c>
      <c r="BH368">
        <f t="shared" si="307"/>
        <v>-0.17729649397233516</v>
      </c>
      <c r="BI368">
        <f t="shared" si="308"/>
        <v>-0.17729649397233516</v>
      </c>
      <c r="BJ368">
        <f t="shared" si="293"/>
        <v>0</v>
      </c>
      <c r="BK368">
        <f t="shared" si="309"/>
        <v>0</v>
      </c>
      <c r="BM368">
        <f t="shared" si="310"/>
        <v>-47.552256757132099</v>
      </c>
      <c r="BN368">
        <f t="shared" si="294"/>
        <v>-98.771350947679764</v>
      </c>
      <c r="BQ368" s="56">
        <f t="shared" si="311"/>
        <v>20.133936498392472</v>
      </c>
      <c r="BR368" s="59"/>
      <c r="BS368" s="59"/>
      <c r="BT368" s="59">
        <v>380189.39600000001</v>
      </c>
      <c r="BU368" s="59">
        <v>14.938000000000001</v>
      </c>
      <c r="BV368" s="59">
        <v>-210.39400000000001</v>
      </c>
      <c r="BW368" s="61"/>
      <c r="BY368" s="59"/>
      <c r="BZ368" s="59"/>
      <c r="CA368" s="59"/>
      <c r="CC368" s="59"/>
    </row>
    <row r="369" spans="1:81" x14ac:dyDescent="0.25">
      <c r="A369">
        <f t="shared" si="319"/>
        <v>775000</v>
      </c>
      <c r="B369">
        <f t="shared" si="295"/>
        <v>775</v>
      </c>
      <c r="C369">
        <f t="shared" si="264"/>
        <v>6.5050218141564553</v>
      </c>
      <c r="D369">
        <f t="shared" si="265"/>
        <v>1.4164569259228834</v>
      </c>
      <c r="F369">
        <f t="shared" si="266"/>
        <v>4.2674563608118575E-5</v>
      </c>
      <c r="G369">
        <f t="shared" si="267"/>
        <v>2.2222265826188393E-3</v>
      </c>
      <c r="H369">
        <f t="shared" si="268"/>
        <v>-3.1393704234173812</v>
      </c>
      <c r="J369">
        <f t="shared" si="269"/>
        <v>15</v>
      </c>
      <c r="M369">
        <f t="shared" si="270"/>
        <v>1.927876092520114E-3</v>
      </c>
      <c r="N369">
        <f t="shared" si="271"/>
        <v>-1.5707963250000001</v>
      </c>
      <c r="O369">
        <f t="shared" si="272"/>
        <v>198.19963398751756</v>
      </c>
      <c r="P369">
        <f t="shared" si="273"/>
        <v>1.5657508873930321</v>
      </c>
      <c r="Q369">
        <f t="shared" si="274"/>
        <v>167.75130468899721</v>
      </c>
      <c r="R369">
        <f t="shared" si="275"/>
        <v>1.5648350859889875</v>
      </c>
      <c r="S369">
        <f t="shared" si="276"/>
        <v>0.15615245868904032</v>
      </c>
      <c r="T369">
        <f t="shared" si="277"/>
        <v>-1.4140022092594549</v>
      </c>
      <c r="U369">
        <f t="shared" si="278"/>
        <v>0.19862241794909272</v>
      </c>
      <c r="V369">
        <f t="shared" si="279"/>
        <v>-1.3708441935617559</v>
      </c>
      <c r="X369">
        <f t="shared" si="296"/>
        <v>-41.641318624815931</v>
      </c>
      <c r="Y369">
        <f t="shared" si="280"/>
        <v>-168.90625375892193</v>
      </c>
      <c r="Z369">
        <f t="shared" si="297"/>
        <v>11.093746241078065</v>
      </c>
      <c r="AC369">
        <v>1</v>
      </c>
      <c r="AD369">
        <f t="shared" si="281"/>
        <v>198.197111262465</v>
      </c>
      <c r="AE369">
        <f t="shared" si="282"/>
        <v>-0.11581375336677095</v>
      </c>
      <c r="AF369">
        <f t="shared" si="283"/>
        <v>2.347083868815E-2</v>
      </c>
      <c r="AG369">
        <f t="shared" si="315"/>
        <v>324.84490569790262</v>
      </c>
      <c r="AH369">
        <f t="shared" si="316"/>
        <v>-1645.5103417522168</v>
      </c>
      <c r="AJ369">
        <f t="shared" si="284"/>
        <v>22100</v>
      </c>
      <c r="AK369">
        <f t="shared" si="285"/>
        <v>139792.21783724928</v>
      </c>
      <c r="AL369">
        <v>1</v>
      </c>
      <c r="AM369">
        <f t="shared" si="286"/>
        <v>167.7483240597675</v>
      </c>
      <c r="AN369">
        <f t="shared" si="317"/>
        <v>834.10067593823783</v>
      </c>
      <c r="AO369">
        <f t="shared" si="318"/>
        <v>-126.7726485093519</v>
      </c>
      <c r="AQ369">
        <f t="shared" si="287"/>
        <v>4.1623291728078368E-3</v>
      </c>
      <c r="AR369">
        <f t="shared" si="288"/>
        <v>-6.4516102178521466</v>
      </c>
      <c r="AT369">
        <f t="shared" si="313"/>
        <v>-10614.839223002355</v>
      </c>
      <c r="AU369">
        <f t="shared" si="314"/>
        <v>-2102.6218685174376</v>
      </c>
      <c r="AV369">
        <f t="shared" si="302"/>
        <v>-2.9460407985577066</v>
      </c>
      <c r="AW369">
        <f t="shared" si="303"/>
        <v>359.6934074531398</v>
      </c>
      <c r="AX369">
        <f t="shared" si="304"/>
        <v>-7497.9335202493294</v>
      </c>
      <c r="AY369">
        <f t="shared" si="312"/>
        <v>-1.5228607375269039</v>
      </c>
      <c r="BA369">
        <f t="shared" si="289"/>
        <v>1.4415508728077155</v>
      </c>
      <c r="BB369">
        <f t="shared" si="305"/>
        <v>3.1765994678153238</v>
      </c>
      <c r="BC369">
        <f t="shared" si="306"/>
        <v>-1.4231800610308027</v>
      </c>
      <c r="BD369">
        <f t="shared" si="290"/>
        <v>-261.54221107741148</v>
      </c>
      <c r="BF369">
        <f t="shared" si="291"/>
        <v>-44.433218431601986</v>
      </c>
      <c r="BG369">
        <f t="shared" si="292"/>
        <v>-180.2578830627688</v>
      </c>
      <c r="BH369">
        <f t="shared" si="307"/>
        <v>-0.2578830627687978</v>
      </c>
      <c r="BI369">
        <f t="shared" si="308"/>
        <v>-0.2578830627687978</v>
      </c>
      <c r="BJ369">
        <f t="shared" si="293"/>
        <v>0</v>
      </c>
      <c r="BK369">
        <f t="shared" si="309"/>
        <v>0</v>
      </c>
      <c r="BM369">
        <f t="shared" si="310"/>
        <v>-47.609817899417308</v>
      </c>
      <c r="BN369">
        <f t="shared" si="294"/>
        <v>-98.715671985357361</v>
      </c>
      <c r="BQ369" s="56">
        <f t="shared" si="311"/>
        <v>20.07856026810046</v>
      </c>
      <c r="BR369" s="59"/>
      <c r="BS369" s="59"/>
      <c r="BT369" s="59">
        <v>389045.14500000002</v>
      </c>
      <c r="BU369" s="59">
        <v>14.7561</v>
      </c>
      <c r="BV369" s="59">
        <v>-213.04300000000001</v>
      </c>
      <c r="BW369" s="61"/>
      <c r="BY369" s="59"/>
      <c r="BZ369" s="59"/>
      <c r="CA369" s="59"/>
      <c r="CC369" s="59"/>
    </row>
    <row r="370" spans="1:81" x14ac:dyDescent="0.25">
      <c r="A370">
        <f t="shared" si="319"/>
        <v>780000</v>
      </c>
      <c r="B370">
        <f t="shared" si="295"/>
        <v>780</v>
      </c>
      <c r="C370">
        <f t="shared" si="264"/>
        <v>6.546001011400941</v>
      </c>
      <c r="D370">
        <f t="shared" si="265"/>
        <v>1.4174307915705244</v>
      </c>
      <c r="F370">
        <f t="shared" si="266"/>
        <v>4.2129185594130873E-5</v>
      </c>
      <c r="G370">
        <f t="shared" si="267"/>
        <v>2.2079803756516938E-3</v>
      </c>
      <c r="H370">
        <f t="shared" si="268"/>
        <v>-3.1393846696243486</v>
      </c>
      <c r="J370">
        <f t="shared" si="269"/>
        <v>15</v>
      </c>
      <c r="M370">
        <f t="shared" si="270"/>
        <v>1.9155179124398568E-3</v>
      </c>
      <c r="N370">
        <f t="shared" si="271"/>
        <v>-1.5707963250000001</v>
      </c>
      <c r="O370">
        <f t="shared" si="272"/>
        <v>199.47830885680997</v>
      </c>
      <c r="P370">
        <f t="shared" si="273"/>
        <v>1.565783229409685</v>
      </c>
      <c r="Q370">
        <f t="shared" si="274"/>
        <v>168.83353283473431</v>
      </c>
      <c r="R370">
        <f t="shared" si="275"/>
        <v>1.5648732981744657</v>
      </c>
      <c r="S370">
        <f t="shared" si="276"/>
        <v>0.15517566027580501</v>
      </c>
      <c r="T370">
        <f t="shared" si="277"/>
        <v>-1.4149910617753232</v>
      </c>
      <c r="U370">
        <f t="shared" si="278"/>
        <v>0.1973989638492403</v>
      </c>
      <c r="V370">
        <f t="shared" si="279"/>
        <v>-1.3720923616532299</v>
      </c>
      <c r="X370">
        <f t="shared" si="296"/>
        <v>-41.750810699874023</v>
      </c>
      <c r="Y370">
        <f t="shared" si="280"/>
        <v>-168.9754009965871</v>
      </c>
      <c r="Z370">
        <f t="shared" si="297"/>
        <v>11.024599003412902</v>
      </c>
      <c r="AC370">
        <v>1</v>
      </c>
      <c r="AD370">
        <f t="shared" si="281"/>
        <v>199.475802302868</v>
      </c>
      <c r="AE370">
        <f t="shared" si="282"/>
        <v>-0.11731294492960409</v>
      </c>
      <c r="AF370">
        <f t="shared" si="283"/>
        <v>2.3622263453880001E-2</v>
      </c>
      <c r="AG370">
        <f t="shared" si="315"/>
        <v>320.85533792720582</v>
      </c>
      <c r="AH370">
        <f t="shared" si="316"/>
        <v>-1635.7655422845198</v>
      </c>
      <c r="AJ370">
        <f t="shared" si="284"/>
        <v>22100</v>
      </c>
      <c r="AK370">
        <f t="shared" si="285"/>
        <v>140694.10311361862</v>
      </c>
      <c r="AL370">
        <v>1</v>
      </c>
      <c r="AM370">
        <f t="shared" si="286"/>
        <v>168.83057131176602</v>
      </c>
      <c r="AN370">
        <f t="shared" si="317"/>
        <v>834.09101846907879</v>
      </c>
      <c r="AO370">
        <f t="shared" si="318"/>
        <v>-125.96006052873476</v>
      </c>
      <c r="AQ370">
        <f t="shared" si="287"/>
        <v>4.1091370360219282E-3</v>
      </c>
      <c r="AR370">
        <f t="shared" si="288"/>
        <v>-6.4102537761942076</v>
      </c>
      <c r="AT370">
        <f t="shared" si="313"/>
        <v>-10484.353805845427</v>
      </c>
      <c r="AU370">
        <f t="shared" si="314"/>
        <v>-2063.4857263319896</v>
      </c>
      <c r="AV370">
        <f t="shared" si="302"/>
        <v>-2.9472607602801144</v>
      </c>
      <c r="AW370">
        <f t="shared" si="303"/>
        <v>365.91518075754976</v>
      </c>
      <c r="AX370">
        <f t="shared" si="304"/>
        <v>-7450.6415776259109</v>
      </c>
      <c r="AY370">
        <f t="shared" si="312"/>
        <v>-1.5217238531384873</v>
      </c>
      <c r="BA370">
        <f t="shared" si="289"/>
        <v>1.4324436761452592</v>
      </c>
      <c r="BB370">
        <f t="shared" si="305"/>
        <v>3.1215510892951546</v>
      </c>
      <c r="BC370">
        <f t="shared" si="306"/>
        <v>-1.4255369071416271</v>
      </c>
      <c r="BD370">
        <f t="shared" si="290"/>
        <v>-261.67724841267784</v>
      </c>
      <c r="BF370">
        <f t="shared" si="291"/>
        <v>-44.545441092253199</v>
      </c>
      <c r="BG370">
        <f t="shared" si="292"/>
        <v>-180.33793825408304</v>
      </c>
      <c r="BH370">
        <f t="shared" si="307"/>
        <v>-0.33793825408304201</v>
      </c>
      <c r="BI370">
        <f t="shared" si="308"/>
        <v>-0.33793825408304201</v>
      </c>
      <c r="BJ370">
        <f t="shared" si="293"/>
        <v>0</v>
      </c>
      <c r="BK370">
        <f t="shared" si="309"/>
        <v>0</v>
      </c>
      <c r="BM370">
        <f t="shared" si="310"/>
        <v>-47.666992181548352</v>
      </c>
      <c r="BN370">
        <f t="shared" si="294"/>
        <v>-98.660689841405215</v>
      </c>
      <c r="BQ370" s="56">
        <f t="shared" si="311"/>
        <v>20.023511889580291</v>
      </c>
      <c r="BR370" s="59"/>
      <c r="BS370" s="59"/>
      <c r="BT370" s="59">
        <v>398107.17099999997</v>
      </c>
      <c r="BU370" s="59">
        <v>14.525499999999999</v>
      </c>
      <c r="BV370" s="59">
        <v>-214.58500000000001</v>
      </c>
      <c r="BW370" s="61"/>
      <c r="BY370" s="59"/>
      <c r="BZ370" s="59"/>
      <c r="CA370" s="59"/>
      <c r="CC370" s="59"/>
    </row>
    <row r="371" spans="1:81" x14ac:dyDescent="0.25">
      <c r="A371">
        <f t="shared" si="319"/>
        <v>785000</v>
      </c>
      <c r="B371">
        <f t="shared" si="295"/>
        <v>785</v>
      </c>
      <c r="C371">
        <f t="shared" si="264"/>
        <v>6.5869863397161206</v>
      </c>
      <c r="D371">
        <f t="shared" si="265"/>
        <v>1.4183925390116872</v>
      </c>
      <c r="F371">
        <f t="shared" si="266"/>
        <v>4.1594196139776541E-5</v>
      </c>
      <c r="G371">
        <f t="shared" si="267"/>
        <v>2.1939156710737177E-3</v>
      </c>
      <c r="H371">
        <f t="shared" si="268"/>
        <v>-3.1393987343289265</v>
      </c>
      <c r="J371">
        <f t="shared" si="269"/>
        <v>15</v>
      </c>
      <c r="M371">
        <f t="shared" si="270"/>
        <v>1.9033171614052083E-3</v>
      </c>
      <c r="N371">
        <f t="shared" si="271"/>
        <v>-1.5707963250000001</v>
      </c>
      <c r="O371">
        <f t="shared" si="272"/>
        <v>200.75698393209996</v>
      </c>
      <c r="P371">
        <f t="shared" si="273"/>
        <v>1.5658151594364138</v>
      </c>
      <c r="Q371">
        <f t="shared" si="274"/>
        <v>169.91576122385692</v>
      </c>
      <c r="R371">
        <f t="shared" si="275"/>
        <v>1.5649110235974797</v>
      </c>
      <c r="S371">
        <f t="shared" si="276"/>
        <v>0.15421085846051749</v>
      </c>
      <c r="T371">
        <f t="shared" si="277"/>
        <v>-1.4159676188915475</v>
      </c>
      <c r="U371">
        <f t="shared" si="278"/>
        <v>0.19619018963445128</v>
      </c>
      <c r="V371">
        <f t="shared" si="279"/>
        <v>-1.3733252453102851</v>
      </c>
      <c r="X371">
        <f t="shared" si="296"/>
        <v>-41.85963019129624</v>
      </c>
      <c r="Y371">
        <f t="shared" si="280"/>
        <v>-169.04370344364415</v>
      </c>
      <c r="Z371">
        <f t="shared" si="297"/>
        <v>10.956296556355852</v>
      </c>
      <c r="AC371">
        <v>1</v>
      </c>
      <c r="AD371">
        <f t="shared" si="281"/>
        <v>200.75449334327101</v>
      </c>
      <c r="AE371">
        <f t="shared" si="282"/>
        <v>-0.11882177759573516</v>
      </c>
      <c r="AF371">
        <f t="shared" si="283"/>
        <v>2.3773688219609998E-2</v>
      </c>
      <c r="AG371">
        <f t="shared" si="315"/>
        <v>316.93784843492313</v>
      </c>
      <c r="AH371">
        <f t="shared" si="316"/>
        <v>-1626.1304590726836</v>
      </c>
      <c r="AJ371">
        <f t="shared" si="284"/>
        <v>22100</v>
      </c>
      <c r="AK371">
        <f t="shared" si="285"/>
        <v>141595.98838998796</v>
      </c>
      <c r="AL371">
        <v>1</v>
      </c>
      <c r="AM371">
        <f t="shared" si="286"/>
        <v>169.91281856376452</v>
      </c>
      <c r="AN371">
        <f t="shared" si="317"/>
        <v>834.08154494069538</v>
      </c>
      <c r="AO371">
        <f t="shared" si="318"/>
        <v>-125.15782290480148</v>
      </c>
      <c r="AQ371">
        <f t="shared" si="287"/>
        <v>4.056958068498491E-3</v>
      </c>
      <c r="AR371">
        <f t="shared" si="288"/>
        <v>-6.3694241675426317</v>
      </c>
      <c r="AT371">
        <f t="shared" si="313"/>
        <v>-10356.228842033324</v>
      </c>
      <c r="AU371">
        <f t="shared" si="314"/>
        <v>-2025.3087345167291</v>
      </c>
      <c r="AV371">
        <f t="shared" si="302"/>
        <v>-2.9484657968746402</v>
      </c>
      <c r="AW371">
        <f t="shared" si="303"/>
        <v>372.01436388791325</v>
      </c>
      <c r="AX371">
        <f t="shared" si="304"/>
        <v>-7403.9382929540279</v>
      </c>
      <c r="AY371">
        <f t="shared" si="312"/>
        <v>-1.5205930756129609</v>
      </c>
      <c r="BA371">
        <f t="shared" si="289"/>
        <v>1.4234471095061869</v>
      </c>
      <c r="BB371">
        <f t="shared" si="305"/>
        <v>3.0668266972907015</v>
      </c>
      <c r="BC371">
        <f t="shared" si="306"/>
        <v>-1.4278727212616793</v>
      </c>
      <c r="BD371">
        <f t="shared" si="290"/>
        <v>-261.81108070363683</v>
      </c>
      <c r="BF371">
        <f t="shared" si="291"/>
        <v>-44.656958157260497</v>
      </c>
      <c r="BG371">
        <f t="shared" si="292"/>
        <v>-180.41747232385626</v>
      </c>
      <c r="BH371">
        <f t="shared" si="307"/>
        <v>-0.41747232385625921</v>
      </c>
      <c r="BI371">
        <f t="shared" si="308"/>
        <v>-0.41747232385625921</v>
      </c>
      <c r="BJ371">
        <f t="shared" si="293"/>
        <v>0</v>
      </c>
      <c r="BK371">
        <f t="shared" si="309"/>
        <v>0</v>
      </c>
      <c r="BM371">
        <f t="shared" si="310"/>
        <v>-47.723784854551198</v>
      </c>
      <c r="BN371">
        <f t="shared" si="294"/>
        <v>-98.606391620219469</v>
      </c>
      <c r="BQ371" s="56">
        <f t="shared" si="311"/>
        <v>19.968787497575839</v>
      </c>
      <c r="BR371" s="59"/>
      <c r="BS371" s="59"/>
      <c r="BT371" s="59">
        <v>407380.27799999999</v>
      </c>
      <c r="BU371" s="59">
        <v>14.4298</v>
      </c>
      <c r="BV371" s="59">
        <v>-217.34299999999999</v>
      </c>
      <c r="BW371" s="61"/>
      <c r="BY371" s="59"/>
      <c r="BZ371" s="59"/>
      <c r="CA371" s="59"/>
      <c r="CC371" s="59"/>
    </row>
    <row r="372" spans="1:81" x14ac:dyDescent="0.25">
      <c r="A372">
        <f t="shared" si="319"/>
        <v>790000</v>
      </c>
      <c r="B372">
        <f t="shared" si="295"/>
        <v>790</v>
      </c>
      <c r="C372">
        <f t="shared" si="264"/>
        <v>6.6279776853641597</v>
      </c>
      <c r="D372">
        <f t="shared" si="265"/>
        <v>1.4193423912890428</v>
      </c>
      <c r="F372">
        <f t="shared" si="266"/>
        <v>4.1069333060486122E-5</v>
      </c>
      <c r="G372">
        <f t="shared" si="267"/>
        <v>2.1800290220841531E-3</v>
      </c>
      <c r="H372">
        <f t="shared" si="268"/>
        <v>-3.1394126209779158</v>
      </c>
      <c r="J372">
        <f t="shared" si="269"/>
        <v>15</v>
      </c>
      <c r="M372">
        <f t="shared" si="270"/>
        <v>1.891270850257074E-3</v>
      </c>
      <c r="N372">
        <f t="shared" si="271"/>
        <v>-1.5707963250000001</v>
      </c>
      <c r="O372">
        <f t="shared" si="272"/>
        <v>202.03565920947619</v>
      </c>
      <c r="P372">
        <f t="shared" si="273"/>
        <v>1.5658466852955546</v>
      </c>
      <c r="Q372">
        <f t="shared" si="274"/>
        <v>170.99798985174397</v>
      </c>
      <c r="R372">
        <f t="shared" si="275"/>
        <v>1.5649482714999297</v>
      </c>
      <c r="S372">
        <f t="shared" si="276"/>
        <v>0.15325783633020598</v>
      </c>
      <c r="T372">
        <f t="shared" si="277"/>
        <v>-1.4169321066845111</v>
      </c>
      <c r="U372">
        <f t="shared" si="278"/>
        <v>0.19499583819383812</v>
      </c>
      <c r="V372">
        <f t="shared" si="279"/>
        <v>-1.3745431198925082</v>
      </c>
      <c r="X372">
        <f t="shared" si="296"/>
        <v>-41.967785155871368</v>
      </c>
      <c r="Y372">
        <f t="shared" si="280"/>
        <v>-169.11117627063246</v>
      </c>
      <c r="Z372">
        <f t="shared" si="297"/>
        <v>10.888823729367545</v>
      </c>
      <c r="AC372">
        <v>1</v>
      </c>
      <c r="AD372">
        <f t="shared" si="281"/>
        <v>202.03318438367398</v>
      </c>
      <c r="AE372">
        <f t="shared" si="282"/>
        <v>-0.12034025136516423</v>
      </c>
      <c r="AF372">
        <f t="shared" si="283"/>
        <v>2.3925112985339999E-2</v>
      </c>
      <c r="AG372">
        <f t="shared" si="315"/>
        <v>313.09073489673756</v>
      </c>
      <c r="AH372">
        <f t="shared" si="316"/>
        <v>-1616.6033473395419</v>
      </c>
      <c r="AJ372">
        <f t="shared" si="284"/>
        <v>22100</v>
      </c>
      <c r="AK372">
        <f t="shared" si="285"/>
        <v>142497.87366635731</v>
      </c>
      <c r="AL372">
        <v>1</v>
      </c>
      <c r="AM372">
        <f t="shared" si="286"/>
        <v>170.99506581576301</v>
      </c>
      <c r="AN372">
        <f t="shared" si="317"/>
        <v>834.07225071139305</v>
      </c>
      <c r="AO372">
        <f t="shared" si="318"/>
        <v>-124.36573913893734</v>
      </c>
      <c r="AQ372">
        <f t="shared" si="287"/>
        <v>4.0057667017438306E-3</v>
      </c>
      <c r="AR372">
        <f t="shared" si="288"/>
        <v>-6.3291113887552521</v>
      </c>
      <c r="AT372">
        <f t="shared" si="313"/>
        <v>-10230.408488306084</v>
      </c>
      <c r="AU372">
        <f t="shared" si="314"/>
        <v>-1988.0618718073933</v>
      </c>
      <c r="AV372">
        <f t="shared" si="302"/>
        <v>-2.9496561768788516</v>
      </c>
      <c r="AW372">
        <f t="shared" si="303"/>
        <v>377.99417224075654</v>
      </c>
      <c r="AX372">
        <f t="shared" si="304"/>
        <v>-7357.8128106616859</v>
      </c>
      <c r="AY372">
        <f t="shared" si="312"/>
        <v>-1.5194682795698782</v>
      </c>
      <c r="BA372">
        <f t="shared" si="289"/>
        <v>1.4145591899607384</v>
      </c>
      <c r="BB372">
        <f t="shared" si="305"/>
        <v>3.0124224905864523</v>
      </c>
      <c r="BC372">
        <f t="shared" si="306"/>
        <v>-1.4301878973089734</v>
      </c>
      <c r="BD372">
        <f t="shared" si="290"/>
        <v>-261.9437305201281</v>
      </c>
      <c r="BF372">
        <f t="shared" si="291"/>
        <v>-44.7677785714164</v>
      </c>
      <c r="BG372">
        <f t="shared" si="292"/>
        <v>-180.49649526001161</v>
      </c>
      <c r="BH372">
        <f t="shared" si="307"/>
        <v>-0.49649526001161348</v>
      </c>
      <c r="BI372">
        <f t="shared" si="308"/>
        <v>-0.49649526001161348</v>
      </c>
      <c r="BJ372">
        <f t="shared" si="293"/>
        <v>0</v>
      </c>
      <c r="BK372">
        <f t="shared" si="309"/>
        <v>0</v>
      </c>
      <c r="BM372">
        <f t="shared" si="310"/>
        <v>-47.780201062002845</v>
      </c>
      <c r="BN372">
        <f t="shared" si="294"/>
        <v>-98.552764739883486</v>
      </c>
      <c r="BQ372" s="56">
        <f t="shared" si="311"/>
        <v>19.914383290871591</v>
      </c>
      <c r="BR372" s="59"/>
      <c r="BS372" s="59"/>
      <c r="BT372" s="59">
        <v>416869.38299999997</v>
      </c>
      <c r="BU372" s="59">
        <v>14.126799999999999</v>
      </c>
      <c r="BV372" s="59">
        <v>-219.017</v>
      </c>
      <c r="BW372" s="61"/>
      <c r="BY372" s="59"/>
      <c r="BZ372" s="59"/>
      <c r="CA372" s="59"/>
      <c r="CC372" s="59"/>
    </row>
    <row r="373" spans="1:81" x14ac:dyDescent="0.25">
      <c r="A373">
        <f t="shared" si="319"/>
        <v>795000</v>
      </c>
      <c r="B373">
        <f t="shared" si="295"/>
        <v>795</v>
      </c>
      <c r="C373">
        <f t="shared" si="264"/>
        <v>6.6689749373871203</v>
      </c>
      <c r="D373">
        <f t="shared" si="265"/>
        <v>1.4202805660477489</v>
      </c>
      <c r="F373">
        <f t="shared" si="266"/>
        <v>4.0554342391116136E-5</v>
      </c>
      <c r="G373">
        <f t="shared" si="267"/>
        <v>2.1663170686114352E-3</v>
      </c>
      <c r="H373">
        <f t="shared" si="268"/>
        <v>-3.139426332931389</v>
      </c>
      <c r="J373">
        <f t="shared" si="269"/>
        <v>15</v>
      </c>
      <c r="M373">
        <f t="shared" si="270"/>
        <v>1.8793760650353312E-3</v>
      </c>
      <c r="N373">
        <f t="shared" si="271"/>
        <v>-1.5707963250000001</v>
      </c>
      <c r="O373">
        <f t="shared" si="272"/>
        <v>203.31433468512594</v>
      </c>
      <c r="P373">
        <f t="shared" si="273"/>
        <v>1.565877814612662</v>
      </c>
      <c r="Q373">
        <f t="shared" si="274"/>
        <v>172.08021871389056</v>
      </c>
      <c r="R373">
        <f t="shared" si="275"/>
        <v>1.5649850508912277</v>
      </c>
      <c r="S373">
        <f t="shared" si="276"/>
        <v>0.15231638210213116</v>
      </c>
      <c r="T373">
        <f t="shared" si="277"/>
        <v>-1.4178847457665851</v>
      </c>
      <c r="U373">
        <f t="shared" si="278"/>
        <v>0.19381565824965158</v>
      </c>
      <c r="V373">
        <f t="shared" si="279"/>
        <v>-1.3757462542737682</v>
      </c>
      <c r="X373">
        <f t="shared" si="296"/>
        <v>-42.075283509214188</v>
      </c>
      <c r="Y373">
        <f t="shared" si="280"/>
        <v>-169.17783429230349</v>
      </c>
      <c r="Z373">
        <f t="shared" si="297"/>
        <v>10.822165707696513</v>
      </c>
      <c r="AC373">
        <v>1</v>
      </c>
      <c r="AD373">
        <f t="shared" si="281"/>
        <v>203.31187542407699</v>
      </c>
      <c r="AE373">
        <f t="shared" si="282"/>
        <v>-0.12186836623789123</v>
      </c>
      <c r="AF373">
        <f t="shared" si="283"/>
        <v>2.407653775107E-2</v>
      </c>
      <c r="AG373">
        <f t="shared" si="315"/>
        <v>309.31234423536205</v>
      </c>
      <c r="AH373">
        <f t="shared" si="316"/>
        <v>-1607.1824964723637</v>
      </c>
      <c r="AJ373">
        <f t="shared" si="284"/>
        <v>22100</v>
      </c>
      <c r="AK373">
        <f t="shared" si="285"/>
        <v>143399.75894272665</v>
      </c>
      <c r="AL373">
        <v>1</v>
      </c>
      <c r="AM373">
        <f t="shared" si="286"/>
        <v>172.07731306776151</v>
      </c>
      <c r="AN373">
        <f t="shared" si="317"/>
        <v>834.06313128497266</v>
      </c>
      <c r="AO373">
        <f t="shared" si="318"/>
        <v>-123.58361767504361</v>
      </c>
      <c r="AQ373">
        <f t="shared" si="287"/>
        <v>3.9555381687677825E-3</v>
      </c>
      <c r="AR373">
        <f t="shared" si="288"/>
        <v>-6.2893056883407743</v>
      </c>
      <c r="AT373">
        <f t="shared" si="313"/>
        <v>-10106.83852048167</v>
      </c>
      <c r="AU373">
        <f t="shared" si="314"/>
        <v>-1951.717157782454</v>
      </c>
      <c r="AV373">
        <f t="shared" si="302"/>
        <v>-2.9508321625162148</v>
      </c>
      <c r="AW373">
        <f t="shared" si="303"/>
        <v>383.8577161251639</v>
      </c>
      <c r="AX373">
        <f t="shared" si="304"/>
        <v>-7312.2545391094554</v>
      </c>
      <c r="AY373">
        <f t="shared" si="312"/>
        <v>-1.5183493431518966</v>
      </c>
      <c r="BA373">
        <f t="shared" si="289"/>
        <v>1.4057779808316158</v>
      </c>
      <c r="BB373">
        <f t="shared" si="305"/>
        <v>2.9583347306973797</v>
      </c>
      <c r="BC373">
        <f t="shared" si="306"/>
        <v>-1.4324828193643182</v>
      </c>
      <c r="BD373">
        <f t="shared" si="290"/>
        <v>-262.0752198683611</v>
      </c>
      <c r="BF373">
        <f t="shared" si="291"/>
        <v>-44.877911112267128</v>
      </c>
      <c r="BG373">
        <f t="shared" si="292"/>
        <v>-180.57501679112741</v>
      </c>
      <c r="BH373">
        <f t="shared" si="307"/>
        <v>-0.57501679112741044</v>
      </c>
      <c r="BI373">
        <f t="shared" si="308"/>
        <v>-0.57501679112741044</v>
      </c>
      <c r="BJ373">
        <f t="shared" si="293"/>
        <v>0</v>
      </c>
      <c r="BK373">
        <f t="shared" si="309"/>
        <v>0</v>
      </c>
      <c r="BM373">
        <f t="shared" si="310"/>
        <v>-47.836245842964509</v>
      </c>
      <c r="BN373">
        <f t="shared" si="294"/>
        <v>-98.499796922766294</v>
      </c>
      <c r="BQ373" s="56">
        <f t="shared" si="311"/>
        <v>19.860295530982516</v>
      </c>
      <c r="BR373" s="59"/>
      <c r="BS373" s="59"/>
      <c r="BT373" s="59">
        <v>426579.51899999997</v>
      </c>
      <c r="BU373" s="59">
        <v>14.106299999999999</v>
      </c>
      <c r="BV373" s="59">
        <v>-221.39400000000001</v>
      </c>
      <c r="BW373" s="61"/>
      <c r="BY373" s="59"/>
      <c r="BZ373" s="59"/>
      <c r="CA373" s="59"/>
      <c r="CC373" s="59"/>
    </row>
    <row r="374" spans="1:81" x14ac:dyDescent="0.25">
      <c r="A374">
        <f t="shared" si="319"/>
        <v>800000</v>
      </c>
      <c r="B374">
        <f t="shared" si="295"/>
        <v>800</v>
      </c>
      <c r="C374">
        <f t="shared" si="264"/>
        <v>6.7099779875230343</v>
      </c>
      <c r="D374">
        <f t="shared" si="265"/>
        <v>1.421207275696436</v>
      </c>
      <c r="F374">
        <f t="shared" si="266"/>
        <v>4.0048978078660272E-5</v>
      </c>
      <c r="G374">
        <f t="shared" si="267"/>
        <v>2.1527765346022625E-3</v>
      </c>
      <c r="H374">
        <f t="shared" si="268"/>
        <v>-3.1394398734653981</v>
      </c>
      <c r="J374">
        <f t="shared" si="269"/>
        <v>15</v>
      </c>
      <c r="M374">
        <f t="shared" si="270"/>
        <v>1.8676299646288605E-3</v>
      </c>
      <c r="N374">
        <f t="shared" si="271"/>
        <v>-1.5707963250000001</v>
      </c>
      <c r="O374">
        <f t="shared" si="272"/>
        <v>204.59301035533156</v>
      </c>
      <c r="P374">
        <f t="shared" si="273"/>
        <v>1.5659085548226603</v>
      </c>
      <c r="Q374">
        <f t="shared" si="274"/>
        <v>173.16244780590455</v>
      </c>
      <c r="R374">
        <f t="shared" si="275"/>
        <v>1.5650213705555636</v>
      </c>
      <c r="S374">
        <f t="shared" si="276"/>
        <v>0.15138628897510648</v>
      </c>
      <c r="T374">
        <f t="shared" si="277"/>
        <v>-1.41882575144885</v>
      </c>
      <c r="U374">
        <f t="shared" si="278"/>
        <v>0.19264940419701912</v>
      </c>
      <c r="V374">
        <f t="shared" si="279"/>
        <v>-1.3769349110293583</v>
      </c>
      <c r="X374">
        <f t="shared" si="296"/>
        <v>-42.182133028981639</v>
      </c>
      <c r="Y374">
        <f t="shared" si="280"/>
        <v>-169.2436919778286</v>
      </c>
      <c r="Z374">
        <f t="shared" si="297"/>
        <v>10.756308022171396</v>
      </c>
      <c r="AC374">
        <v>1</v>
      </c>
      <c r="AD374">
        <f t="shared" si="281"/>
        <v>204.59056646447999</v>
      </c>
      <c r="AE374">
        <f t="shared" si="282"/>
        <v>-0.12340612221391621</v>
      </c>
      <c r="AF374">
        <f t="shared" si="283"/>
        <v>2.4227962516800001E-2</v>
      </c>
      <c r="AG374">
        <f t="shared" si="315"/>
        <v>305.60107094667637</v>
      </c>
      <c r="AH374">
        <f t="shared" si="316"/>
        <v>-1597.8662292838317</v>
      </c>
      <c r="AJ374">
        <f t="shared" si="284"/>
        <v>22100</v>
      </c>
      <c r="AK374">
        <f t="shared" si="285"/>
        <v>144301.64421909599</v>
      </c>
      <c r="AL374">
        <v>1</v>
      </c>
      <c r="AM374">
        <f t="shared" si="286"/>
        <v>173.15956031976</v>
      </c>
      <c r="AN374">
        <f t="shared" si="317"/>
        <v>834.05418230529085</v>
      </c>
      <c r="AO374">
        <f t="shared" si="318"/>
        <v>-122.81127174511518</v>
      </c>
      <c r="AQ374">
        <f t="shared" si="287"/>
        <v>3.90624847412169E-3</v>
      </c>
      <c r="AR374">
        <f t="shared" si="288"/>
        <v>-6.2499975585947034</v>
      </c>
      <c r="AT374">
        <f t="shared" si="313"/>
        <v>-9985.466278267797</v>
      </c>
      <c r="AU374">
        <f t="shared" si="314"/>
        <v>-1916.2476098406446</v>
      </c>
      <c r="AV374">
        <f t="shared" si="302"/>
        <v>-2.9519940098778714</v>
      </c>
      <c r="AW374">
        <f t="shared" si="303"/>
        <v>389.60800486544662</v>
      </c>
      <c r="AX374">
        <f t="shared" si="304"/>
        <v>-7267.2531426486785</v>
      </c>
      <c r="AY374">
        <f t="shared" si="312"/>
        <v>-1.5172361479027341</v>
      </c>
      <c r="BA374">
        <f t="shared" si="289"/>
        <v>1.3971015903829285</v>
      </c>
      <c r="BB374">
        <f t="shared" si="305"/>
        <v>2.9045597405883061</v>
      </c>
      <c r="BC374">
        <f t="shared" si="306"/>
        <v>-1.4347578619751373</v>
      </c>
      <c r="BD374">
        <f t="shared" si="290"/>
        <v>-262.20557020832246</v>
      </c>
      <c r="BF374">
        <f t="shared" si="291"/>
        <v>-44.987364394226631</v>
      </c>
      <c r="BG374">
        <f t="shared" si="292"/>
        <v>-180.6530463947762</v>
      </c>
      <c r="BH374">
        <f t="shared" si="307"/>
        <v>-0.6530463947761973</v>
      </c>
      <c r="BI374">
        <f t="shared" si="308"/>
        <v>-0.6530463947761973</v>
      </c>
      <c r="BJ374">
        <f t="shared" si="293"/>
        <v>0</v>
      </c>
      <c r="BK374">
        <f t="shared" si="309"/>
        <v>0</v>
      </c>
      <c r="BM374">
        <f t="shared" si="310"/>
        <v>-47.891924134814943</v>
      </c>
      <c r="BN374">
        <f t="shared" si="294"/>
        <v>-98.447476186453756</v>
      </c>
      <c r="BQ374" s="56">
        <f t="shared" si="311"/>
        <v>19.806520540873443</v>
      </c>
      <c r="BR374" s="59"/>
      <c r="BS374" s="59"/>
      <c r="BT374" s="59">
        <v>436515.83199999999</v>
      </c>
      <c r="BU374" s="59">
        <v>13.8226</v>
      </c>
      <c r="BV374" s="59">
        <v>-223.214</v>
      </c>
      <c r="BW374" s="61"/>
      <c r="BY374" s="59"/>
      <c r="BZ374" s="59"/>
      <c r="CA374" s="59"/>
      <c r="CC374" s="59"/>
    </row>
    <row r="375" spans="1:81" x14ac:dyDescent="0.25">
      <c r="A375">
        <f t="shared" si="319"/>
        <v>805000</v>
      </c>
      <c r="B375">
        <f t="shared" si="295"/>
        <v>805</v>
      </c>
      <c r="C375">
        <f t="shared" si="264"/>
        <v>6.7509867301249846</v>
      </c>
      <c r="D375">
        <f t="shared" si="265"/>
        <v>1.422122727562515</v>
      </c>
      <c r="F375">
        <f t="shared" si="266"/>
        <v>3.9553001688280713E-5</v>
      </c>
      <c r="G375">
        <f t="shared" si="267"/>
        <v>2.1394042254117289E-3</v>
      </c>
      <c r="H375">
        <f t="shared" si="268"/>
        <v>-3.1394532457745883</v>
      </c>
      <c r="J375">
        <f t="shared" si="269"/>
        <v>15</v>
      </c>
      <c r="M375">
        <f t="shared" si="270"/>
        <v>1.8560297785131532E-3</v>
      </c>
      <c r="N375">
        <f t="shared" si="271"/>
        <v>-1.5707963250000001</v>
      </c>
      <c r="O375">
        <f t="shared" si="272"/>
        <v>205.87168621646788</v>
      </c>
      <c r="P375">
        <f t="shared" si="273"/>
        <v>1.5659389131757624</v>
      </c>
      <c r="Q375">
        <f t="shared" si="274"/>
        <v>174.24467712350275</v>
      </c>
      <c r="R375">
        <f t="shared" si="275"/>
        <v>1.5650572390588986</v>
      </c>
      <c r="S375">
        <f t="shared" si="276"/>
        <v>0.15046735498588165</v>
      </c>
      <c r="T375">
        <f t="shared" si="277"/>
        <v>-1.4197553338980831</v>
      </c>
      <c r="U375">
        <f t="shared" si="278"/>
        <v>0.19149683594877903</v>
      </c>
      <c r="V375">
        <f t="shared" si="279"/>
        <v>-1.3781093466167891</v>
      </c>
      <c r="X375">
        <f t="shared" si="296"/>
        <v>-42.288341357999535</v>
      </c>
      <c r="Y375">
        <f t="shared" si="280"/>
        <v>-169.30876346066418</v>
      </c>
      <c r="Z375">
        <f t="shared" si="297"/>
        <v>10.691236539335819</v>
      </c>
      <c r="AC375">
        <v>1</v>
      </c>
      <c r="AD375">
        <f t="shared" si="281"/>
        <v>205.86925750488302</v>
      </c>
      <c r="AE375">
        <f t="shared" si="282"/>
        <v>-0.12495351929323914</v>
      </c>
      <c r="AF375">
        <f t="shared" si="283"/>
        <v>2.4379387282529998E-2</v>
      </c>
      <c r="AG375">
        <f t="shared" si="315"/>
        <v>301.9553554907709</v>
      </c>
      <c r="AH375">
        <f t="shared" si="316"/>
        <v>-1588.6529012879128</v>
      </c>
      <c r="AJ375">
        <f t="shared" si="284"/>
        <v>22100</v>
      </c>
      <c r="AK375">
        <f t="shared" si="285"/>
        <v>145203.52949546537</v>
      </c>
      <c r="AL375">
        <v>1</v>
      </c>
      <c r="AM375">
        <f t="shared" si="286"/>
        <v>174.24180757175853</v>
      </c>
      <c r="AN375">
        <f t="shared" si="317"/>
        <v>834.04539955105815</v>
      </c>
      <c r="AO375">
        <f t="shared" si="318"/>
        <v>-122.04851922057179</v>
      </c>
      <c r="AQ375">
        <f t="shared" si="287"/>
        <v>3.8578743652349966E-3</v>
      </c>
      <c r="AR375">
        <f t="shared" si="288"/>
        <v>-6.2111777280283444</v>
      </c>
      <c r="AT375">
        <f t="shared" si="313"/>
        <v>-9866.2406122217017</v>
      </c>
      <c r="AU375">
        <f t="shared" si="314"/>
        <v>-1881.6272021862924</v>
      </c>
      <c r="AV375">
        <f t="shared" si="302"/>
        <v>-2.9531419690982705</v>
      </c>
      <c r="AW375">
        <f t="shared" si="303"/>
        <v>395.24795071803055</v>
      </c>
      <c r="AX375">
        <f t="shared" si="304"/>
        <v>-7222.7985339640209</v>
      </c>
      <c r="AY375">
        <f t="shared" si="312"/>
        <v>-1.5161285786501308</v>
      </c>
      <c r="BA375">
        <f t="shared" si="289"/>
        <v>1.3885281705522585</v>
      </c>
      <c r="BB375">
        <f t="shared" si="305"/>
        <v>2.851093903422206</v>
      </c>
      <c r="BC375">
        <f t="shared" si="306"/>
        <v>-1.4370133904481397</v>
      </c>
      <c r="BD375">
        <f t="shared" si="290"/>
        <v>-262.33480247054473</v>
      </c>
      <c r="BF375">
        <f t="shared" si="291"/>
        <v>-45.096146872565924</v>
      </c>
      <c r="BG375">
        <f t="shared" si="292"/>
        <v>-180.73059330554463</v>
      </c>
      <c r="BH375">
        <f t="shared" si="307"/>
        <v>-0.73059330554463031</v>
      </c>
      <c r="BI375">
        <f t="shared" si="308"/>
        <v>-0.73059330554463031</v>
      </c>
      <c r="BJ375">
        <f t="shared" si="293"/>
        <v>0</v>
      </c>
      <c r="BK375">
        <f t="shared" si="309"/>
        <v>0</v>
      </c>
      <c r="BM375">
        <f t="shared" si="310"/>
        <v>-47.947240775988135</v>
      </c>
      <c r="BN375">
        <f t="shared" si="294"/>
        <v>-98.395790834999943</v>
      </c>
      <c r="BQ375" s="56">
        <f t="shared" si="311"/>
        <v>19.753054703707342</v>
      </c>
      <c r="BR375" s="59"/>
      <c r="BS375" s="59"/>
      <c r="BT375" s="59">
        <v>446683.592</v>
      </c>
      <c r="BU375" s="59">
        <v>13.599500000000001</v>
      </c>
      <c r="BV375" s="59">
        <v>-225.053</v>
      </c>
      <c r="BW375" s="61"/>
      <c r="BY375" s="59"/>
      <c r="BZ375" s="59"/>
      <c r="CA375" s="59"/>
      <c r="CC375" s="59"/>
    </row>
    <row r="376" spans="1:81" x14ac:dyDescent="0.25">
      <c r="A376">
        <f t="shared" si="319"/>
        <v>810000</v>
      </c>
      <c r="B376">
        <f t="shared" si="295"/>
        <v>810</v>
      </c>
      <c r="C376">
        <f t="shared" si="264"/>
        <v>6.7920010620830613</v>
      </c>
      <c r="D376">
        <f t="shared" si="265"/>
        <v>1.4230271240420331</v>
      </c>
      <c r="F376">
        <f t="shared" si="266"/>
        <v>3.9066182122003617E-5</v>
      </c>
      <c r="G376">
        <f t="shared" si="267"/>
        <v>2.1261970252901357E-3</v>
      </c>
      <c r="H376">
        <f t="shared" si="268"/>
        <v>-3.1394664529747103</v>
      </c>
      <c r="J376">
        <f t="shared" si="269"/>
        <v>15</v>
      </c>
      <c r="M376">
        <f t="shared" si="270"/>
        <v>1.844572804571714E-3</v>
      </c>
      <c r="N376">
        <f t="shared" si="271"/>
        <v>-1.5707963250000001</v>
      </c>
      <c r="O376">
        <f t="shared" si="272"/>
        <v>207.1503622649993</v>
      </c>
      <c r="P376">
        <f t="shared" si="273"/>
        <v>1.5659688967431704</v>
      </c>
      <c r="Q376">
        <f t="shared" si="274"/>
        <v>175.32690666250789</v>
      </c>
      <c r="R376">
        <f t="shared" si="275"/>
        <v>1.5650926647557002</v>
      </c>
      <c r="S376">
        <f t="shared" si="276"/>
        <v>0.14955938287039236</v>
      </c>
      <c r="T376">
        <f t="shared" si="277"/>
        <v>-1.4206736982882489</v>
      </c>
      <c r="U376">
        <f t="shared" si="278"/>
        <v>0.19035771878522972</v>
      </c>
      <c r="V376">
        <f t="shared" si="279"/>
        <v>-1.3792698115504849</v>
      </c>
      <c r="X376">
        <f t="shared" si="296"/>
        <v>-42.393916007303041</v>
      </c>
      <c r="Y376">
        <f t="shared" si="280"/>
        <v>-169.37306254808598</v>
      </c>
      <c r="Z376">
        <f t="shared" si="297"/>
        <v>10.626937451914017</v>
      </c>
      <c r="AC376">
        <v>1</v>
      </c>
      <c r="AD376">
        <f t="shared" si="281"/>
        <v>207.14794854528603</v>
      </c>
      <c r="AE376">
        <f t="shared" si="282"/>
        <v>-0.12651055747586004</v>
      </c>
      <c r="AF376">
        <f t="shared" si="283"/>
        <v>2.4530812048259999E-2</v>
      </c>
      <c r="AG376">
        <f t="shared" si="315"/>
        <v>298.37368274508623</v>
      </c>
      <c r="AH376">
        <f t="shared" si="316"/>
        <v>-1579.5408999904942</v>
      </c>
      <c r="AJ376">
        <f t="shared" si="284"/>
        <v>22100</v>
      </c>
      <c r="AK376">
        <f t="shared" si="285"/>
        <v>146105.41477183471</v>
      </c>
      <c r="AL376">
        <v>1</v>
      </c>
      <c r="AM376">
        <f t="shared" si="286"/>
        <v>175.32405482375702</v>
      </c>
      <c r="AN376">
        <f t="shared" si="317"/>
        <v>834.03677893086001</v>
      </c>
      <c r="AO376">
        <f t="shared" si="318"/>
        <v>-121.29518246909451</v>
      </c>
      <c r="AQ376">
        <f t="shared" si="287"/>
        <v>3.8103933049865473E-3</v>
      </c>
      <c r="AR376">
        <f t="shared" si="288"/>
        <v>-6.1728371540782065</v>
      </c>
      <c r="AT376">
        <f t="shared" si="313"/>
        <v>-9749.1118327643344</v>
      </c>
      <c r="AU376">
        <f t="shared" si="314"/>
        <v>-1847.8308267182879</v>
      </c>
      <c r="AV376">
        <f t="shared" si="302"/>
        <v>-2.9542762845248935</v>
      </c>
      <c r="AW376">
        <f t="shared" si="303"/>
        <v>400.78037261209465</v>
      </c>
      <c r="AX376">
        <f t="shared" si="304"/>
        <v>-7178.8808666885825</v>
      </c>
      <c r="AY376">
        <f t="shared" si="312"/>
        <v>-1.515026523393586</v>
      </c>
      <c r="BA376">
        <f t="shared" si="289"/>
        <v>1.3800559157242478</v>
      </c>
      <c r="BB376">
        <f t="shared" si="305"/>
        <v>2.7979336613367685</v>
      </c>
      <c r="BC376">
        <f t="shared" si="306"/>
        <v>-1.4392497611313075</v>
      </c>
      <c r="BD376">
        <f t="shared" si="290"/>
        <v>-262.46293707226346</v>
      </c>
      <c r="BF376">
        <f t="shared" si="291"/>
        <v>-45.204266847282341</v>
      </c>
      <c r="BG376">
        <f t="shared" si="292"/>
        <v>-180.80766652274829</v>
      </c>
      <c r="BH376">
        <f t="shared" si="307"/>
        <v>-0.80766652274829198</v>
      </c>
      <c r="BI376">
        <f t="shared" si="308"/>
        <v>-0.80766652274829198</v>
      </c>
      <c r="BJ376">
        <f t="shared" si="293"/>
        <v>0</v>
      </c>
      <c r="BK376">
        <f t="shared" si="309"/>
        <v>0</v>
      </c>
      <c r="BM376">
        <f t="shared" si="310"/>
        <v>-48.002200508619104</v>
      </c>
      <c r="BN376">
        <f t="shared" si="294"/>
        <v>-98.344729450484877</v>
      </c>
      <c r="BQ376" s="56">
        <f t="shared" si="311"/>
        <v>19.699894461621906</v>
      </c>
      <c r="BR376" s="59"/>
      <c r="BS376" s="59"/>
      <c r="BT376" s="59">
        <v>457088.19</v>
      </c>
      <c r="BU376" s="59">
        <v>13.3674</v>
      </c>
      <c r="BV376" s="59">
        <v>-226.50200000000001</v>
      </c>
      <c r="BW376" s="61"/>
      <c r="BY376" s="59"/>
      <c r="BZ376" s="59"/>
      <c r="CA376" s="59"/>
      <c r="CC376" s="59"/>
    </row>
    <row r="377" spans="1:81" x14ac:dyDescent="0.25">
      <c r="A377">
        <f t="shared" si="319"/>
        <v>815000</v>
      </c>
      <c r="B377">
        <f t="shared" si="295"/>
        <v>815</v>
      </c>
      <c r="C377">
        <f t="shared" si="264"/>
        <v>6.8330208827490821</v>
      </c>
      <c r="D377">
        <f t="shared" si="265"/>
        <v>1.4239206627442997</v>
      </c>
      <c r="F377">
        <f t="shared" si="266"/>
        <v>3.8588295349459127E-5</v>
      </c>
      <c r="G377">
        <f t="shared" si="267"/>
        <v>2.1131518949623483E-3</v>
      </c>
      <c r="H377">
        <f t="shared" si="268"/>
        <v>-3.1394794981050378</v>
      </c>
      <c r="J377">
        <f t="shared" si="269"/>
        <v>15</v>
      </c>
      <c r="M377">
        <f t="shared" si="270"/>
        <v>1.8332564069976547E-3</v>
      </c>
      <c r="N377">
        <f t="shared" si="271"/>
        <v>-1.5707963250000001</v>
      </c>
      <c r="O377">
        <f t="shared" si="272"/>
        <v>208.42903849747685</v>
      </c>
      <c r="P377">
        <f t="shared" si="273"/>
        <v>1.5659985124225668</v>
      </c>
      <c r="Q377">
        <f t="shared" si="274"/>
        <v>176.40913641884512</v>
      </c>
      <c r="R377">
        <f t="shared" si="275"/>
        <v>1.5651276557954295</v>
      </c>
      <c r="S377">
        <f t="shared" si="276"/>
        <v>0.14866217992968794</v>
      </c>
      <c r="T377">
        <f t="shared" si="277"/>
        <v>-1.4215810449467114</v>
      </c>
      <c r="U377">
        <f t="shared" si="278"/>
        <v>0.18923182320861984</v>
      </c>
      <c r="V377">
        <f t="shared" si="279"/>
        <v>-1.380416550570615</v>
      </c>
      <c r="X377">
        <f t="shared" si="296"/>
        <v>-42.498864359093453</v>
      </c>
      <c r="Y377">
        <f t="shared" si="280"/>
        <v>-169.43660273040564</v>
      </c>
      <c r="Z377">
        <f t="shared" si="297"/>
        <v>10.563397269594361</v>
      </c>
      <c r="AC377">
        <v>1</v>
      </c>
      <c r="AD377">
        <f t="shared" si="281"/>
        <v>208.42663958568897</v>
      </c>
      <c r="AE377">
        <f t="shared" si="282"/>
        <v>-0.1280772367617789</v>
      </c>
      <c r="AF377">
        <f t="shared" si="283"/>
        <v>2.4682236813989997E-2</v>
      </c>
      <c r="AG377">
        <f t="shared" si="315"/>
        <v>294.85458051697827</v>
      </c>
      <c r="AH377">
        <f t="shared" si="316"/>
        <v>-1570.5286441946921</v>
      </c>
      <c r="AJ377">
        <f t="shared" si="284"/>
        <v>22100</v>
      </c>
      <c r="AK377">
        <f t="shared" si="285"/>
        <v>147007.30004820405</v>
      </c>
      <c r="AL377">
        <v>1</v>
      </c>
      <c r="AM377">
        <f t="shared" si="286"/>
        <v>176.40630207575552</v>
      </c>
      <c r="AN377">
        <f t="shared" si="317"/>
        <v>834.02831647839048</v>
      </c>
      <c r="AO377">
        <f t="shared" si="318"/>
        <v>-120.55108821673049</v>
      </c>
      <c r="AQ377">
        <f t="shared" si="287"/>
        <v>3.7637834454501691E-3</v>
      </c>
      <c r="AR377">
        <f t="shared" si="288"/>
        <v>-6.1349670160837757</v>
      </c>
      <c r="AT377">
        <f t="shared" si="313"/>
        <v>-9634.0316611602429</v>
      </c>
      <c r="AU377">
        <f t="shared" si="314"/>
        <v>-1814.8342557245048</v>
      </c>
      <c r="AV377">
        <f t="shared" si="302"/>
        <v>-2.9553971948822952</v>
      </c>
      <c r="AW377">
        <f t="shared" si="303"/>
        <v>406.20799972298005</v>
      </c>
      <c r="AX377">
        <f t="shared" si="304"/>
        <v>-7135.4905282802883</v>
      </c>
      <c r="AY377">
        <f t="shared" si="312"/>
        <v>-1.513929873196638</v>
      </c>
      <c r="BA377">
        <f t="shared" si="289"/>
        <v>1.3716830615442026</v>
      </c>
      <c r="BB377">
        <f t="shared" si="305"/>
        <v>2.7450755142487355</v>
      </c>
      <c r="BC377">
        <f t="shared" si="306"/>
        <v>-1.4414673216856573</v>
      </c>
      <c r="BD377">
        <f t="shared" si="290"/>
        <v>-262.58999393298757</v>
      </c>
      <c r="BF377">
        <f t="shared" si="291"/>
        <v>-45.311732466852817</v>
      </c>
      <c r="BG377">
        <f t="shared" si="292"/>
        <v>-180.8842748178543</v>
      </c>
      <c r="BH377">
        <f t="shared" si="307"/>
        <v>-0.88427481785430473</v>
      </c>
      <c r="BI377">
        <f t="shared" si="308"/>
        <v>-0.88427481785430473</v>
      </c>
      <c r="BJ377">
        <f t="shared" si="293"/>
        <v>0</v>
      </c>
      <c r="BK377">
        <f t="shared" si="309"/>
        <v>0</v>
      </c>
      <c r="BM377">
        <f t="shared" si="310"/>
        <v>-48.056807981101556</v>
      </c>
      <c r="BN377">
        <f t="shared" si="294"/>
        <v>-98.294280884866737</v>
      </c>
      <c r="BQ377" s="56">
        <f t="shared" si="311"/>
        <v>19.647036314533871</v>
      </c>
      <c r="BR377" s="59"/>
      <c r="BS377" s="59"/>
      <c r="BT377" s="59">
        <v>467735.141</v>
      </c>
      <c r="BU377" s="59">
        <v>13.1959</v>
      </c>
      <c r="BV377" s="59">
        <v>131.81700000000001</v>
      </c>
      <c r="BY377" s="59"/>
      <c r="BZ377" s="59"/>
      <c r="CA377" s="59"/>
      <c r="CC377" s="59"/>
    </row>
    <row r="378" spans="1:81" x14ac:dyDescent="0.25">
      <c r="A378">
        <f t="shared" si="319"/>
        <v>820000</v>
      </c>
      <c r="B378">
        <f t="shared" si="295"/>
        <v>820</v>
      </c>
      <c r="C378">
        <f t="shared" si="264"/>
        <v>6.8740460938639707</v>
      </c>
      <c r="D378">
        <f t="shared" si="265"/>
        <v>1.4248035366314942</v>
      </c>
      <c r="F378">
        <f t="shared" si="266"/>
        <v>3.811912415008006E-5</v>
      </c>
      <c r="G378">
        <f t="shared" si="267"/>
        <v>2.100265869295727E-3</v>
      </c>
      <c r="H378">
        <f t="shared" si="268"/>
        <v>-3.1394923841307043</v>
      </c>
      <c r="J378">
        <f t="shared" si="269"/>
        <v>15</v>
      </c>
      <c r="M378">
        <f t="shared" si="270"/>
        <v>1.822078014272059E-3</v>
      </c>
      <c r="N378">
        <f t="shared" si="271"/>
        <v>-1.5707963250000001</v>
      </c>
      <c r="O378">
        <f t="shared" si="272"/>
        <v>209.70771491053577</v>
      </c>
      <c r="P378">
        <f t="shared" si="273"/>
        <v>1.5660277669434044</v>
      </c>
      <c r="Q378">
        <f t="shared" si="274"/>
        <v>177.49136638853898</v>
      </c>
      <c r="R378">
        <f t="shared" si="275"/>
        <v>1.5651622201287907</v>
      </c>
      <c r="S378">
        <f t="shared" si="276"/>
        <v>0.14777555790035729</v>
      </c>
      <c r="T378">
        <f t="shared" si="277"/>
        <v>-1.4224775694953804</v>
      </c>
      <c r="U378">
        <f t="shared" si="278"/>
        <v>0.18811892480221201</v>
      </c>
      <c r="V378">
        <f t="shared" si="279"/>
        <v>-1.3815498028062831</v>
      </c>
      <c r="X378">
        <f t="shared" si="296"/>
        <v>-42.603193669614193</v>
      </c>
      <c r="Y378">
        <f t="shared" si="280"/>
        <v>-169.49939718988139</v>
      </c>
      <c r="Z378">
        <f t="shared" si="297"/>
        <v>10.500602810118608</v>
      </c>
      <c r="AC378">
        <v>1</v>
      </c>
      <c r="AD378">
        <f t="shared" si="281"/>
        <v>209.70533062609201</v>
      </c>
      <c r="AE378">
        <f t="shared" si="282"/>
        <v>-0.12965355715099572</v>
      </c>
      <c r="AF378">
        <f t="shared" si="283"/>
        <v>2.4833661579720001E-2</v>
      </c>
      <c r="AG378">
        <f t="shared" si="315"/>
        <v>291.39661811315642</v>
      </c>
      <c r="AH378">
        <f t="shared" si="316"/>
        <v>-1561.6145833206708</v>
      </c>
      <c r="AJ378">
        <f t="shared" si="284"/>
        <v>22100</v>
      </c>
      <c r="AK378">
        <f t="shared" si="285"/>
        <v>147909.18532457342</v>
      </c>
      <c r="AL378">
        <v>1</v>
      </c>
      <c r="AM378">
        <f t="shared" si="286"/>
        <v>177.48854932775401</v>
      </c>
      <c r="AN378">
        <f t="shared" si="317"/>
        <v>834.02000834789101</v>
      </c>
      <c r="AO378">
        <f t="shared" si="318"/>
        <v>-119.81606741504157</v>
      </c>
      <c r="AQ378">
        <f t="shared" si="287"/>
        <v>3.7180236027574351E-3</v>
      </c>
      <c r="AR378">
        <f t="shared" si="288"/>
        <v>-6.0975587085221932</v>
      </c>
      <c r="AT378">
        <f t="shared" si="313"/>
        <v>-9520.9531823783036</v>
      </c>
      <c r="AU378">
        <f t="shared" si="314"/>
        <v>-1782.6141062889894</v>
      </c>
      <c r="AV378">
        <f t="shared" si="302"/>
        <v>-2.9565049334306805</v>
      </c>
      <c r="AW378">
        <f t="shared" si="303"/>
        <v>411.53347488684824</v>
      </c>
      <c r="AX378">
        <f t="shared" si="304"/>
        <v>-7092.6181331489042</v>
      </c>
      <c r="AY378">
        <f t="shared" si="312"/>
        <v>-1.5128385220834826</v>
      </c>
      <c r="BA378">
        <f t="shared" si="289"/>
        <v>1.3634078837702346</v>
      </c>
      <c r="BB378">
        <f t="shared" si="305"/>
        <v>2.6925160186853092</v>
      </c>
      <c r="BC378">
        <f t="shared" si="306"/>
        <v>-1.443666411347198</v>
      </c>
      <c r="BD378">
        <f t="shared" si="290"/>
        <v>-262.71599248950866</v>
      </c>
      <c r="BF378">
        <f t="shared" si="291"/>
        <v>-45.418551731875468</v>
      </c>
      <c r="BG378">
        <f t="shared" si="292"/>
        <v>-180.96042674162527</v>
      </c>
      <c r="BH378">
        <f t="shared" si="307"/>
        <v>-0.96042674162526964</v>
      </c>
      <c r="BI378">
        <f t="shared" si="308"/>
        <v>-0.96042674162526964</v>
      </c>
      <c r="BJ378">
        <f t="shared" si="293"/>
        <v>0</v>
      </c>
      <c r="BK378">
        <f t="shared" si="309"/>
        <v>0</v>
      </c>
      <c r="BM378">
        <f t="shared" si="310"/>
        <v>-48.111067750560778</v>
      </c>
      <c r="BN378">
        <f t="shared" si="294"/>
        <v>-98.244434252116619</v>
      </c>
      <c r="BQ378" s="56">
        <f t="shared" si="311"/>
        <v>19.594476818970445</v>
      </c>
      <c r="BR378" s="59"/>
      <c r="BS378" s="59"/>
      <c r="BT378" s="59">
        <v>478630.092</v>
      </c>
      <c r="BU378" s="59">
        <v>13.0069</v>
      </c>
      <c r="BV378" s="59">
        <v>129.95699999999999</v>
      </c>
      <c r="BY378" s="59"/>
      <c r="BZ378" s="59"/>
      <c r="CA378" s="59"/>
      <c r="CC378" s="59"/>
    </row>
    <row r="379" spans="1:81" x14ac:dyDescent="0.25">
      <c r="A379">
        <f t="shared" si="319"/>
        <v>825000</v>
      </c>
      <c r="B379">
        <f t="shared" si="295"/>
        <v>825</v>
      </c>
      <c r="C379">
        <f t="shared" si="264"/>
        <v>6.9150765994876577</v>
      </c>
      <c r="D379">
        <f t="shared" si="265"/>
        <v>1.4256759341534526</v>
      </c>
      <c r="F379">
        <f t="shared" si="266"/>
        <v>3.7658457866205431E-5</v>
      </c>
      <c r="G379">
        <f t="shared" si="267"/>
        <v>2.0875360550528868E-3</v>
      </c>
      <c r="H379">
        <f t="shared" si="268"/>
        <v>-3.1395051139449475</v>
      </c>
      <c r="J379">
        <f t="shared" si="269"/>
        <v>15</v>
      </c>
      <c r="M379">
        <f t="shared" si="270"/>
        <v>1.8110351172158645E-3</v>
      </c>
      <c r="N379">
        <f t="shared" si="271"/>
        <v>-1.5707963250000001</v>
      </c>
      <c r="O379">
        <f t="shared" si="272"/>
        <v>210.98639150089284</v>
      </c>
      <c r="P379">
        <f t="shared" si="273"/>
        <v>1.566056666872004</v>
      </c>
      <c r="Q379">
        <f t="shared" si="274"/>
        <v>178.57359656771033</v>
      </c>
      <c r="R379">
        <f t="shared" si="275"/>
        <v>1.5651963655137542</v>
      </c>
      <c r="S379">
        <f t="shared" si="276"/>
        <v>0.14689933282928053</v>
      </c>
      <c r="T379">
        <f t="shared" si="277"/>
        <v>-1.4233634629869929</v>
      </c>
      <c r="U379">
        <f t="shared" si="278"/>
        <v>0.18701880409375943</v>
      </c>
      <c r="V379">
        <f t="shared" si="279"/>
        <v>-1.3826698019332944</v>
      </c>
      <c r="X379">
        <f t="shared" si="296"/>
        <v>-42.706911071948419</v>
      </c>
      <c r="Y379">
        <f t="shared" si="280"/>
        <v>-169.56145880933491</v>
      </c>
      <c r="Z379">
        <f t="shared" si="297"/>
        <v>10.438541190665092</v>
      </c>
      <c r="AC379">
        <v>1</v>
      </c>
      <c r="AD379">
        <f t="shared" si="281"/>
        <v>210.98402166649501</v>
      </c>
      <c r="AE379">
        <f t="shared" si="282"/>
        <v>-0.13123951864351052</v>
      </c>
      <c r="AF379">
        <f t="shared" si="283"/>
        <v>2.4985086345450002E-2</v>
      </c>
      <c r="AG379">
        <f t="shared" si="315"/>
        <v>287.99840496356802</v>
      </c>
      <c r="AH379">
        <f t="shared" si="316"/>
        <v>-1552.7971967398346</v>
      </c>
      <c r="AJ379">
        <f t="shared" si="284"/>
        <v>22100</v>
      </c>
      <c r="AK379">
        <f t="shared" si="285"/>
        <v>148811.07060094277</v>
      </c>
      <c r="AL379">
        <v>1</v>
      </c>
      <c r="AM379">
        <f t="shared" si="286"/>
        <v>178.57079657975251</v>
      </c>
      <c r="AN379">
        <f t="shared" si="317"/>
        <v>834.01185080977848</v>
      </c>
      <c r="AO379">
        <f t="shared" si="318"/>
        <v>-119.08995511308312</v>
      </c>
      <c r="AQ379">
        <f t="shared" si="287"/>
        <v>3.6730932330236057E-3</v>
      </c>
      <c r="AR379">
        <f t="shared" si="288"/>
        <v>-6.0606038344889495</v>
      </c>
      <c r="AT379">
        <f t="shared" si="313"/>
        <v>-9409.830799752739</v>
      </c>
      <c r="AU379">
        <f t="shared" si="314"/>
        <v>-1751.1478063245049</v>
      </c>
      <c r="AV379">
        <f t="shared" si="302"/>
        <v>-2.9575997281192268</v>
      </c>
      <c r="AW379">
        <f t="shared" si="303"/>
        <v>416.75935786459473</v>
      </c>
      <c r="AX379">
        <f t="shared" si="304"/>
        <v>-7050.2545160233931</v>
      </c>
      <c r="AY379">
        <f t="shared" si="312"/>
        <v>-1.5117523669397277</v>
      </c>
      <c r="BA379">
        <f t="shared" si="289"/>
        <v>1.3552286971625507</v>
      </c>
      <c r="BB379">
        <f t="shared" si="305"/>
        <v>2.6402517866421378</v>
      </c>
      <c r="BC379">
        <f t="shared" si="306"/>
        <v>-1.4458473611794991</v>
      </c>
      <c r="BD379">
        <f t="shared" si="290"/>
        <v>-262.84095171037205</v>
      </c>
      <c r="BF379">
        <f t="shared" si="291"/>
        <v>-45.524732498603186</v>
      </c>
      <c r="BG379">
        <f t="shared" si="292"/>
        <v>-181.03613063099661</v>
      </c>
      <c r="BH379">
        <f t="shared" si="307"/>
        <v>-1.0361306309966096</v>
      </c>
      <c r="BI379">
        <f t="shared" si="308"/>
        <v>-1.0361306309966096</v>
      </c>
      <c r="BJ379">
        <f t="shared" si="293"/>
        <v>0</v>
      </c>
      <c r="BK379">
        <f t="shared" si="309"/>
        <v>0</v>
      </c>
      <c r="BM379">
        <f t="shared" si="310"/>
        <v>-48.164984285245318</v>
      </c>
      <c r="BN379">
        <f t="shared" si="294"/>
        <v>-98.195178920624556</v>
      </c>
      <c r="BQ379" s="56">
        <f t="shared" si="311"/>
        <v>19.542212586927274</v>
      </c>
      <c r="BR379" s="59"/>
      <c r="BS379" s="59"/>
      <c r="BT379" s="59">
        <v>489778.81900000002</v>
      </c>
      <c r="BU379" s="59">
        <v>12.7394</v>
      </c>
      <c r="BV379" s="59">
        <v>126.41800000000001</v>
      </c>
      <c r="BY379" s="59"/>
      <c r="BZ379" s="59"/>
      <c r="CA379" s="59"/>
      <c r="CC379" s="59"/>
    </row>
    <row r="380" spans="1:81" x14ac:dyDescent="0.25">
      <c r="A380">
        <f t="shared" si="319"/>
        <v>830000</v>
      </c>
      <c r="B380">
        <f t="shared" si="295"/>
        <v>830</v>
      </c>
      <c r="C380">
        <f t="shared" si="264"/>
        <v>6.9561123059314474</v>
      </c>
      <c r="D380">
        <f t="shared" si="265"/>
        <v>1.426538039377826</v>
      </c>
      <c r="F380">
        <f t="shared" si="266"/>
        <v>3.7206092166564598E-5</v>
      </c>
      <c r="G380">
        <f t="shared" si="267"/>
        <v>2.0749596287257047E-3</v>
      </c>
      <c r="H380">
        <f t="shared" si="268"/>
        <v>-3.1395176903712745</v>
      </c>
      <c r="J380">
        <f t="shared" si="269"/>
        <v>15</v>
      </c>
      <c r="M380">
        <f t="shared" si="270"/>
        <v>1.8001252671121547E-3</v>
      </c>
      <c r="N380">
        <f t="shared" si="271"/>
        <v>-1.5707963250000001</v>
      </c>
      <c r="O380">
        <f t="shared" si="272"/>
        <v>212.26506826534393</v>
      </c>
      <c r="P380">
        <f t="shared" si="273"/>
        <v>1.5660852186164678</v>
      </c>
      <c r="Q380">
        <f t="shared" si="274"/>
        <v>179.65582695257356</v>
      </c>
      <c r="R380">
        <f t="shared" si="275"/>
        <v>1.5652300995213611</v>
      </c>
      <c r="S380">
        <f t="shared" si="276"/>
        <v>0.14603332495254182</v>
      </c>
      <c r="T380">
        <f t="shared" si="277"/>
        <v>-1.4242389120367236</v>
      </c>
      <c r="U380">
        <f t="shared" si="278"/>
        <v>0.18593124642323966</v>
      </c>
      <c r="V380">
        <f t="shared" si="279"/>
        <v>-1.3837767763267019</v>
      </c>
      <c r="X380">
        <f t="shared" si="296"/>
        <v>-42.810023578740854</v>
      </c>
      <c r="Y380">
        <f t="shared" si="280"/>
        <v>-169.62280018048429</v>
      </c>
      <c r="Z380">
        <f t="shared" si="297"/>
        <v>10.37719981951571</v>
      </c>
      <c r="AC380">
        <v>1</v>
      </c>
      <c r="AD380">
        <f t="shared" si="281"/>
        <v>212.26271270689801</v>
      </c>
      <c r="AE380">
        <f t="shared" si="282"/>
        <v>-0.13283512123932326</v>
      </c>
      <c r="AF380">
        <f t="shared" si="283"/>
        <v>2.5136511111180003E-2</v>
      </c>
      <c r="AG380">
        <f t="shared" si="315"/>
        <v>284.65858929741694</v>
      </c>
      <c r="AH380">
        <f t="shared" si="316"/>
        <v>-1544.0749931232237</v>
      </c>
      <c r="AJ380">
        <f t="shared" si="284"/>
        <v>22100</v>
      </c>
      <c r="AK380">
        <f t="shared" si="285"/>
        <v>149712.95587731211</v>
      </c>
      <c r="AL380">
        <v>1</v>
      </c>
      <c r="AM380">
        <f t="shared" si="286"/>
        <v>179.65304383175103</v>
      </c>
      <c r="AN380">
        <f t="shared" si="317"/>
        <v>834.00384024646087</v>
      </c>
      <c r="AO380">
        <f t="shared" si="318"/>
        <v>-118.37259033400851</v>
      </c>
      <c r="AQ380">
        <f t="shared" si="287"/>
        <v>3.6289724092856694E-3</v>
      </c>
      <c r="AR380">
        <f t="shared" si="288"/>
        <v>-6.0240941994142112</v>
      </c>
      <c r="AT380">
        <f t="shared" si="313"/>
        <v>-9300.6201913675231</v>
      </c>
      <c r="AU380">
        <f t="shared" si="314"/>
        <v>-1720.4135621479138</v>
      </c>
      <c r="AV380">
        <f t="shared" si="302"/>
        <v>-2.9586818017343441</v>
      </c>
      <c r="AW380">
        <f t="shared" si="303"/>
        <v>421.88812846258645</v>
      </c>
      <c r="AX380">
        <f t="shared" si="304"/>
        <v>-7008.3907255499607</v>
      </c>
      <c r="AY380">
        <f t="shared" si="312"/>
        <v>-1.5106713074170908</v>
      </c>
      <c r="BA380">
        <f t="shared" si="289"/>
        <v>1.347143854408533</v>
      </c>
      <c r="BB380">
        <f t="shared" si="305"/>
        <v>2.5882794844672379</v>
      </c>
      <c r="BC380">
        <f t="shared" si="306"/>
        <v>-1.4480104943172534</v>
      </c>
      <c r="BD380">
        <f t="shared" si="290"/>
        <v>-262.96489010983191</v>
      </c>
      <c r="BF380">
        <f t="shared" si="291"/>
        <v>-45.630282482373204</v>
      </c>
      <c r="BG380">
        <f t="shared" si="292"/>
        <v>-181.11139461569798</v>
      </c>
      <c r="BH380">
        <f t="shared" si="307"/>
        <v>-1.111394615697975</v>
      </c>
      <c r="BI380">
        <f t="shared" si="308"/>
        <v>-1.111394615697975</v>
      </c>
      <c r="BJ380">
        <f t="shared" si="293"/>
        <v>0</v>
      </c>
      <c r="BK380">
        <f t="shared" si="309"/>
        <v>0</v>
      </c>
      <c r="BM380">
        <f t="shared" si="310"/>
        <v>-48.21856196684044</v>
      </c>
      <c r="BN380">
        <f t="shared" si="294"/>
        <v>-98.146504505866062</v>
      </c>
      <c r="BQ380" s="56">
        <f t="shared" si="311"/>
        <v>19.490240284752375</v>
      </c>
      <c r="BR380" s="59"/>
      <c r="BS380" s="59"/>
      <c r="BT380" s="59">
        <v>501187.234</v>
      </c>
      <c r="BU380" s="59">
        <v>12.4757</v>
      </c>
      <c r="BV380" s="59">
        <v>125.40900000000001</v>
      </c>
      <c r="BY380" s="59"/>
      <c r="BZ380" s="59"/>
      <c r="CA380" s="59"/>
      <c r="CC380" s="59"/>
    </row>
    <row r="381" spans="1:81" x14ac:dyDescent="0.25">
      <c r="A381">
        <f t="shared" si="319"/>
        <v>835000</v>
      </c>
      <c r="B381">
        <f t="shared" si="295"/>
        <v>835</v>
      </c>
      <c r="C381">
        <f t="shared" si="264"/>
        <v>6.9971531216926977</v>
      </c>
      <c r="D381">
        <f t="shared" si="265"/>
        <v>1.4273900321157948</v>
      </c>
      <c r="F381">
        <f t="shared" si="266"/>
        <v>3.6761828819646537E-5</v>
      </c>
      <c r="G381">
        <f t="shared" si="267"/>
        <v>2.0625338344471625E-3</v>
      </c>
      <c r="H381">
        <f t="shared" si="268"/>
        <v>-3.1395301161655529</v>
      </c>
      <c r="J381">
        <f t="shared" si="269"/>
        <v>15</v>
      </c>
      <c r="M381">
        <f t="shared" si="270"/>
        <v>1.7893460738959142E-3</v>
      </c>
      <c r="N381">
        <f t="shared" si="271"/>
        <v>-1.5707963250000001</v>
      </c>
      <c r="O381">
        <f t="shared" si="272"/>
        <v>213.54374520076163</v>
      </c>
      <c r="P381">
        <f t="shared" si="273"/>
        <v>1.5661134284314158</v>
      </c>
      <c r="Q381">
        <f t="shared" si="274"/>
        <v>180.73805753943375</v>
      </c>
      <c r="R381">
        <f t="shared" si="275"/>
        <v>1.565263429541319</v>
      </c>
      <c r="S381">
        <f t="shared" si="276"/>
        <v>0.14517735857834513</v>
      </c>
      <c r="T381">
        <f t="shared" si="277"/>
        <v>-1.4251040989493093</v>
      </c>
      <c r="U381">
        <f t="shared" si="278"/>
        <v>0.18485604181469772</v>
      </c>
      <c r="V381">
        <f t="shared" si="279"/>
        <v>-1.3848709492083333</v>
      </c>
      <c r="X381">
        <f t="shared" si="296"/>
        <v>-42.91253808484619</v>
      </c>
      <c r="Y381">
        <f t="shared" si="280"/>
        <v>-169.68343361200562</v>
      </c>
      <c r="Z381">
        <f t="shared" si="297"/>
        <v>10.316566387994385</v>
      </c>
      <c r="AC381">
        <v>1</v>
      </c>
      <c r="AD381">
        <f t="shared" si="281"/>
        <v>213.54140374730102</v>
      </c>
      <c r="AE381">
        <f t="shared" si="282"/>
        <v>-0.13444036493843398</v>
      </c>
      <c r="AF381">
        <f t="shared" si="283"/>
        <v>2.528793587691E-2</v>
      </c>
      <c r="AG381">
        <f t="shared" si="315"/>
        <v>281.37585686910421</v>
      </c>
      <c r="AH381">
        <f t="shared" si="316"/>
        <v>-1535.4465098039252</v>
      </c>
      <c r="AJ381">
        <f t="shared" si="284"/>
        <v>22100</v>
      </c>
      <c r="AK381">
        <f t="shared" si="285"/>
        <v>150614.84115368145</v>
      </c>
      <c r="AL381">
        <v>1</v>
      </c>
      <c r="AM381">
        <f t="shared" si="286"/>
        <v>180.73529108374953</v>
      </c>
      <c r="AN381">
        <f t="shared" si="317"/>
        <v>833.99597314832545</v>
      </c>
      <c r="AO381">
        <f t="shared" si="318"/>
        <v>-117.66381595610669</v>
      </c>
      <c r="AQ381">
        <f t="shared" si="287"/>
        <v>3.585641799404138E-3</v>
      </c>
      <c r="AR381">
        <f t="shared" si="288"/>
        <v>-5.9880218050049105</v>
      </c>
      <c r="AT381">
        <f t="shared" si="313"/>
        <v>-9193.2782680908567</v>
      </c>
      <c r="AU381">
        <f t="shared" si="314"/>
        <v>-1690.3903275204389</v>
      </c>
      <c r="AV381">
        <f t="shared" si="302"/>
        <v>-2.9597513720430708</v>
      </c>
      <c r="AW381">
        <f t="shared" si="303"/>
        <v>426.92218951734247</v>
      </c>
      <c r="AX381">
        <f t="shared" si="304"/>
        <v>-6967.0180181114029</v>
      </c>
      <c r="AY381">
        <f t="shared" si="312"/>
        <v>-1.509595245841862</v>
      </c>
      <c r="BA381">
        <f t="shared" si="289"/>
        <v>1.3391517450823192</v>
      </c>
      <c r="BB381">
        <f t="shared" si="305"/>
        <v>2.5365958317703168</v>
      </c>
      <c r="BC381">
        <f t="shared" si="306"/>
        <v>-1.4501561262012088</v>
      </c>
      <c r="BD381">
        <f t="shared" si="290"/>
        <v>-263.08782576131171</v>
      </c>
      <c r="BF381">
        <f t="shared" si="291"/>
        <v>-45.735209260936216</v>
      </c>
      <c r="BG381">
        <f t="shared" si="292"/>
        <v>-181.18622662463065</v>
      </c>
      <c r="BH381">
        <f t="shared" si="307"/>
        <v>-1.186226624630649</v>
      </c>
      <c r="BI381">
        <f t="shared" si="308"/>
        <v>-1.186226624630649</v>
      </c>
      <c r="BJ381">
        <f t="shared" si="293"/>
        <v>0</v>
      </c>
      <c r="BK381">
        <f t="shared" si="309"/>
        <v>0</v>
      </c>
      <c r="BM381">
        <f t="shared" si="310"/>
        <v>-48.271805092706536</v>
      </c>
      <c r="BN381">
        <f t="shared" si="294"/>
        <v>-98.098400863318929</v>
      </c>
      <c r="BQ381" s="56">
        <f t="shared" si="311"/>
        <v>19.438556632055455</v>
      </c>
      <c r="BR381" s="59"/>
      <c r="BS381" s="59"/>
      <c r="BT381" s="59">
        <v>512861.38400000002</v>
      </c>
      <c r="BU381" s="59">
        <v>12.1639</v>
      </c>
      <c r="BV381" s="59">
        <v>124.027</v>
      </c>
      <c r="BY381" s="59"/>
      <c r="BZ381" s="59"/>
      <c r="CA381" s="59"/>
      <c r="CC381" s="59"/>
    </row>
    <row r="382" spans="1:81" x14ac:dyDescent="0.25">
      <c r="A382">
        <f t="shared" si="319"/>
        <v>840000</v>
      </c>
      <c r="B382">
        <f t="shared" si="295"/>
        <v>840</v>
      </c>
      <c r="C382">
        <f t="shared" si="264"/>
        <v>7.0381989573917734</v>
      </c>
      <c r="D382">
        <f t="shared" si="265"/>
        <v>1.4282320880435118</v>
      </c>
      <c r="F382">
        <f t="shared" si="266"/>
        <v>3.6325475476484556E-5</v>
      </c>
      <c r="G382">
        <f t="shared" si="267"/>
        <v>2.050255981977792E-3</v>
      </c>
      <c r="H382">
        <f t="shared" si="268"/>
        <v>-3.1395423940180223</v>
      </c>
      <c r="J382">
        <f t="shared" si="269"/>
        <v>15</v>
      </c>
      <c r="M382">
        <f t="shared" si="270"/>
        <v>1.7786952044084384E-3</v>
      </c>
      <c r="N382">
        <f t="shared" si="271"/>
        <v>-1.5707963250000001</v>
      </c>
      <c r="O382">
        <f t="shared" si="272"/>
        <v>214.8224223040931</v>
      </c>
      <c r="P382">
        <f t="shared" si="273"/>
        <v>1.5661413024225546</v>
      </c>
      <c r="Q382">
        <f t="shared" si="274"/>
        <v>181.82028832468393</v>
      </c>
      <c r="R382">
        <f t="shared" si="275"/>
        <v>1.5652963627873997</v>
      </c>
      <c r="S382">
        <f t="shared" si="276"/>
        <v>0.1443312619737819</v>
      </c>
      <c r="T382">
        <f t="shared" si="277"/>
        <v>-1.4259592018418596</v>
      </c>
      <c r="U382">
        <f t="shared" si="278"/>
        <v>0.18379298485205442</v>
      </c>
      <c r="V382">
        <f t="shared" si="279"/>
        <v>-1.3859525387894831</v>
      </c>
      <c r="X382">
        <f t="shared" si="296"/>
        <v>-43.014461369906442</v>
      </c>
      <c r="Y382">
        <f t="shared" si="280"/>
        <v>-169.74337113733117</v>
      </c>
      <c r="Z382">
        <f t="shared" si="297"/>
        <v>10.256628862668833</v>
      </c>
      <c r="AC382">
        <v>1</v>
      </c>
      <c r="AD382">
        <f t="shared" si="281"/>
        <v>214.82009478770399</v>
      </c>
      <c r="AE382">
        <f t="shared" si="282"/>
        <v>-0.13605524974084265</v>
      </c>
      <c r="AF382">
        <f t="shared" si="283"/>
        <v>2.5439360642640001E-2</v>
      </c>
      <c r="AG382">
        <f t="shared" si="315"/>
        <v>278.14892973199187</v>
      </c>
      <c r="AH382">
        <f t="shared" si="316"/>
        <v>-1526.9103121533169</v>
      </c>
      <c r="AJ382">
        <f t="shared" si="284"/>
        <v>22100</v>
      </c>
      <c r="AK382">
        <f t="shared" si="285"/>
        <v>151516.72643005083</v>
      </c>
      <c r="AL382">
        <v>1</v>
      </c>
      <c r="AM382">
        <f t="shared" si="286"/>
        <v>181.81753833574803</v>
      </c>
      <c r="AN382">
        <f t="shared" si="317"/>
        <v>833.98824610989402</v>
      </c>
      <c r="AO382">
        <f t="shared" si="318"/>
        <v>-116.96347859808691</v>
      </c>
      <c r="AQ382">
        <f t="shared" si="287"/>
        <v>3.5430826448828497E-3</v>
      </c>
      <c r="AR382">
        <f t="shared" si="288"/>
        <v>-5.9523788434031877</v>
      </c>
      <c r="AT382">
        <f t="shared" si="313"/>
        <v>-9087.7631331899338</v>
      </c>
      <c r="AU382">
        <f t="shared" si="314"/>
        <v>-1661.0577740792314</v>
      </c>
      <c r="AV382">
        <f t="shared" si="302"/>
        <v>-2.9608086519317829</v>
      </c>
      <c r="AW382">
        <f t="shared" si="303"/>
        <v>431.86386975090267</v>
      </c>
      <c r="AX382">
        <f t="shared" si="304"/>
        <v>-6926.1278518589661</v>
      </c>
      <c r="AY382">
        <f t="shared" si="312"/>
        <v>-1.5085240871269612</v>
      </c>
      <c r="BA382">
        <f t="shared" si="289"/>
        <v>1.3312507946376355</v>
      </c>
      <c r="BB382">
        <f t="shared" si="305"/>
        <v>2.4851976003569116</v>
      </c>
      <c r="BC382">
        <f t="shared" si="306"/>
        <v>-1.4522845648048217</v>
      </c>
      <c r="BD382">
        <f t="shared" si="290"/>
        <v>-263.20977631039079</v>
      </c>
      <c r="BF382">
        <f t="shared" si="291"/>
        <v>-45.839520277688393</v>
      </c>
      <c r="BG382">
        <f t="shared" si="292"/>
        <v>-181.26063439201121</v>
      </c>
      <c r="BH382">
        <f t="shared" si="307"/>
        <v>-1.2606343920112124</v>
      </c>
      <c r="BI382">
        <f t="shared" si="308"/>
        <v>-1.2606343920112124</v>
      </c>
      <c r="BJ382">
        <f t="shared" si="293"/>
        <v>0</v>
      </c>
      <c r="BK382">
        <f t="shared" si="309"/>
        <v>0</v>
      </c>
      <c r="BM382">
        <f t="shared" si="310"/>
        <v>-48.324717878045305</v>
      </c>
      <c r="BN382">
        <f t="shared" si="294"/>
        <v>-98.050858081620447</v>
      </c>
      <c r="BQ382" s="56">
        <f t="shared" si="311"/>
        <v>19.387158400642047</v>
      </c>
      <c r="BR382" s="59"/>
      <c r="BS382" s="59"/>
      <c r="BT382" s="59">
        <v>524807.46</v>
      </c>
      <c r="BU382" s="59">
        <v>11.9579</v>
      </c>
      <c r="BV382" s="59">
        <v>122.795</v>
      </c>
      <c r="BY382" s="59"/>
      <c r="BZ382" s="59"/>
      <c r="CA382" s="59"/>
      <c r="CC382" s="59"/>
    </row>
    <row r="383" spans="1:81" x14ac:dyDescent="0.25">
      <c r="A383">
        <f t="shared" si="319"/>
        <v>845000</v>
      </c>
      <c r="B383">
        <f t="shared" si="295"/>
        <v>845</v>
      </c>
      <c r="C383">
        <f t="shared" si="264"/>
        <v>7.0792497257111409</v>
      </c>
      <c r="D383">
        <f t="shared" si="265"/>
        <v>1.4290643788194408</v>
      </c>
      <c r="F383">
        <f t="shared" si="266"/>
        <v>3.5896845462412201E-5</v>
      </c>
      <c r="G383">
        <f t="shared" si="267"/>
        <v>2.0381234447636155E-3</v>
      </c>
      <c r="H383">
        <f t="shared" si="268"/>
        <v>-3.1395545265552367</v>
      </c>
      <c r="J383">
        <f t="shared" si="269"/>
        <v>15</v>
      </c>
      <c r="M383">
        <f t="shared" si="270"/>
        <v>1.7681703807137141E-3</v>
      </c>
      <c r="N383">
        <f t="shared" si="271"/>
        <v>-1.5707963250000001</v>
      </c>
      <c r="O383">
        <f t="shared" si="272"/>
        <v>216.10109957235767</v>
      </c>
      <c r="P383">
        <f t="shared" si="273"/>
        <v>1.5661688465510815</v>
      </c>
      <c r="Q383">
        <f t="shared" si="274"/>
        <v>182.9025193048025</v>
      </c>
      <c r="R383">
        <f t="shared" si="275"/>
        <v>1.5653289063026432</v>
      </c>
      <c r="S383">
        <f t="shared" si="276"/>
        <v>0.14349486725530577</v>
      </c>
      <c r="T383">
        <f t="shared" si="277"/>
        <v>-1.4268043947625266</v>
      </c>
      <c r="U383">
        <f t="shared" si="278"/>
        <v>0.18274187455874258</v>
      </c>
      <c r="V383">
        <f t="shared" si="279"/>
        <v>-1.3870217584089546</v>
      </c>
      <c r="X383">
        <f t="shared" si="296"/>
        <v>-43.115800100859431</v>
      </c>
      <c r="Y383">
        <f t="shared" si="280"/>
        <v>-169.8026245221956</v>
      </c>
      <c r="Z383">
        <f t="shared" si="297"/>
        <v>10.1973754778044</v>
      </c>
      <c r="AC383">
        <v>1</v>
      </c>
      <c r="AD383">
        <f t="shared" si="281"/>
        <v>216.098785828107</v>
      </c>
      <c r="AE383">
        <f t="shared" si="282"/>
        <v>-0.13767977564654929</v>
      </c>
      <c r="AF383">
        <f t="shared" si="283"/>
        <v>2.5590785408370002E-2</v>
      </c>
      <c r="AG383">
        <f t="shared" si="315"/>
        <v>274.97656505797892</v>
      </c>
      <c r="AH383">
        <f t="shared" si="316"/>
        <v>-1518.4649929709362</v>
      </c>
      <c r="AJ383">
        <f t="shared" si="284"/>
        <v>22100</v>
      </c>
      <c r="AK383">
        <f t="shared" si="285"/>
        <v>152418.61170642017</v>
      </c>
      <c r="AL383">
        <v>1</v>
      </c>
      <c r="AM383">
        <f t="shared" si="286"/>
        <v>182.89978558774652</v>
      </c>
      <c r="AN383">
        <f t="shared" si="317"/>
        <v>833.98065582613651</v>
      </c>
      <c r="AO383">
        <f t="shared" si="318"/>
        <v>-116.27142850843556</v>
      </c>
      <c r="AQ383">
        <f t="shared" si="287"/>
        <v>3.5012767405634463E-3</v>
      </c>
      <c r="AR383">
        <f t="shared" si="288"/>
        <v>-5.9171576915522248</v>
      </c>
      <c r="AT383">
        <f t="shared" si="313"/>
        <v>-8984.0340434593327</v>
      </c>
      <c r="AU383">
        <f t="shared" si="314"/>
        <v>-1632.3962630906797</v>
      </c>
      <c r="AV383">
        <f t="shared" si="302"/>
        <v>-2.9618538495403937</v>
      </c>
      <c r="AW383">
        <f t="shared" si="303"/>
        <v>436.71542650324795</v>
      </c>
      <c r="AX383">
        <f t="shared" si="304"/>
        <v>-6885.7118809482072</v>
      </c>
      <c r="AY383">
        <f t="shared" si="312"/>
        <v>-1.5074577386874259</v>
      </c>
      <c r="BA383">
        <f t="shared" si="289"/>
        <v>1.3234394634326863</v>
      </c>
      <c r="BB383">
        <f t="shared" si="305"/>
        <v>2.4340816131867649</v>
      </c>
      <c r="BC383">
        <f t="shared" si="306"/>
        <v>-1.4543961108529677</v>
      </c>
      <c r="BD383">
        <f t="shared" si="290"/>
        <v>-263.33075898733534</v>
      </c>
      <c r="BF383">
        <f t="shared" si="291"/>
        <v>-45.943222844809881</v>
      </c>
      <c r="BG383">
        <f t="shared" si="292"/>
        <v>-181.33462546329085</v>
      </c>
      <c r="BH383">
        <f t="shared" si="307"/>
        <v>-1.3346254632908483</v>
      </c>
      <c r="BI383">
        <f t="shared" si="308"/>
        <v>-1.3346254632908483</v>
      </c>
      <c r="BJ383">
        <f t="shared" si="293"/>
        <v>0</v>
      </c>
      <c r="BK383">
        <f t="shared" si="309"/>
        <v>0</v>
      </c>
      <c r="BM383">
        <f t="shared" si="310"/>
        <v>-48.377304457996644</v>
      </c>
      <c r="BN383">
        <f t="shared" si="294"/>
        <v>-98.003866475955505</v>
      </c>
      <c r="BQ383" s="56">
        <f t="shared" si="311"/>
        <v>19.336042413471901</v>
      </c>
      <c r="BR383" s="59"/>
      <c r="BS383" s="59"/>
      <c r="BT383" s="59">
        <v>537031.79599999997</v>
      </c>
      <c r="BU383" s="59">
        <v>11.690200000000001</v>
      </c>
      <c r="BV383" s="59">
        <v>121.76300000000001</v>
      </c>
      <c r="BY383" s="59"/>
      <c r="BZ383" s="59"/>
      <c r="CA383" s="59"/>
      <c r="CC383" s="59"/>
    </row>
    <row r="384" spans="1:81" x14ac:dyDescent="0.25">
      <c r="A384">
        <f t="shared" si="319"/>
        <v>850000</v>
      </c>
      <c r="B384">
        <f t="shared" si="295"/>
        <v>850</v>
      </c>
      <c r="C384">
        <f t="shared" si="264"/>
        <v>7.120305341336544</v>
      </c>
      <c r="D384">
        <f t="shared" si="265"/>
        <v>1.4298870721977537</v>
      </c>
      <c r="F384">
        <f t="shared" si="266"/>
        <v>3.5475757577369376E-5</v>
      </c>
      <c r="G384">
        <f t="shared" si="267"/>
        <v>2.0261336580626567E-3</v>
      </c>
      <c r="H384">
        <f t="shared" si="268"/>
        <v>-3.1395665163419375</v>
      </c>
      <c r="J384">
        <f t="shared" si="269"/>
        <v>15</v>
      </c>
      <c r="M384">
        <f t="shared" si="270"/>
        <v>1.7577693784742215E-3</v>
      </c>
      <c r="N384">
        <f t="shared" si="271"/>
        <v>-1.5707963250000001</v>
      </c>
      <c r="O384">
        <f t="shared" si="272"/>
        <v>217.37977700264483</v>
      </c>
      <c r="P384">
        <f t="shared" si="273"/>
        <v>1.5661960666379358</v>
      </c>
      <c r="Q384">
        <f t="shared" si="274"/>
        <v>183.98475047635068</v>
      </c>
      <c r="R384">
        <f t="shared" si="275"/>
        <v>1.5653610669643792</v>
      </c>
      <c r="S384">
        <f t="shared" si="276"/>
        <v>0.14266801028277548</v>
      </c>
      <c r="T384">
        <f t="shared" si="277"/>
        <v>-1.4276398478051917</v>
      </c>
      <c r="U384">
        <f t="shared" si="278"/>
        <v>0.18170251428103815</v>
      </c>
      <c r="V384">
        <f t="shared" si="279"/>
        <v>-1.3880788166666223</v>
      </c>
      <c r="X384">
        <f t="shared" si="296"/>
        <v>-43.216560834380559</v>
      </c>
      <c r="Y384">
        <f t="shared" si="280"/>
        <v>-169.86120527193839</v>
      </c>
      <c r="Z384">
        <f t="shared" si="297"/>
        <v>10.138794728061612</v>
      </c>
      <c r="AC384">
        <v>1</v>
      </c>
      <c r="AD384">
        <f t="shared" si="281"/>
        <v>217.37747686851</v>
      </c>
      <c r="AE384">
        <f t="shared" si="282"/>
        <v>-0.13931394265555386</v>
      </c>
      <c r="AF384">
        <f t="shared" si="283"/>
        <v>2.57422101741E-2</v>
      </c>
      <c r="AG384">
        <f t="shared" si="315"/>
        <v>271.85755400097759</v>
      </c>
      <c r="AH384">
        <f t="shared" si="316"/>
        <v>-1510.1091718877799</v>
      </c>
      <c r="AJ384">
        <f t="shared" si="284"/>
        <v>22100</v>
      </c>
      <c r="AK384">
        <f t="shared" si="285"/>
        <v>153320.49698278951</v>
      </c>
      <c r="AL384">
        <v>1</v>
      </c>
      <c r="AM384">
        <f t="shared" si="286"/>
        <v>183.98203283974502</v>
      </c>
      <c r="AN384">
        <f t="shared" si="317"/>
        <v>833.9731990889378</v>
      </c>
      <c r="AO384">
        <f t="shared" si="318"/>
        <v>-115.58751945867746</v>
      </c>
      <c r="AQ384">
        <f t="shared" si="287"/>
        <v>3.4602064151534897E-3</v>
      </c>
      <c r="AR384">
        <f t="shared" si="288"/>
        <v>-5.8823509057609327</v>
      </c>
      <c r="AT384">
        <f t="shared" si="313"/>
        <v>-8882.0513717996128</v>
      </c>
      <c r="AU384">
        <f t="shared" si="314"/>
        <v>-1604.3868184597504</v>
      </c>
      <c r="AV384">
        <f t="shared" si="302"/>
        <v>-2.9628871683922093</v>
      </c>
      <c r="AW384">
        <f t="shared" si="303"/>
        <v>441.47904834778012</v>
      </c>
      <c r="AX384">
        <f t="shared" si="304"/>
        <v>-6845.7619499708144</v>
      </c>
      <c r="AY384">
        <f t="shared" si="312"/>
        <v>-1.5063961103591765</v>
      </c>
      <c r="BA384">
        <f t="shared" si="289"/>
        <v>1.3157162457859555</v>
      </c>
      <c r="BB384">
        <f t="shared" si="305"/>
        <v>2.3832447433559323</v>
      </c>
      <c r="BC384">
        <f t="shared" si="306"/>
        <v>-1.4564910580330328</v>
      </c>
      <c r="BD384">
        <f t="shared" si="290"/>
        <v>-263.45079061919307</v>
      </c>
      <c r="BF384">
        <f t="shared" si="291"/>
        <v>-46.046324146312685</v>
      </c>
      <c r="BG384">
        <f t="shared" si="292"/>
        <v>-181.40820720086001</v>
      </c>
      <c r="BH384">
        <f t="shared" si="307"/>
        <v>-1.4082072008600051</v>
      </c>
      <c r="BI384">
        <f t="shared" si="308"/>
        <v>-1.4082072008600051</v>
      </c>
      <c r="BJ384">
        <f t="shared" si="293"/>
        <v>0</v>
      </c>
      <c r="BK384">
        <f t="shared" si="309"/>
        <v>0</v>
      </c>
      <c r="BM384">
        <f t="shared" si="310"/>
        <v>-48.429568889668616</v>
      </c>
      <c r="BN384">
        <f t="shared" si="294"/>
        <v>-97.957416581666976</v>
      </c>
      <c r="BQ384" s="56">
        <f t="shared" si="311"/>
        <v>19.285205543641069</v>
      </c>
      <c r="BR384" s="59"/>
      <c r="BS384" s="59"/>
      <c r="BT384" s="59">
        <v>549540.87399999995</v>
      </c>
      <c r="BU384" s="59">
        <v>11.575799999999999</v>
      </c>
      <c r="BV384" s="59">
        <v>121.762</v>
      </c>
      <c r="BY384" s="59"/>
      <c r="BZ384" s="59"/>
      <c r="CA384" s="59"/>
      <c r="CC384" s="59"/>
    </row>
    <row r="385" spans="1:81" x14ac:dyDescent="0.25">
      <c r="A385">
        <f t="shared" si="319"/>
        <v>855000</v>
      </c>
      <c r="B385">
        <f t="shared" si="295"/>
        <v>855</v>
      </c>
      <c r="C385">
        <f t="shared" si="264"/>
        <v>7.161365720900168</v>
      </c>
      <c r="D385">
        <f t="shared" si="265"/>
        <v>1.4307003321379335</v>
      </c>
      <c r="F385">
        <f t="shared" si="266"/>
        <v>3.506203590435973E-5</v>
      </c>
      <c r="G385">
        <f t="shared" si="267"/>
        <v>2.0142841171371948E-3</v>
      </c>
      <c r="H385">
        <f t="shared" si="268"/>
        <v>-3.1395783658828629</v>
      </c>
      <c r="J385">
        <f t="shared" si="269"/>
        <v>15</v>
      </c>
      <c r="M385">
        <f t="shared" si="270"/>
        <v>1.747490025383729E-3</v>
      </c>
      <c r="N385">
        <f t="shared" si="271"/>
        <v>-1.5707963250000001</v>
      </c>
      <c r="O385">
        <f t="shared" si="272"/>
        <v>218.65845459211209</v>
      </c>
      <c r="P385">
        <f t="shared" si="273"/>
        <v>1.5662229683678992</v>
      </c>
      <c r="Q385">
        <f t="shared" si="274"/>
        <v>185.06698183597015</v>
      </c>
      <c r="R385">
        <f t="shared" si="275"/>
        <v>1.565392851489072</v>
      </c>
      <c r="S385">
        <f t="shared" si="276"/>
        <v>0.14185053055693342</v>
      </c>
      <c r="T385">
        <f t="shared" si="277"/>
        <v>-1.4284657272203238</v>
      </c>
      <c r="U385">
        <f t="shared" si="278"/>
        <v>0.18067471157495921</v>
      </c>
      <c r="V385">
        <f t="shared" si="279"/>
        <v>-1.3891239175526842</v>
      </c>
      <c r="X385">
        <f t="shared" si="296"/>
        <v>-43.316750019259949</v>
      </c>
      <c r="Y385">
        <f t="shared" si="280"/>
        <v>-169.9191246385727</v>
      </c>
      <c r="Z385">
        <f t="shared" si="297"/>
        <v>10.080875361427303</v>
      </c>
      <c r="AC385">
        <v>1</v>
      </c>
      <c r="AD385">
        <f t="shared" si="281"/>
        <v>218.65616790891301</v>
      </c>
      <c r="AE385">
        <f t="shared" si="282"/>
        <v>-0.14095775076785638</v>
      </c>
      <c r="AF385">
        <f t="shared" si="283"/>
        <v>2.5893634939830001E-2</v>
      </c>
      <c r="AG385">
        <f t="shared" si="315"/>
        <v>268.79072060246267</v>
      </c>
      <c r="AH385">
        <f t="shared" si="316"/>
        <v>-1501.8414947828012</v>
      </c>
      <c r="AJ385">
        <f t="shared" si="284"/>
        <v>22100</v>
      </c>
      <c r="AK385">
        <f t="shared" si="285"/>
        <v>154222.38225915888</v>
      </c>
      <c r="AL385">
        <v>1</v>
      </c>
      <c r="AM385">
        <f t="shared" si="286"/>
        <v>185.06428009174354</v>
      </c>
      <c r="AN385">
        <f t="shared" si="317"/>
        <v>833.96587278370669</v>
      </c>
      <c r="AO385">
        <f t="shared" si="318"/>
        <v>-114.91160864038103</v>
      </c>
      <c r="AQ385">
        <f t="shared" si="287"/>
        <v>3.4198545125493271E-3</v>
      </c>
      <c r="AR385">
        <f t="shared" si="288"/>
        <v>-5.8479512164593492</v>
      </c>
      <c r="AT385">
        <f t="shared" si="313"/>
        <v>-8781.7765711854263</v>
      </c>
      <c r="AU385">
        <f t="shared" si="314"/>
        <v>-1577.0111009332234</v>
      </c>
      <c r="AV385">
        <f t="shared" si="302"/>
        <v>-2.9639088075196045</v>
      </c>
      <c r="AW385">
        <f t="shared" si="303"/>
        <v>446.15685759555817</v>
      </c>
      <c r="AX385">
        <f t="shared" si="304"/>
        <v>-6806.2700885746344</v>
      </c>
      <c r="AY385">
        <f t="shared" si="312"/>
        <v>-1.5053391143209109</v>
      </c>
      <c r="BA385">
        <f t="shared" si="289"/>
        <v>1.3080796690618106</v>
      </c>
      <c r="BB385">
        <f t="shared" si="305"/>
        <v>2.3326839131020289</v>
      </c>
      <c r="BC385">
        <f t="shared" si="306"/>
        <v>-1.4585696931986936</v>
      </c>
      <c r="BD385">
        <f t="shared" si="290"/>
        <v>-263.56988764146899</v>
      </c>
      <c r="BF385">
        <f t="shared" si="291"/>
        <v>-46.148831241001346</v>
      </c>
      <c r="BG385">
        <f t="shared" si="292"/>
        <v>-181.48138678954831</v>
      </c>
      <c r="BH385">
        <f t="shared" si="307"/>
        <v>-1.4813867895483099</v>
      </c>
      <c r="BI385">
        <f t="shared" si="308"/>
        <v>-1.4813867895483099</v>
      </c>
      <c r="BJ385">
        <f t="shared" si="293"/>
        <v>0</v>
      </c>
      <c r="BK385">
        <f t="shared" si="309"/>
        <v>0</v>
      </c>
      <c r="BM385">
        <f t="shared" si="310"/>
        <v>-48.481515154103377</v>
      </c>
      <c r="BN385">
        <f t="shared" si="294"/>
        <v>-97.911499148079315</v>
      </c>
      <c r="BQ385" s="56">
        <f t="shared" si="311"/>
        <v>19.234644713387166</v>
      </c>
      <c r="BR385" s="59"/>
      <c r="BS385" s="59"/>
      <c r="BT385" s="59">
        <v>562341.32499999995</v>
      </c>
      <c r="BU385" s="59">
        <v>11.314</v>
      </c>
      <c r="BV385" s="59">
        <v>119.89400000000001</v>
      </c>
      <c r="BY385" s="59"/>
      <c r="BZ385" s="59"/>
      <c r="CA385" s="59"/>
      <c r="CC385" s="59"/>
    </row>
    <row r="386" spans="1:81" x14ac:dyDescent="0.25">
      <c r="A386">
        <f t="shared" si="319"/>
        <v>860000</v>
      </c>
      <c r="B386">
        <f t="shared" si="295"/>
        <v>860</v>
      </c>
      <c r="C386">
        <f t="shared" si="264"/>
        <v>7.2024307829257266</v>
      </c>
      <c r="D386">
        <f t="shared" si="265"/>
        <v>1.4315043189107342</v>
      </c>
      <c r="F386">
        <f t="shared" si="266"/>
        <v>3.465550962568137E-5</v>
      </c>
      <c r="G386">
        <f t="shared" si="267"/>
        <v>2.0025723755091041E-3</v>
      </c>
      <c r="H386">
        <f t="shared" si="268"/>
        <v>-3.1395900776244909</v>
      </c>
      <c r="J386">
        <f t="shared" si="269"/>
        <v>15</v>
      </c>
      <c r="M386">
        <f t="shared" si="270"/>
        <v>1.7373301996547539E-3</v>
      </c>
      <c r="N386">
        <f t="shared" si="271"/>
        <v>-1.5707963250000001</v>
      </c>
      <c r="O386">
        <f t="shared" si="272"/>
        <v>219.93713233798314</v>
      </c>
      <c r="P386">
        <f t="shared" si="273"/>
        <v>1.566249557293554</v>
      </c>
      <c r="Q386">
        <f t="shared" si="274"/>
        <v>186.1492133803807</v>
      </c>
      <c r="R386">
        <f t="shared" si="275"/>
        <v>1.5654242664369971</v>
      </c>
      <c r="S386">
        <f t="shared" si="276"/>
        <v>0.14104227112019208</v>
      </c>
      <c r="T386">
        <f t="shared" si="277"/>
        <v>-1.4292821955221575</v>
      </c>
      <c r="U386">
        <f t="shared" si="278"/>
        <v>0.17965827809660909</v>
      </c>
      <c r="V386">
        <f t="shared" si="279"/>
        <v>-1.390157260572759</v>
      </c>
      <c r="X386">
        <f t="shared" si="296"/>
        <v>-43.416373998717077</v>
      </c>
      <c r="Y386">
        <f t="shared" si="280"/>
        <v>-169.97639362762769</v>
      </c>
      <c r="Z386">
        <f t="shared" si="297"/>
        <v>10.023606372372313</v>
      </c>
      <c r="AC386">
        <v>1</v>
      </c>
      <c r="AD386">
        <f t="shared" si="281"/>
        <v>219.93485894931601</v>
      </c>
      <c r="AE386">
        <f t="shared" si="282"/>
        <v>-0.14261119998345689</v>
      </c>
      <c r="AF386">
        <f t="shared" si="283"/>
        <v>2.6045059705560002E-2</v>
      </c>
      <c r="AG386">
        <f t="shared" si="315"/>
        <v>265.77492073735033</v>
      </c>
      <c r="AH386">
        <f t="shared" si="316"/>
        <v>-1493.6606332124056</v>
      </c>
      <c r="AJ386">
        <f t="shared" si="284"/>
        <v>22100</v>
      </c>
      <c r="AK386">
        <f t="shared" si="285"/>
        <v>155124.26753552823</v>
      </c>
      <c r="AL386">
        <v>1</v>
      </c>
      <c r="AM386">
        <f t="shared" si="286"/>
        <v>186.14652734374204</v>
      </c>
      <c r="AN386">
        <f t="shared" si="317"/>
        <v>833.9586738861226</v>
      </c>
      <c r="AO386">
        <f t="shared" si="318"/>
        <v>-114.24355656575619</v>
      </c>
      <c r="AQ386">
        <f t="shared" si="287"/>
        <v>3.3802043739168557E-3</v>
      </c>
      <c r="AR386">
        <f t="shared" si="288"/>
        <v>-5.8139515231369918</v>
      </c>
      <c r="AT386">
        <f t="shared" si="313"/>
        <v>-8683.1721399654762</v>
      </c>
      <c r="AU386">
        <f t="shared" si="314"/>
        <v>-1550.2513834380632</v>
      </c>
      <c r="AV386">
        <f t="shared" si="302"/>
        <v>-2.9649189615856688</v>
      </c>
      <c r="AW386">
        <f t="shared" si="303"/>
        <v>450.7509126936485</v>
      </c>
      <c r="AX386">
        <f t="shared" si="304"/>
        <v>-6767.228506264566</v>
      </c>
      <c r="AY386">
        <f t="shared" si="312"/>
        <v>-1.5042866650189948</v>
      </c>
      <c r="BA386">
        <f t="shared" si="289"/>
        <v>1.3005282927848523</v>
      </c>
      <c r="BB386">
        <f t="shared" si="305"/>
        <v>2.2823960928321076</v>
      </c>
      <c r="BC386">
        <f t="shared" si="306"/>
        <v>-1.460632296566674</v>
      </c>
      <c r="BD386">
        <f t="shared" si="290"/>
        <v>-263.68806610939879</v>
      </c>
      <c r="BF386">
        <f t="shared" si="291"/>
        <v>-46.250751065349085</v>
      </c>
      <c r="BG386">
        <f t="shared" si="292"/>
        <v>-181.55417124192644</v>
      </c>
      <c r="BH386">
        <f t="shared" si="307"/>
        <v>-1.55417124192644</v>
      </c>
      <c r="BI386">
        <f t="shared" si="308"/>
        <v>-1.55417124192644</v>
      </c>
      <c r="BJ386">
        <f t="shared" si="293"/>
        <v>0</v>
      </c>
      <c r="BK386">
        <f t="shared" si="309"/>
        <v>0</v>
      </c>
      <c r="BM386">
        <f t="shared" si="310"/>
        <v>-48.533147158181194</v>
      </c>
      <c r="BN386">
        <f t="shared" si="294"/>
        <v>-97.866105132527665</v>
      </c>
      <c r="BQ386" s="56">
        <f t="shared" si="311"/>
        <v>19.184356893117243</v>
      </c>
      <c r="BR386" s="59"/>
      <c r="BS386" s="59"/>
      <c r="BT386" s="59">
        <v>575439.93700000003</v>
      </c>
      <c r="BU386" s="59">
        <v>11.0791</v>
      </c>
      <c r="BV386" s="59">
        <v>119.196</v>
      </c>
      <c r="BY386" s="59"/>
      <c r="BZ386" s="59"/>
      <c r="CA386" s="59"/>
      <c r="CC386" s="59"/>
    </row>
    <row r="387" spans="1:81" x14ac:dyDescent="0.25">
      <c r="A387">
        <f t="shared" si="319"/>
        <v>865000</v>
      </c>
      <c r="B387">
        <f t="shared" si="295"/>
        <v>865</v>
      </c>
      <c r="C387">
        <f t="shared" si="264"/>
        <v>7.2435004477753733</v>
      </c>
      <c r="D387">
        <f t="shared" si="265"/>
        <v>1.4322991892006327</v>
      </c>
      <c r="F387">
        <f t="shared" si="266"/>
        <v>3.4256012846572329E-5</v>
      </c>
      <c r="G387">
        <f t="shared" si="267"/>
        <v>1.9909960432757047E-3</v>
      </c>
      <c r="H387">
        <f t="shared" si="268"/>
        <v>-3.1396016539567246</v>
      </c>
      <c r="J387">
        <f t="shared" si="269"/>
        <v>15</v>
      </c>
      <c r="M387">
        <f t="shared" si="270"/>
        <v>1.7272878285584836E-3</v>
      </c>
      <c r="N387">
        <f t="shared" si="271"/>
        <v>-1.5707963250000001</v>
      </c>
      <c r="O387">
        <f t="shared" si="272"/>
        <v>221.21581023754587</v>
      </c>
      <c r="P387">
        <f t="shared" si="273"/>
        <v>1.5662758388391027</v>
      </c>
      <c r="Q387">
        <f t="shared" si="274"/>
        <v>187.23144510637795</v>
      </c>
      <c r="R387">
        <f t="shared" si="275"/>
        <v>1.5654553182167537</v>
      </c>
      <c r="S387">
        <f t="shared" si="276"/>
        <v>0.14024307846060621</v>
      </c>
      <c r="T387">
        <f t="shared" si="277"/>
        <v>-1.4300894115923297</v>
      </c>
      <c r="U387">
        <f t="shared" si="278"/>
        <v>0.17865302949584649</v>
      </c>
      <c r="V387">
        <f t="shared" si="279"/>
        <v>-1.391179040868985</v>
      </c>
      <c r="X387">
        <f t="shared" si="296"/>
        <v>-43.515439012654539</v>
      </c>
      <c r="Y387">
        <f t="shared" si="280"/>
        <v>-170.03302300477404</v>
      </c>
      <c r="Z387">
        <f t="shared" si="297"/>
        <v>9.9669769952259628</v>
      </c>
      <c r="AC387">
        <v>1</v>
      </c>
      <c r="AD387">
        <f t="shared" si="281"/>
        <v>221.21354998971898</v>
      </c>
      <c r="AE387">
        <f t="shared" si="282"/>
        <v>-0.14427429030235539</v>
      </c>
      <c r="AF387">
        <f t="shared" si="283"/>
        <v>2.6196484471290003E-2</v>
      </c>
      <c r="AG387">
        <f t="shared" si="315"/>
        <v>262.80904109854379</v>
      </c>
      <c r="AH387">
        <f t="shared" si="316"/>
        <v>-1485.5652838527067</v>
      </c>
      <c r="AJ387">
        <f t="shared" si="284"/>
        <v>22100</v>
      </c>
      <c r="AK387">
        <f t="shared" si="285"/>
        <v>156026.15281189757</v>
      </c>
      <c r="AL387">
        <v>1</v>
      </c>
      <c r="AM387">
        <f t="shared" si="286"/>
        <v>187.22877459574053</v>
      </c>
      <c r="AN387">
        <f t="shared" si="317"/>
        <v>833.95159945901526</v>
      </c>
      <c r="AO387">
        <f t="shared" si="318"/>
        <v>-113.58322697169855</v>
      </c>
      <c r="AQ387">
        <f t="shared" si="287"/>
        <v>3.3412398204952318E-3</v>
      </c>
      <c r="AR387">
        <f t="shared" si="288"/>
        <v>-5.7803448894567513</v>
      </c>
      <c r="AT387">
        <f t="shared" si="313"/>
        <v>-8586.2015884390566</v>
      </c>
      <c r="AU387">
        <f t="shared" si="314"/>
        <v>-1524.0905274993509</v>
      </c>
      <c r="AV387">
        <f t="shared" si="302"/>
        <v>-2.9659178210019732</v>
      </c>
      <c r="AW387">
        <f t="shared" si="303"/>
        <v>455.26321052270066</v>
      </c>
      <c r="AX387">
        <f t="shared" si="304"/>
        <v>-6728.6295873772551</v>
      </c>
      <c r="AY387">
        <f t="shared" si="312"/>
        <v>-1.5032386790952066</v>
      </c>
      <c r="BA387">
        <f t="shared" si="289"/>
        <v>1.2930607077819898</v>
      </c>
      <c r="BB387">
        <f t="shared" si="305"/>
        <v>2.2323783001726429</v>
      </c>
      <c r="BC387">
        <f t="shared" si="306"/>
        <v>-1.4626791419067666</v>
      </c>
      <c r="BD387">
        <f t="shared" si="290"/>
        <v>-263.80534170883612</v>
      </c>
      <c r="BF387">
        <f t="shared" si="291"/>
        <v>-46.352090436292457</v>
      </c>
      <c r="BG387">
        <f t="shared" si="292"/>
        <v>-181.62656740342018</v>
      </c>
      <c r="BH387">
        <f t="shared" si="307"/>
        <v>-1.6265674034201822</v>
      </c>
      <c r="BI387">
        <f t="shared" si="308"/>
        <v>-1.6265674034201822</v>
      </c>
      <c r="BJ387">
        <f t="shared" si="293"/>
        <v>0</v>
      </c>
      <c r="BK387">
        <f t="shared" si="309"/>
        <v>0</v>
      </c>
      <c r="BM387">
        <f t="shared" si="310"/>
        <v>-48.584468736465098</v>
      </c>
      <c r="BN387">
        <f t="shared" si="294"/>
        <v>-97.821225694584101</v>
      </c>
      <c r="BQ387" s="56">
        <f t="shared" si="311"/>
        <v>19.13433910045778</v>
      </c>
      <c r="BR387" s="59"/>
      <c r="BS387" s="59"/>
      <c r="BT387" s="59">
        <v>588843.65500000003</v>
      </c>
      <c r="BU387" s="59">
        <v>10.8666</v>
      </c>
      <c r="BV387" s="59">
        <v>116.889</v>
      </c>
      <c r="BY387" s="59"/>
      <c r="BZ387" s="59"/>
      <c r="CA387" s="59"/>
      <c r="CC387" s="59"/>
    </row>
    <row r="388" spans="1:81" x14ac:dyDescent="0.25">
      <c r="A388">
        <f t="shared" si="319"/>
        <v>870000</v>
      </c>
      <c r="B388">
        <f t="shared" si="295"/>
        <v>870</v>
      </c>
      <c r="C388">
        <f t="shared" si="264"/>
        <v>7.2845746375983964</v>
      </c>
      <c r="D388">
        <f t="shared" si="265"/>
        <v>1.4330850962049115</v>
      </c>
      <c r="F388">
        <f t="shared" si="266"/>
        <v>3.3863384425930885E-5</v>
      </c>
      <c r="G388">
        <f t="shared" si="267"/>
        <v>1.9795527854837122E-3</v>
      </c>
      <c r="H388">
        <f t="shared" si="268"/>
        <v>-3.1396130972145166</v>
      </c>
      <c r="J388">
        <f t="shared" si="269"/>
        <v>15</v>
      </c>
      <c r="M388">
        <f t="shared" si="270"/>
        <v>1.7173608870150439E-3</v>
      </c>
      <c r="N388">
        <f t="shared" si="271"/>
        <v>-1.5707963250000001</v>
      </c>
      <c r="O388">
        <f t="shared" si="272"/>
        <v>222.49448828815039</v>
      </c>
      <c r="P388">
        <f t="shared" si="273"/>
        <v>1.5663018183040589</v>
      </c>
      <c r="Q388">
        <f t="shared" si="274"/>
        <v>188.31367701083116</v>
      </c>
      <c r="R388">
        <f t="shared" si="275"/>
        <v>1.5654860130896249</v>
      </c>
      <c r="S388">
        <f t="shared" si="276"/>
        <v>0.13945280241891397</v>
      </c>
      <c r="T388">
        <f t="shared" si="277"/>
        <v>-1.4308875307801097</v>
      </c>
      <c r="U388">
        <f t="shared" si="278"/>
        <v>0.17765878531316856</v>
      </c>
      <c r="V388">
        <f t="shared" si="279"/>
        <v>-1.3921894493372642</v>
      </c>
      <c r="X388">
        <f t="shared" si="296"/>
        <v>-43.613951199853183</v>
      </c>
      <c r="Y388">
        <f t="shared" si="280"/>
        <v>-170.0890233022391</v>
      </c>
      <c r="Z388">
        <f t="shared" si="297"/>
        <v>9.9109766977609013</v>
      </c>
      <c r="AC388">
        <v>1</v>
      </c>
      <c r="AD388">
        <f t="shared" si="281"/>
        <v>222.49224103012199</v>
      </c>
      <c r="AE388">
        <f t="shared" si="282"/>
        <v>-0.14594702172455185</v>
      </c>
      <c r="AF388">
        <f t="shared" si="283"/>
        <v>2.634790923702E-2</v>
      </c>
      <c r="AG388">
        <f t="shared" si="315"/>
        <v>259.89199821855823</v>
      </c>
      <c r="AH388">
        <f t="shared" si="316"/>
        <v>-1477.5541679543226</v>
      </c>
      <c r="AJ388">
        <f t="shared" si="284"/>
        <v>22100</v>
      </c>
      <c r="AK388">
        <f t="shared" si="285"/>
        <v>156928.03808826691</v>
      </c>
      <c r="AL388">
        <v>1</v>
      </c>
      <c r="AM388">
        <f t="shared" si="286"/>
        <v>188.311021847739</v>
      </c>
      <c r="AN388">
        <f t="shared" si="317"/>
        <v>833.94464664936754</v>
      </c>
      <c r="AO388">
        <f t="shared" si="318"/>
        <v>-112.93048672714197</v>
      </c>
      <c r="AQ388">
        <f t="shared" si="287"/>
        <v>3.3029451370903892E-3</v>
      </c>
      <c r="AR388">
        <f t="shared" si="288"/>
        <v>-5.7471245385372773</v>
      </c>
      <c r="AT388">
        <f t="shared" si="313"/>
        <v>-8490.8294066566305</v>
      </c>
      <c r="AU388">
        <f t="shared" si="314"/>
        <v>-1498.5119606851947</v>
      </c>
      <c r="AV388">
        <f t="shared" si="302"/>
        <v>-2.9669055720425952</v>
      </c>
      <c r="AW388">
        <f t="shared" si="303"/>
        <v>459.69568859853564</v>
      </c>
      <c r="AX388">
        <f t="shared" si="304"/>
        <v>-6690.4658862228862</v>
      </c>
      <c r="AY388">
        <f t="shared" si="312"/>
        <v>-1.5021950753172222</v>
      </c>
      <c r="BA388">
        <f t="shared" si="289"/>
        <v>1.2856755353512563</v>
      </c>
      <c r="BB388">
        <f t="shared" si="305"/>
        <v>2.1826275990410648</v>
      </c>
      <c r="BC388">
        <f t="shared" si="306"/>
        <v>-1.464710496725373</v>
      </c>
      <c r="BD388">
        <f t="shared" si="290"/>
        <v>-263.92172976676881</v>
      </c>
      <c r="BF388">
        <f t="shared" si="291"/>
        <v>-46.452856053947123</v>
      </c>
      <c r="BG388">
        <f t="shared" si="292"/>
        <v>-181.69858195724262</v>
      </c>
      <c r="BH388">
        <f t="shared" si="307"/>
        <v>-1.6985819572426237</v>
      </c>
      <c r="BI388">
        <f t="shared" si="308"/>
        <v>-1.6985819572426237</v>
      </c>
      <c r="BJ388">
        <f t="shared" si="293"/>
        <v>0</v>
      </c>
      <c r="BK388">
        <f t="shared" si="309"/>
        <v>0</v>
      </c>
      <c r="BM388">
        <f t="shared" si="310"/>
        <v>-48.635483652988192</v>
      </c>
      <c r="BN388">
        <f t="shared" si="294"/>
        <v>-97.776852190473818</v>
      </c>
      <c r="BQ388" s="56">
        <f t="shared" si="311"/>
        <v>19.084588399326201</v>
      </c>
      <c r="BR388" s="59"/>
      <c r="BS388" s="59"/>
      <c r="BT388" s="59">
        <v>602559.58600000001</v>
      </c>
      <c r="BU388" s="59">
        <v>10.6013</v>
      </c>
      <c r="BV388" s="59">
        <v>117.324</v>
      </c>
      <c r="BY388" s="59"/>
      <c r="BZ388" s="59"/>
      <c r="CA388" s="59"/>
      <c r="CC388" s="59"/>
    </row>
    <row r="389" spans="1:81" x14ac:dyDescent="0.25">
      <c r="A389">
        <f t="shared" si="319"/>
        <v>875000</v>
      </c>
      <c r="B389">
        <f t="shared" si="295"/>
        <v>875</v>
      </c>
      <c r="C389">
        <f t="shared" si="264"/>
        <v>7.3256532762816047</v>
      </c>
      <c r="D389">
        <f t="shared" si="265"/>
        <v>1.4338621897294936</v>
      </c>
      <c r="F389">
        <f t="shared" si="266"/>
        <v>3.3477467813788214E-5</v>
      </c>
      <c r="G389">
        <f t="shared" si="267"/>
        <v>1.9682403205589444E-3</v>
      </c>
      <c r="H389">
        <f t="shared" si="268"/>
        <v>-3.1396244096794415</v>
      </c>
      <c r="J389">
        <f t="shared" si="269"/>
        <v>15</v>
      </c>
      <c r="M389">
        <f t="shared" si="270"/>
        <v>1.7075473962321012E-3</v>
      </c>
      <c r="N389">
        <f t="shared" si="271"/>
        <v>-1.5707963250000001</v>
      </c>
      <c r="O389">
        <f t="shared" si="272"/>
        <v>223.77316648720753</v>
      </c>
      <c r="P389">
        <f t="shared" si="273"/>
        <v>1.5663275008668076</v>
      </c>
      <c r="Q389">
        <f t="shared" si="274"/>
        <v>189.39590909068124</v>
      </c>
      <c r="R389">
        <f t="shared" si="275"/>
        <v>1.5655163571737849</v>
      </c>
      <c r="S389">
        <f t="shared" si="276"/>
        <v>0.13867129609853454</v>
      </c>
      <c r="T389">
        <f t="shared" si="277"/>
        <v>-1.4316767049993546</v>
      </c>
      <c r="U389">
        <f t="shared" si="278"/>
        <v>0.17667536887969681</v>
      </c>
      <c r="V389">
        <f t="shared" si="279"/>
        <v>-1.3931886727407934</v>
      </c>
      <c r="X389">
        <f t="shared" si="296"/>
        <v>-43.711916600110115</v>
      </c>
      <c r="Y389">
        <f t="shared" si="280"/>
        <v>-170.14440482502101</v>
      </c>
      <c r="Z389">
        <f t="shared" si="297"/>
        <v>9.855595174978987</v>
      </c>
      <c r="AC389">
        <v>1</v>
      </c>
      <c r="AD389">
        <f t="shared" si="281"/>
        <v>223.77093207052499</v>
      </c>
      <c r="AE389">
        <f t="shared" si="282"/>
        <v>-0.14762939425004623</v>
      </c>
      <c r="AF389">
        <f t="shared" si="283"/>
        <v>2.6499334002750001E-2</v>
      </c>
      <c r="AG389">
        <f t="shared" si="315"/>
        <v>257.02273752670607</v>
      </c>
      <c r="AH389">
        <f t="shared" si="316"/>
        <v>-1469.6260308094822</v>
      </c>
      <c r="AJ389">
        <f t="shared" si="284"/>
        <v>22100</v>
      </c>
      <c r="AK389">
        <f t="shared" si="285"/>
        <v>157829.92336463628</v>
      </c>
      <c r="AL389">
        <v>1</v>
      </c>
      <c r="AM389">
        <f t="shared" si="286"/>
        <v>189.39326909973752</v>
      </c>
      <c r="AN389">
        <f t="shared" si="317"/>
        <v>833.9378126854391</v>
      </c>
      <c r="AO389">
        <f t="shared" si="318"/>
        <v>-112.28520574358697</v>
      </c>
      <c r="AQ389">
        <f t="shared" si="287"/>
        <v>3.2653050562269203E-3</v>
      </c>
      <c r="AR389">
        <f t="shared" si="288"/>
        <v>-5.7142838483971108</v>
      </c>
      <c r="AT389">
        <f t="shared" si="313"/>
        <v>-8397.0210333941686</v>
      </c>
      <c r="AU389">
        <f t="shared" si="314"/>
        <v>-1473.4996550288315</v>
      </c>
      <c r="AV389">
        <f t="shared" si="302"/>
        <v>-2.9678823969545465</v>
      </c>
      <c r="AW389">
        <f t="shared" si="303"/>
        <v>464.05022718232243</v>
      </c>
      <c r="AX389">
        <f t="shared" si="304"/>
        <v>-6652.7301223876093</v>
      </c>
      <c r="AY389">
        <f t="shared" si="312"/>
        <v>-1.5011557745117095</v>
      </c>
      <c r="BA389">
        <f t="shared" si="289"/>
        <v>1.2783714264564359</v>
      </c>
      <c r="BB389">
        <f t="shared" si="305"/>
        <v>2.1331410987384203</v>
      </c>
      <c r="BC389">
        <f t="shared" si="306"/>
        <v>-1.466726622442837</v>
      </c>
      <c r="BD389">
        <f t="shared" si="290"/>
        <v>-264.03724526147926</v>
      </c>
      <c r="BF389">
        <f t="shared" si="291"/>
        <v>-46.553054504247498</v>
      </c>
      <c r="BG389">
        <f t="shared" si="292"/>
        <v>-181.77022142915351</v>
      </c>
      <c r="BH389">
        <f t="shared" si="307"/>
        <v>-1.7702214291535086</v>
      </c>
      <c r="BI389">
        <f t="shared" si="308"/>
        <v>-1.7702214291535086</v>
      </c>
      <c r="BJ389">
        <f t="shared" si="293"/>
        <v>0</v>
      </c>
      <c r="BK389">
        <f t="shared" si="309"/>
        <v>0</v>
      </c>
      <c r="BM389">
        <f t="shared" si="310"/>
        <v>-48.686195602985919</v>
      </c>
      <c r="BN389">
        <f t="shared" si="294"/>
        <v>-97.732976167674252</v>
      </c>
      <c r="BQ389" s="56">
        <f t="shared" si="311"/>
        <v>19.035101899023555</v>
      </c>
      <c r="BR389" s="59"/>
      <c r="BS389" s="59"/>
      <c r="BT389" s="59">
        <v>616595.00199999998</v>
      </c>
      <c r="BU389" s="59">
        <v>10.4749</v>
      </c>
      <c r="BV389" s="59">
        <v>115.142</v>
      </c>
      <c r="BY389" s="59"/>
      <c r="BZ389" s="59"/>
      <c r="CA389" s="59"/>
      <c r="CC389" s="59"/>
    </row>
    <row r="390" spans="1:81" x14ac:dyDescent="0.25">
      <c r="A390">
        <f t="shared" si="319"/>
        <v>880000</v>
      </c>
      <c r="B390">
        <f t="shared" si="295"/>
        <v>880</v>
      </c>
      <c r="C390">
        <f t="shared" si="264"/>
        <v>7.3667362894013557</v>
      </c>
      <c r="D390">
        <f t="shared" si="265"/>
        <v>1.4346306162816589</v>
      </c>
      <c r="F390">
        <f t="shared" si="266"/>
        <v>3.3098110895227321E-5</v>
      </c>
      <c r="G390">
        <f t="shared" si="267"/>
        <v>1.9570564187895703E-3</v>
      </c>
      <c r="H390">
        <f t="shared" si="268"/>
        <v>-3.1396355935812106</v>
      </c>
      <c r="J390">
        <f t="shared" si="269"/>
        <v>15</v>
      </c>
      <c r="M390">
        <f t="shared" si="270"/>
        <v>1.6978454223898732E-3</v>
      </c>
      <c r="N390">
        <f t="shared" si="271"/>
        <v>-1.5707963250000001</v>
      </c>
      <c r="O390">
        <f t="shared" si="272"/>
        <v>225.05184483218687</v>
      </c>
      <c r="P390">
        <f t="shared" si="273"/>
        <v>1.5663528915880476</v>
      </c>
      <c r="Q390">
        <f t="shared" si="274"/>
        <v>190.47814134293853</v>
      </c>
      <c r="R390">
        <f t="shared" si="275"/>
        <v>1.5655463564483652</v>
      </c>
      <c r="S390">
        <f t="shared" si="276"/>
        <v>0.13789841577841469</v>
      </c>
      <c r="T390">
        <f t="shared" si="277"/>
        <v>-1.4324570828223095</v>
      </c>
      <c r="U390">
        <f t="shared" si="278"/>
        <v>0.17570260722016151</v>
      </c>
      <c r="V390">
        <f t="shared" si="279"/>
        <v>-1.3941768938200163</v>
      </c>
      <c r="X390">
        <f t="shared" si="296"/>
        <v>-43.809341156321494</v>
      </c>
      <c r="Y390">
        <f t="shared" si="280"/>
        <v>-170.19917765690712</v>
      </c>
      <c r="Z390">
        <f t="shared" si="297"/>
        <v>9.8008223430928751</v>
      </c>
      <c r="AC390">
        <v>1</v>
      </c>
      <c r="AD390">
        <f t="shared" si="281"/>
        <v>225.04962311092802</v>
      </c>
      <c r="AE390">
        <f t="shared" si="282"/>
        <v>-0.1493214078788386</v>
      </c>
      <c r="AF390">
        <f t="shared" si="283"/>
        <v>2.6650758768480002E-2</v>
      </c>
      <c r="AG390">
        <f t="shared" si="315"/>
        <v>254.20023244039729</v>
      </c>
      <c r="AH390">
        <f t="shared" si="316"/>
        <v>-1461.7796412312071</v>
      </c>
      <c r="AJ390">
        <f t="shared" si="284"/>
        <v>22100</v>
      </c>
      <c r="AK390">
        <f t="shared" si="285"/>
        <v>158731.80864100563</v>
      </c>
      <c r="AL390">
        <v>1</v>
      </c>
      <c r="AM390">
        <f t="shared" si="286"/>
        <v>190.47551635173602</v>
      </c>
      <c r="AN390">
        <f t="shared" si="317"/>
        <v>833.93109487400318</v>
      </c>
      <c r="AO390">
        <f t="shared" si="318"/>
        <v>-111.64725688867873</v>
      </c>
      <c r="AQ390">
        <f t="shared" si="287"/>
        <v>3.2283047429284791E-3</v>
      </c>
      <c r="AR390">
        <f t="shared" si="288"/>
        <v>-5.6818163475541237</v>
      </c>
      <c r="AT390">
        <f t="shared" si="313"/>
        <v>-8304.7428262532339</v>
      </c>
      <c r="AU390">
        <f t="shared" si="314"/>
        <v>-1449.0381063808104</v>
      </c>
      <c r="AV390">
        <f t="shared" si="302"/>
        <v>-2.9688484740647221</v>
      </c>
      <c r="AW390">
        <f t="shared" si="303"/>
        <v>468.32865130364365</v>
      </c>
      <c r="AX390">
        <f t="shared" si="304"/>
        <v>-6615.4151761904532</v>
      </c>
      <c r="AY390">
        <f t="shared" si="312"/>
        <v>-1.5001206994999297</v>
      </c>
      <c r="BA390">
        <f t="shared" si="289"/>
        <v>1.2711470609465747</v>
      </c>
      <c r="BB390">
        <f t="shared" si="305"/>
        <v>2.083915953062526</v>
      </c>
      <c r="BC390">
        <f t="shared" si="306"/>
        <v>-1.4687277745647924</v>
      </c>
      <c r="BD390">
        <f t="shared" si="290"/>
        <v>-264.151902832362</v>
      </c>
      <c r="BF390">
        <f t="shared" si="291"/>
        <v>-46.652692261512676</v>
      </c>
      <c r="BG390">
        <f t="shared" si="292"/>
        <v>-181.84149219205167</v>
      </c>
      <c r="BH390">
        <f t="shared" si="307"/>
        <v>-1.8414921920516747</v>
      </c>
      <c r="BI390">
        <f t="shared" si="308"/>
        <v>-1.8414921920516747</v>
      </c>
      <c r="BJ390">
        <f t="shared" si="293"/>
        <v>0</v>
      </c>
      <c r="BK390">
        <f t="shared" si="309"/>
        <v>0</v>
      </c>
      <c r="BM390">
        <f t="shared" si="310"/>
        <v>-48.736608214575206</v>
      </c>
      <c r="BN390">
        <f t="shared" si="294"/>
        <v>-97.689589359689677</v>
      </c>
      <c r="BQ390" s="56">
        <f t="shared" si="311"/>
        <v>18.985876753347661</v>
      </c>
      <c r="BR390" s="59"/>
      <c r="BS390" s="59"/>
      <c r="BT390" s="59">
        <v>630957.34400000004</v>
      </c>
      <c r="BU390" s="59">
        <v>10.283799999999999</v>
      </c>
      <c r="BV390" s="59">
        <v>115.247</v>
      </c>
      <c r="BY390" s="59"/>
      <c r="BZ390" s="59"/>
      <c r="CA390" s="59"/>
      <c r="CC390" s="59"/>
    </row>
    <row r="391" spans="1:81" x14ac:dyDescent="0.25">
      <c r="A391">
        <f t="shared" si="319"/>
        <v>885000</v>
      </c>
      <c r="B391">
        <f t="shared" si="295"/>
        <v>885</v>
      </c>
      <c r="C391">
        <f t="shared" si="264"/>
        <v>7.4078236041771479</v>
      </c>
      <c r="D391">
        <f t="shared" si="265"/>
        <v>1.4353905191597531</v>
      </c>
      <c r="F391">
        <f t="shared" si="266"/>
        <v>3.2725165840457648E-5</v>
      </c>
      <c r="G391">
        <f t="shared" si="267"/>
        <v>1.9459989008607965E-3</v>
      </c>
      <c r="H391">
        <f t="shared" si="268"/>
        <v>-3.1396466510991394</v>
      </c>
      <c r="J391">
        <f t="shared" si="269"/>
        <v>15</v>
      </c>
      <c r="M391">
        <f t="shared" si="270"/>
        <v>1.6882530753707212E-3</v>
      </c>
      <c r="N391">
        <f t="shared" si="271"/>
        <v>-1.5707963250000001</v>
      </c>
      <c r="O391">
        <f t="shared" si="272"/>
        <v>226.33052332061524</v>
      </c>
      <c r="P391">
        <f t="shared" si="273"/>
        <v>1.5663779954141155</v>
      </c>
      <c r="Q391">
        <f t="shared" si="274"/>
        <v>191.56037376468092</v>
      </c>
      <c r="R391">
        <f t="shared" si="275"/>
        <v>1.5655760167573813</v>
      </c>
      <c r="S391">
        <f t="shared" si="276"/>
        <v>0.137134020828621</v>
      </c>
      <c r="T391">
        <f t="shared" si="277"/>
        <v>-1.4332288095703725</v>
      </c>
      <c r="U391">
        <f t="shared" si="278"/>
        <v>0.17474033095878241</v>
      </c>
      <c r="V391">
        <f t="shared" si="279"/>
        <v>-1.3951542913991275</v>
      </c>
      <c r="X391">
        <f t="shared" si="296"/>
        <v>-43.906230716511622</v>
      </c>
      <c r="Y391">
        <f t="shared" si="280"/>
        <v>-170.25335166630532</v>
      </c>
      <c r="Z391">
        <f t="shared" si="297"/>
        <v>9.7466483336946794</v>
      </c>
      <c r="AC391">
        <v>1</v>
      </c>
      <c r="AD391">
        <f t="shared" si="281"/>
        <v>226.32831415133103</v>
      </c>
      <c r="AE391">
        <f t="shared" si="282"/>
        <v>-0.15102306261092893</v>
      </c>
      <c r="AF391">
        <f t="shared" si="283"/>
        <v>2.6802183534209999E-2</v>
      </c>
      <c r="AG391">
        <f t="shared" si="315"/>
        <v>251.42348348917102</v>
      </c>
      <c r="AH391">
        <f t="shared" si="316"/>
        <v>-1454.0137910443423</v>
      </c>
      <c r="AJ391">
        <f t="shared" si="284"/>
        <v>22100</v>
      </c>
      <c r="AK391">
        <f t="shared" si="285"/>
        <v>159633.69391737497</v>
      </c>
      <c r="AL391">
        <v>1</v>
      </c>
      <c r="AM391">
        <f t="shared" si="286"/>
        <v>191.55776360373451</v>
      </c>
      <c r="AN391">
        <f t="shared" si="317"/>
        <v>833.92449059769353</v>
      </c>
      <c r="AO391">
        <f t="shared" si="318"/>
        <v>-111.01651590271392</v>
      </c>
      <c r="AQ391">
        <f t="shared" si="287"/>
        <v>3.1919297800983818E-3</v>
      </c>
      <c r="AR391">
        <f t="shared" si="288"/>
        <v>-5.6497157107741351</v>
      </c>
      <c r="AT391">
        <f t="shared" si="313"/>
        <v>-8213.9620328411147</v>
      </c>
      <c r="AU391">
        <f t="shared" si="314"/>
        <v>-1425.1123146466391</v>
      </c>
      <c r="AV391">
        <f t="shared" si="302"/>
        <v>-2.9698039778835046</v>
      </c>
      <c r="AW391">
        <f t="shared" si="303"/>
        <v>472.53273270054785</v>
      </c>
      <c r="AX391">
        <f t="shared" si="304"/>
        <v>-6578.5140842888686</v>
      </c>
      <c r="AY391">
        <f t="shared" si="312"/>
        <v>-1.4990897750357293</v>
      </c>
      <c r="BA391">
        <f t="shared" si="289"/>
        <v>1.2640011467995302</v>
      </c>
      <c r="BB391">
        <f t="shared" si="305"/>
        <v>2.0349493594412782</v>
      </c>
      <c r="BC391">
        <f t="shared" si="306"/>
        <v>-1.4707142028477753</v>
      </c>
      <c r="BD391">
        <f t="shared" si="290"/>
        <v>-264.26571678941241</v>
      </c>
      <c r="BF391">
        <f t="shared" si="291"/>
        <v>-46.751775690941109</v>
      </c>
      <c r="BG391">
        <f t="shared" si="292"/>
        <v>-181.91240047040759</v>
      </c>
      <c r="BH391">
        <f t="shared" si="307"/>
        <v>-1.9124004704075901</v>
      </c>
      <c r="BI391">
        <f t="shared" si="308"/>
        <v>-1.9124004704075901</v>
      </c>
      <c r="BJ391">
        <f t="shared" si="293"/>
        <v>0</v>
      </c>
      <c r="BK391">
        <f t="shared" si="309"/>
        <v>0</v>
      </c>
      <c r="BM391">
        <f t="shared" si="310"/>
        <v>-48.786725050382394</v>
      </c>
      <c r="BN391">
        <f t="shared" si="294"/>
        <v>-97.646683680995224</v>
      </c>
      <c r="BQ391" s="56">
        <f t="shared" si="311"/>
        <v>18.936910159726416</v>
      </c>
      <c r="BR391" s="59"/>
      <c r="BS391" s="59"/>
      <c r="BT391" s="59">
        <v>645654.22900000005</v>
      </c>
      <c r="BU391" s="59">
        <v>9.9821899999999992</v>
      </c>
      <c r="BV391" s="59">
        <v>113.164</v>
      </c>
      <c r="BY391" s="59"/>
      <c r="BZ391" s="59"/>
      <c r="CA391" s="59"/>
      <c r="CC391" s="59"/>
    </row>
    <row r="392" spans="1:81" x14ac:dyDescent="0.25">
      <c r="A392">
        <f t="shared" si="319"/>
        <v>890000</v>
      </c>
      <c r="B392">
        <f t="shared" si="295"/>
        <v>890</v>
      </c>
      <c r="C392">
        <f t="shared" si="264"/>
        <v>7.4489151494267407</v>
      </c>
      <c r="D392">
        <f t="shared" si="265"/>
        <v>1.4361420385400065</v>
      </c>
      <c r="F392">
        <f t="shared" si="266"/>
        <v>3.2358488960769407E-5</v>
      </c>
      <c r="G392">
        <f t="shared" si="267"/>
        <v>1.935065636438944E-3</v>
      </c>
      <c r="H392">
        <f t="shared" si="268"/>
        <v>-3.1396575843635612</v>
      </c>
      <c r="J392">
        <f t="shared" si="269"/>
        <v>15</v>
      </c>
      <c r="M392">
        <f t="shared" si="270"/>
        <v>1.6787685075315602E-3</v>
      </c>
      <c r="N392">
        <f t="shared" si="271"/>
        <v>-1.5707963250000001</v>
      </c>
      <c r="O392">
        <f t="shared" si="272"/>
        <v>227.60920195007498</v>
      </c>
      <c r="P392">
        <f t="shared" si="273"/>
        <v>1.5664028171801974</v>
      </c>
      <c r="Q392">
        <f t="shared" si="274"/>
        <v>192.64260635305197</v>
      </c>
      <c r="R392">
        <f t="shared" si="275"/>
        <v>1.5656053438135298</v>
      </c>
      <c r="S392">
        <f t="shared" si="276"/>
        <v>0.13637797362857842</v>
      </c>
      <c r="T392">
        <f t="shared" si="277"/>
        <v>-1.4339920274019378</v>
      </c>
      <c r="U392">
        <f t="shared" si="278"/>
        <v>0.17378837422794849</v>
      </c>
      <c r="V392">
        <f t="shared" si="279"/>
        <v>-1.3961210404892486</v>
      </c>
      <c r="X392">
        <f t="shared" si="296"/>
        <v>-44.002591035810219</v>
      </c>
      <c r="Y392">
        <f t="shared" si="280"/>
        <v>-170.30693651189387</v>
      </c>
      <c r="Z392">
        <f t="shared" si="297"/>
        <v>9.6930634881061337</v>
      </c>
      <c r="AC392">
        <v>1</v>
      </c>
      <c r="AD392">
        <f t="shared" si="281"/>
        <v>227.60700519173398</v>
      </c>
      <c r="AE392">
        <f t="shared" si="282"/>
        <v>-0.15273435844631722</v>
      </c>
      <c r="AF392">
        <f t="shared" si="283"/>
        <v>2.695360829994E-2</v>
      </c>
      <c r="AG392">
        <f t="shared" si="315"/>
        <v>248.69151747013561</v>
      </c>
      <c r="AH392">
        <f t="shared" si="316"/>
        <v>-1446.3272945881993</v>
      </c>
      <c r="AJ392">
        <f t="shared" si="284"/>
        <v>22100</v>
      </c>
      <c r="AK392">
        <f t="shared" si="285"/>
        <v>160535.57919374431</v>
      </c>
      <c r="AL392">
        <v>1</v>
      </c>
      <c r="AM392">
        <f t="shared" si="286"/>
        <v>192.64001085573301</v>
      </c>
      <c r="AN392">
        <f t="shared" si="317"/>
        <v>833.91799731245408</v>
      </c>
      <c r="AO392">
        <f t="shared" si="318"/>
        <v>-110.39286131796158</v>
      </c>
      <c r="AQ392">
        <f t="shared" si="287"/>
        <v>3.1561661544735027E-3</v>
      </c>
      <c r="AR392">
        <f t="shared" si="288"/>
        <v>-5.6179757549628349</v>
      </c>
      <c r="AT392">
        <f t="shared" si="313"/>
        <v>-8124.6467629871495</v>
      </c>
      <c r="AU392">
        <f t="shared" si="314"/>
        <v>-1401.7077648676086</v>
      </c>
      <c r="AV392">
        <f t="shared" si="302"/>
        <v>-2.9707490792051394</v>
      </c>
      <c r="AW392">
        <f t="shared" si="303"/>
        <v>476.66419168045172</v>
      </c>
      <c r="AX392">
        <f t="shared" si="304"/>
        <v>-6542.0200354272301</v>
      </c>
      <c r="AY392">
        <f t="shared" si="312"/>
        <v>-1.4980629277458246</v>
      </c>
      <c r="BA392">
        <f t="shared" si="289"/>
        <v>1.256932419388705</v>
      </c>
      <c r="BB392">
        <f t="shared" si="305"/>
        <v>1.9862385580855451</v>
      </c>
      <c r="BC392">
        <f t="shared" si="306"/>
        <v>-1.4726861514593148</v>
      </c>
      <c r="BD392">
        <f t="shared" si="290"/>
        <v>-264.37870112239938</v>
      </c>
      <c r="BF392">
        <f t="shared" si="291"/>
        <v>-46.850311051036471</v>
      </c>
      <c r="BG392">
        <f t="shared" si="292"/>
        <v>-181.98295234454295</v>
      </c>
      <c r="BH392">
        <f t="shared" si="307"/>
        <v>-1.9829523445429516</v>
      </c>
      <c r="BI392">
        <f t="shared" si="308"/>
        <v>-1.9829523445429516</v>
      </c>
      <c r="BJ392">
        <f t="shared" si="293"/>
        <v>0</v>
      </c>
      <c r="BK392">
        <f t="shared" si="309"/>
        <v>0</v>
      </c>
      <c r="BM392">
        <f t="shared" si="310"/>
        <v>-48.836549609122024</v>
      </c>
      <c r="BN392">
        <f t="shared" si="294"/>
        <v>-97.604251222143589</v>
      </c>
      <c r="BQ392" s="56">
        <f t="shared" si="311"/>
        <v>18.888199358370684</v>
      </c>
      <c r="BR392" s="59"/>
      <c r="BS392" s="59"/>
      <c r="BT392" s="59">
        <v>660693.44799999997</v>
      </c>
      <c r="BU392" s="59">
        <v>9.7520900000000008</v>
      </c>
      <c r="BV392" s="59">
        <v>112.872</v>
      </c>
      <c r="BY392" s="59"/>
      <c r="BZ392" s="59"/>
      <c r="CA392" s="59"/>
      <c r="CC392" s="59"/>
    </row>
    <row r="393" spans="1:81" x14ac:dyDescent="0.25">
      <c r="A393">
        <f t="shared" si="319"/>
        <v>895000</v>
      </c>
      <c r="B393">
        <f t="shared" si="295"/>
        <v>895</v>
      </c>
      <c r="C393">
        <f t="shared" ref="C393:C456" si="320">SQRT((A393/Fesr)^2+1)</f>
        <v>7.4900108555227165</v>
      </c>
      <c r="D393">
        <f t="shared" ref="D393:D456" si="321">ATAN(A393/Fesr)</f>
        <v>1.4368853115605649</v>
      </c>
      <c r="F393">
        <f t="shared" ref="F393:F456" si="322">(Ro/(Ro+Rdcr))/SQRT((A393/(Q*Fo))^2+(1-(A393^2/Fo^2))^2)</f>
        <v>3.1997940570105781E-5</v>
      </c>
      <c r="G393">
        <f t="shared" ref="G393:G456" si="323">-ATAN(A393*Fo/(Q*(Fo^2-A393^2)))</f>
        <v>1.9242545428030074E-3</v>
      </c>
      <c r="H393">
        <f t="shared" ref="H393:H456" si="324">IF(G393&gt;0,G393-Pi,G393)</f>
        <v>-3.1396683954571971</v>
      </c>
      <c r="J393">
        <f t="shared" ref="J393:J456" si="325">Vin/Vramp</f>
        <v>15</v>
      </c>
      <c r="M393">
        <f t="shared" ref="M393:M456" si="326">1/(2*Pi*_Rfb1*(Cc1ea_u+Cc2ea_u)*A393)</f>
        <v>1.6693899125174172E-3</v>
      </c>
      <c r="N393">
        <f t="shared" ref="N393:N456" si="327">-Pi/2</f>
        <v>-1.5707963250000001</v>
      </c>
      <c r="O393">
        <f t="shared" ref="O393:O456" si="328">SQRT(1+(A393/Fz1_u)^2)</f>
        <v>228.88788071820247</v>
      </c>
      <c r="P393">
        <f t="shared" ref="P393:P456" si="329">ATAN2(Fz1_u,A393)</f>
        <v>1.5664273616134343</v>
      </c>
      <c r="Q393">
        <f t="shared" ref="Q393:Q456" si="330">SQRT(1+(A393/Fz2_u)^2)</f>
        <v>193.72483910525918</v>
      </c>
      <c r="R393">
        <f t="shared" ref="R393:R456" si="331">ATAN2(Fz2_u,A393)</f>
        <v>1.5656343432018536</v>
      </c>
      <c r="S393">
        <f t="shared" ref="S393:S456" si="332">1/SQRT(1+(A393/Fp1_u)^2)</f>
        <v>0.13563013948786071</v>
      </c>
      <c r="T393">
        <f t="shared" ref="T393:T456" si="333">-ATAN2(Fp1_u,A393)</f>
        <v>-1.4347468753974253</v>
      </c>
      <c r="U393">
        <f t="shared" ref="U393:U456" si="334">1/SQRT(1+(A393/Fp2_u)^2)</f>
        <v>0.17284657457960212</v>
      </c>
      <c r="V393">
        <f t="shared" ref="V393:V456" si="335">-ATAN2(Fp2_u,A393)</f>
        <v>-1.3970773123883995</v>
      </c>
      <c r="X393">
        <f t="shared" si="296"/>
        <v>-44.098427778379126</v>
      </c>
      <c r="Y393">
        <f t="shared" ref="Y393:Y456" si="336">(180/Pi)*(D393+H393+N393+P393+R393+T393+V393)</f>
        <v>-170.35994164809699</v>
      </c>
      <c r="Z393">
        <f t="shared" si="297"/>
        <v>9.6400583519030079</v>
      </c>
      <c r="AC393">
        <v>1</v>
      </c>
      <c r="AD393">
        <f t="shared" ref="AD393:AD456" si="337">Rcea1_u*Cc1ea_u*A393*2*Pi</f>
        <v>228.88569623213701</v>
      </c>
      <c r="AE393">
        <f t="shared" ref="AE393:AE456" si="338">-Rcea1_u*Cc1ea_u*Cc2ea_u*(A393*2*Pi)^2</f>
        <v>-0.15445529538500349</v>
      </c>
      <c r="AF393">
        <f t="shared" ref="AF393:AF456" si="339">(Cc2ea_u+Cc1ea_u)*A393*2*Pi</f>
        <v>2.7105033065670001E-2</v>
      </c>
      <c r="AG393">
        <f t="shared" si="315"/>
        <v>246.00338663355637</v>
      </c>
      <c r="AH393">
        <f t="shared" si="316"/>
        <v>-1438.7189882305804</v>
      </c>
      <c r="AJ393">
        <f t="shared" ref="AJ393:AJ456" si="340">_Rfb1</f>
        <v>22100</v>
      </c>
      <c r="AK393">
        <f t="shared" ref="AK393:AK456" si="341">_Rfb1*Rcea2_u*Cc3ea_u*A393*2*Pi</f>
        <v>161437.46447011366</v>
      </c>
      <c r="AL393">
        <v>1</v>
      </c>
      <c r="AM393">
        <f t="shared" ref="AM393:AM456" si="342">(_Rfb1+Rcea2_u)*Cc3ea_u*A393*2*Pi</f>
        <v>193.72225810773151</v>
      </c>
      <c r="AN393">
        <f t="shared" si="317"/>
        <v>833.91161254508916</v>
      </c>
      <c r="AO393">
        <f t="shared" si="318"/>
        <v>-109.77617438068765</v>
      </c>
      <c r="AQ393">
        <f t="shared" ref="AQ393:AQ456" si="343">Eadcg/(1+(Eadcg*A393/GBP)^2)</f>
        <v>3.1210002431259188E-3</v>
      </c>
      <c r="AR393">
        <f t="shared" ref="AR393:AR456" si="344">-(A393*Eadcg*Eadcg/GBP)/(1+(Eadcg*A393/GBP)^2)</f>
        <v>-5.5865904351953946</v>
      </c>
      <c r="AT393">
        <f t="shared" si="313"/>
        <v>-8036.7659619534634</v>
      </c>
      <c r="AU393">
        <f t="shared" si="314"/>
        <v>-1378.810409104758</v>
      </c>
      <c r="AV393">
        <f t="shared" si="302"/>
        <v>-2.9716839452050006</v>
      </c>
      <c r="AW393">
        <f t="shared" si="303"/>
        <v>480.72469890556926</v>
      </c>
      <c r="AX393">
        <f t="shared" si="304"/>
        <v>-6505.9263663229358</v>
      </c>
      <c r="AY393">
        <f t="shared" si="312"/>
        <v>-1.4970400860722797</v>
      </c>
      <c r="BA393">
        <f t="shared" ref="BA393:BA456" si="345">SQRT(AT393^2+AU393^2)/SQRT(AW393^2+AX393^2)</f>
        <v>1.2499396407721601</v>
      </c>
      <c r="BB393">
        <f t="shared" si="305"/>
        <v>1.9377808311611577</v>
      </c>
      <c r="BC393">
        <f t="shared" si="306"/>
        <v>-1.4746438591327209</v>
      </c>
      <c r="BD393">
        <f t="shared" ref="BD393:BD456" si="346">BC393*180/Pi-180</f>
        <v>-264.49086950973413</v>
      </c>
      <c r="BF393">
        <f t="shared" ref="BF393:BF456" si="347">20*LOG(BA393*J393*F393*C393)</f>
        <v>-46.948304495966809</v>
      </c>
      <c r="BG393">
        <f t="shared" ref="BG393:BG456" si="348">(180/Pi)*(D393+H393+BC393)</f>
        <v>-182.05315375476303</v>
      </c>
      <c r="BH393">
        <f t="shared" si="307"/>
        <v>-2.0531537547630307</v>
      </c>
      <c r="BI393">
        <f t="shared" si="308"/>
        <v>-2.0531537547630307</v>
      </c>
      <c r="BJ393">
        <f t="shared" ref="BJ393:BJ456" si="349">SUM((BF394&lt;0)*(BF393&gt;0))*A393</f>
        <v>0</v>
      </c>
      <c r="BK393">
        <f t="shared" si="309"/>
        <v>0</v>
      </c>
      <c r="BM393">
        <f t="shared" si="310"/>
        <v>-48.886085327127972</v>
      </c>
      <c r="BN393">
        <f t="shared" ref="BN393:BN456" si="350">(H393+D393)*180/Pi</f>
        <v>-97.562284245028962</v>
      </c>
      <c r="BQ393" s="56">
        <f t="shared" si="311"/>
        <v>18.839741631446294</v>
      </c>
      <c r="BR393" s="59"/>
      <c r="BS393" s="59"/>
      <c r="BT393" s="59">
        <v>676082.97499999998</v>
      </c>
      <c r="BU393" s="59">
        <v>9.5117999999999991</v>
      </c>
      <c r="BV393" s="59">
        <v>110.592</v>
      </c>
      <c r="BY393" s="59"/>
      <c r="BZ393" s="59"/>
      <c r="CA393" s="59"/>
      <c r="CC393" s="59"/>
    </row>
    <row r="394" spans="1:81" x14ac:dyDescent="0.25">
      <c r="A394">
        <f t="shared" si="319"/>
        <v>900000</v>
      </c>
      <c r="B394">
        <f t="shared" ref="B394:B457" si="351">A394/1000</f>
        <v>900</v>
      </c>
      <c r="C394">
        <f t="shared" si="320"/>
        <v>7.531110654350452</v>
      </c>
      <c r="D394">
        <f t="shared" si="321"/>
        <v>1.4376204724028414</v>
      </c>
      <c r="F394">
        <f t="shared" si="322"/>
        <v>3.1643384852003647E-5</v>
      </c>
      <c r="G394">
        <f t="shared" si="323"/>
        <v>1.9135635835218321E-3</v>
      </c>
      <c r="H394">
        <f t="shared" si="324"/>
        <v>-3.1396790864164785</v>
      </c>
      <c r="J394">
        <f t="shared" si="325"/>
        <v>15</v>
      </c>
      <c r="M394">
        <f t="shared" si="326"/>
        <v>1.6601155241145425E-3</v>
      </c>
      <c r="N394">
        <f t="shared" si="327"/>
        <v>-1.5707963250000001</v>
      </c>
      <c r="O394">
        <f t="shared" si="328"/>
        <v>230.16655962268663</v>
      </c>
      <c r="P394">
        <f t="shared" si="329"/>
        <v>1.5664516333359231</v>
      </c>
      <c r="Q394">
        <f t="shared" si="330"/>
        <v>194.80707201857197</v>
      </c>
      <c r="R394">
        <f t="shared" si="331"/>
        <v>1.5656630203832897</v>
      </c>
      <c r="S394">
        <f t="shared" si="332"/>
        <v>0.13489038656944055</v>
      </c>
      <c r="T394">
        <f t="shared" si="333"/>
        <v>-1.4354934896415992</v>
      </c>
      <c r="U394">
        <f t="shared" si="334"/>
        <v>0.17191477289923807</v>
      </c>
      <c r="V394">
        <f t="shared" si="335"/>
        <v>-1.3980232747783781</v>
      </c>
      <c r="X394">
        <f t="shared" ref="X394:X457" si="352">20*LOG(C394*J394*O394*Q394*F394*M394*S394*U394)</f>
        <v>-44.193746519290173</v>
      </c>
      <c r="Y394">
        <f t="shared" si="336"/>
        <v>-170.4123763303916</v>
      </c>
      <c r="Z394">
        <f t="shared" ref="Z394:Z457" si="353">Y394+180</f>
        <v>9.587623669608405</v>
      </c>
      <c r="AC394">
        <v>1</v>
      </c>
      <c r="AD394">
        <f t="shared" si="337"/>
        <v>230.16438727254001</v>
      </c>
      <c r="AE394">
        <f t="shared" si="338"/>
        <v>-0.1561858734269877</v>
      </c>
      <c r="AF394">
        <f t="shared" si="339"/>
        <v>2.7256457831400002E-2</v>
      </c>
      <c r="AG394">
        <f t="shared" si="315"/>
        <v>243.35816789738314</v>
      </c>
      <c r="AH394">
        <f t="shared" si="316"/>
        <v>-1431.1877298929505</v>
      </c>
      <c r="AJ394">
        <f t="shared" si="340"/>
        <v>22100</v>
      </c>
      <c r="AK394">
        <f t="shared" si="341"/>
        <v>162339.34974648303</v>
      </c>
      <c r="AL394">
        <v>1</v>
      </c>
      <c r="AM394">
        <f t="shared" si="342"/>
        <v>194.80450535973003</v>
      </c>
      <c r="AN394">
        <f t="shared" si="317"/>
        <v>833.90533389090774</v>
      </c>
      <c r="AO394">
        <f t="shared" si="318"/>
        <v>-109.1663389757782</v>
      </c>
      <c r="AQ394">
        <f t="shared" si="343"/>
        <v>3.0864188004880245E-3</v>
      </c>
      <c r="AR394">
        <f t="shared" si="344"/>
        <v>-5.5555538408784439</v>
      </c>
      <c r="AT394">
        <f t="shared" si="313"/>
        <v>-7950.2893846002316</v>
      </c>
      <c r="AU394">
        <f t="shared" si="314"/>
        <v>-1356.4066490880177</v>
      </c>
      <c r="AV394">
        <f t="shared" ref="AV394:AV457" si="354">ATAN2(AT394,AU394)</f>
        <v>-2.9726087395338485</v>
      </c>
      <c r="AW394">
        <f t="shared" ref="AW394:AW457" si="355">AG394-AH394*AO394/_Rfb2+AG394*AN394/_Rfb2+AN394-AO394*AR394+AQ394*AN394</f>
        <v>484.71587710634344</v>
      </c>
      <c r="AX394">
        <f t="shared" ref="AX394:AX457" si="356">AH394+AH394*AN394/_Rfb2+AG394*AO394/_Rfb2+AO394+AO394*AQ394+AN394*AR394</f>
        <v>-6470.226557684935</v>
      </c>
      <c r="AY394">
        <f t="shared" si="312"/>
        <v>-1.4960211802170849</v>
      </c>
      <c r="BA394">
        <f t="shared" si="345"/>
        <v>1.2430215990033475</v>
      </c>
      <c r="BB394">
        <f t="shared" ref="BB394:BB457" si="357">20*LOG(BA394)</f>
        <v>1.8895735019796485</v>
      </c>
      <c r="BC394">
        <f t="shared" ref="BC394:BC457" si="358">AV394-AY394</f>
        <v>-1.4765875593167637</v>
      </c>
      <c r="BD394">
        <f t="shared" si="346"/>
        <v>-264.60223532704578</v>
      </c>
      <c r="BF394">
        <f t="shared" si="347"/>
        <v>-47.045762077859258</v>
      </c>
      <c r="BG394">
        <f t="shared" si="348"/>
        <v>-182.12301050534737</v>
      </c>
      <c r="BH394">
        <f t="shared" ref="BH394:BH457" si="359">IF(BG394&gt;180,BG394-180,BG394+180)</f>
        <v>-2.1230105053473665</v>
      </c>
      <c r="BI394">
        <f t="shared" ref="BI394:BI457" si="360">IF(BH394&gt;180,BH394-360,BH394)</f>
        <v>-2.1230105053473665</v>
      </c>
      <c r="BJ394">
        <f t="shared" si="349"/>
        <v>0</v>
      </c>
      <c r="BK394">
        <f t="shared" ref="BK394:BK457" si="361">IF(BJ394&gt;0,BI394,0)</f>
        <v>0</v>
      </c>
      <c r="BM394">
        <f t="shared" ref="BM394:BM457" si="362">20*LOG(J394*F394*C394)</f>
        <v>-48.935335579838906</v>
      </c>
      <c r="BN394">
        <f t="shared" si="350"/>
        <v>-97.520775178301562</v>
      </c>
      <c r="BQ394" s="56">
        <f t="shared" ref="BQ394:BQ457" si="363">20*LOG(BA394*7)</f>
        <v>18.791534302264786</v>
      </c>
      <c r="BR394" s="59"/>
      <c r="BS394" s="59"/>
      <c r="BT394" s="59">
        <v>691830.97100000002</v>
      </c>
      <c r="BU394" s="59">
        <v>9.28308</v>
      </c>
      <c r="BV394" s="59">
        <v>111.01300000000001</v>
      </c>
      <c r="BY394" s="59"/>
      <c r="BZ394" s="59"/>
      <c r="CA394" s="59"/>
      <c r="CC394" s="59"/>
    </row>
    <row r="395" spans="1:81" x14ac:dyDescent="0.25">
      <c r="A395">
        <f t="shared" si="319"/>
        <v>905000</v>
      </c>
      <c r="B395">
        <f t="shared" si="351"/>
        <v>905</v>
      </c>
      <c r="C395">
        <f t="shared" si="320"/>
        <v>7.5722144792674424</v>
      </c>
      <c r="D395">
        <f t="shared" si="321"/>
        <v>1.4383476523702832</v>
      </c>
      <c r="F395">
        <f t="shared" si="322"/>
        <v>3.1294689731666586E-5</v>
      </c>
      <c r="G395">
        <f t="shared" si="323"/>
        <v>1.9029907671751546E-3</v>
      </c>
      <c r="H395">
        <f t="shared" si="324"/>
        <v>-3.1396896592328249</v>
      </c>
      <c r="J395">
        <f t="shared" si="325"/>
        <v>15</v>
      </c>
      <c r="M395">
        <f t="shared" si="326"/>
        <v>1.6509436151415343E-3</v>
      </c>
      <c r="N395">
        <f t="shared" si="327"/>
        <v>-1.5707963250000001</v>
      </c>
      <c r="O395">
        <f t="shared" si="328"/>
        <v>231.44523866126747</v>
      </c>
      <c r="P395">
        <f t="shared" si="329"/>
        <v>1.566475636867618</v>
      </c>
      <c r="Q395">
        <f t="shared" si="330"/>
        <v>195.88930509032016</v>
      </c>
      <c r="R395">
        <f t="shared" si="331"/>
        <v>1.5656913806980968</v>
      </c>
      <c r="S395">
        <f t="shared" si="332"/>
        <v>0.13415858581531298</v>
      </c>
      <c r="T395">
        <f t="shared" si="333"/>
        <v>-1.4362320033032774</v>
      </c>
      <c r="U395">
        <f t="shared" si="334"/>
        <v>0.17099281332242905</v>
      </c>
      <c r="V395">
        <f t="shared" si="335"/>
        <v>-1.3989590918186541</v>
      </c>
      <c r="X395">
        <f t="shared" si="352"/>
        <v>-44.288552746355556</v>
      </c>
      <c r="Y395">
        <f t="shared" si="336"/>
        <v>-170.46424962045174</v>
      </c>
      <c r="Z395">
        <f t="shared" si="353"/>
        <v>9.5357503795482614</v>
      </c>
      <c r="AC395">
        <v>1</v>
      </c>
      <c r="AD395">
        <f t="shared" si="337"/>
        <v>231.44307831294302</v>
      </c>
      <c r="AE395">
        <f t="shared" si="338"/>
        <v>-0.15792609257226989</v>
      </c>
      <c r="AF395">
        <f t="shared" si="339"/>
        <v>2.740788259713E-2</v>
      </c>
      <c r="AG395">
        <f t="shared" si="315"/>
        <v>240.75496208956412</v>
      </c>
      <c r="AH395">
        <f t="shared" si="316"/>
        <v>-1423.7323985865273</v>
      </c>
      <c r="AJ395">
        <f t="shared" si="340"/>
        <v>22100</v>
      </c>
      <c r="AK395">
        <f t="shared" si="341"/>
        <v>163241.23502285237</v>
      </c>
      <c r="AL395">
        <v>1</v>
      </c>
      <c r="AM395">
        <f t="shared" si="342"/>
        <v>195.88675261172853</v>
      </c>
      <c r="AN395">
        <f t="shared" si="317"/>
        <v>833.89915901145957</v>
      </c>
      <c r="AO395">
        <f t="shared" si="318"/>
        <v>-108.56324155386123</v>
      </c>
      <c r="AQ395">
        <f t="shared" si="343"/>
        <v>3.0524089458780421E-3</v>
      </c>
      <c r="AR395">
        <f t="shared" si="344"/>
        <v>-5.5248601920392568</v>
      </c>
      <c r="AT395">
        <f t="shared" si="313"/>
        <v>-7865.1875704672257</v>
      </c>
      <c r="AU395">
        <f t="shared" si="314"/>
        <v>-1334.4833195945353</v>
      </c>
      <c r="AV395">
        <f t="shared" si="354"/>
        <v>-2.9735236224091977</v>
      </c>
      <c r="AW395">
        <f t="shared" si="355"/>
        <v>488.63930272618205</v>
      </c>
      <c r="AX395">
        <f t="shared" si="356"/>
        <v>-6434.9142303597546</v>
      </c>
      <c r="AY395">
        <f t="shared" ref="AY395:AY458" si="364">ATAN2(AW395,AX395)</f>
        <v>-1.4950061420887484</v>
      </c>
      <c r="BA395">
        <f t="shared" si="345"/>
        <v>1.2361771074626962</v>
      </c>
      <c r="BB395">
        <f t="shared" si="357"/>
        <v>1.8416139342071332</v>
      </c>
      <c r="BC395">
        <f t="shared" si="358"/>
        <v>-1.4785174803204493</v>
      </c>
      <c r="BD395">
        <f t="shared" si="346"/>
        <v>-264.71281165547703</v>
      </c>
      <c r="BF395">
        <f t="shared" si="347"/>
        <v>-47.142689749032357</v>
      </c>
      <c r="BG395">
        <f t="shared" si="348"/>
        <v>-182.192528268405</v>
      </c>
      <c r="BH395">
        <f t="shared" si="359"/>
        <v>-2.1925282684049989</v>
      </c>
      <c r="BI395">
        <f t="shared" si="360"/>
        <v>-2.1925282684049989</v>
      </c>
      <c r="BJ395">
        <f t="shared" si="349"/>
        <v>0</v>
      </c>
      <c r="BK395">
        <f t="shared" si="361"/>
        <v>0</v>
      </c>
      <c r="BM395">
        <f t="shared" si="362"/>
        <v>-48.984303683239496</v>
      </c>
      <c r="BN395">
        <f t="shared" si="350"/>
        <v>-97.479716612928001</v>
      </c>
      <c r="BQ395" s="56">
        <f t="shared" si="363"/>
        <v>18.74357473449227</v>
      </c>
      <c r="BR395" s="59"/>
      <c r="BS395" s="59"/>
      <c r="BT395" s="59">
        <v>707945.78399999999</v>
      </c>
      <c r="BU395" s="59">
        <v>9.1002899999999993</v>
      </c>
      <c r="BV395" s="59">
        <v>109.21</v>
      </c>
      <c r="BY395" s="59"/>
      <c r="BZ395" s="59"/>
      <c r="CA395" s="59"/>
      <c r="CC395" s="59"/>
    </row>
    <row r="396" spans="1:81" x14ac:dyDescent="0.25">
      <c r="A396">
        <f t="shared" si="319"/>
        <v>910000</v>
      </c>
      <c r="B396">
        <f t="shared" si="351"/>
        <v>910</v>
      </c>
      <c r="C396">
        <f t="shared" si="320"/>
        <v>7.6133222650639132</v>
      </c>
      <c r="D396">
        <f t="shared" si="321"/>
        <v>1.4390669799646494</v>
      </c>
      <c r="F396">
        <f t="shared" si="322"/>
        <v>3.0951726752944773E-5</v>
      </c>
      <c r="G396">
        <f t="shared" si="323"/>
        <v>1.8925341461168126E-3</v>
      </c>
      <c r="H396">
        <f t="shared" si="324"/>
        <v>-3.1397001158538833</v>
      </c>
      <c r="J396">
        <f t="shared" si="325"/>
        <v>15</v>
      </c>
      <c r="M396">
        <f t="shared" si="326"/>
        <v>1.6418724963770202E-3</v>
      </c>
      <c r="N396">
        <f t="shared" si="327"/>
        <v>-1.5707963250000001</v>
      </c>
      <c r="O396">
        <f t="shared" si="328"/>
        <v>232.72391783173461</v>
      </c>
      <c r="P396">
        <f t="shared" si="329"/>
        <v>1.5664993766291364</v>
      </c>
      <c r="Q396">
        <f t="shared" si="330"/>
        <v>196.97153831789225</v>
      </c>
      <c r="R396">
        <f t="shared" si="331"/>
        <v>1.5657194293691701</v>
      </c>
      <c r="S396">
        <f t="shared" si="332"/>
        <v>0.13343461087440689</v>
      </c>
      <c r="T396">
        <f t="shared" si="333"/>
        <v>-1.4369625467125249</v>
      </c>
      <c r="U396">
        <f t="shared" si="334"/>
        <v>0.17008054315379428</v>
      </c>
      <c r="V396">
        <f t="shared" si="335"/>
        <v>-1.3998849242373894</v>
      </c>
      <c r="X396">
        <f t="shared" si="352"/>
        <v>-44.382851861912272</v>
      </c>
      <c r="Y396">
        <f t="shared" si="336"/>
        <v>-170.51557039113632</v>
      </c>
      <c r="Z396">
        <f t="shared" si="353"/>
        <v>9.4844296088636781</v>
      </c>
      <c r="AC396">
        <v>1</v>
      </c>
      <c r="AD396">
        <f t="shared" si="337"/>
        <v>232.72176935334602</v>
      </c>
      <c r="AE396">
        <f t="shared" si="338"/>
        <v>-0.15967595282085004</v>
      </c>
      <c r="AF396">
        <f t="shared" si="339"/>
        <v>2.7559307362860001E-2</v>
      </c>
      <c r="AG396">
        <f t="shared" si="315"/>
        <v>238.19289321704505</v>
      </c>
      <c r="AH396">
        <f t="shared" si="316"/>
        <v>-1416.3518939590608</v>
      </c>
      <c r="AJ396">
        <f t="shared" si="340"/>
        <v>22100</v>
      </c>
      <c r="AK396">
        <f t="shared" si="341"/>
        <v>164143.12029922171</v>
      </c>
      <c r="AL396">
        <v>1</v>
      </c>
      <c r="AM396">
        <f t="shared" si="342"/>
        <v>196.96899986372702</v>
      </c>
      <c r="AN396">
        <f t="shared" si="317"/>
        <v>833.89308563235647</v>
      </c>
      <c r="AO396">
        <f t="shared" si="318"/>
        <v>-107.96677106082984</v>
      </c>
      <c r="AQ396">
        <f t="shared" si="343"/>
        <v>3.0189581515039999E-3</v>
      </c>
      <c r="AR396">
        <f t="shared" si="344"/>
        <v>-5.4945038357372793</v>
      </c>
      <c r="AT396">
        <f t="shared" si="313"/>
        <v>-7781.4318197352113</v>
      </c>
      <c r="AU396">
        <f t="shared" si="314"/>
        <v>-1313.0276725220801</v>
      </c>
      <c r="AV396">
        <f t="shared" si="354"/>
        <v>-2.974428750703888</v>
      </c>
      <c r="AW396">
        <f t="shared" si="355"/>
        <v>492.49650750063296</v>
      </c>
      <c r="AX396">
        <f t="shared" si="356"/>
        <v>-6399.9831416002799</v>
      </c>
      <c r="AY396">
        <f t="shared" si="364"/>
        <v>-1.4939949052508146</v>
      </c>
      <c r="BA396">
        <f t="shared" si="345"/>
        <v>1.2294050042093567</v>
      </c>
      <c r="BB396">
        <f t="shared" si="357"/>
        <v>1.7938995310910588</v>
      </c>
      <c r="BC396">
        <f t="shared" si="358"/>
        <v>-1.4804338454530734</v>
      </c>
      <c r="BD396">
        <f t="shared" si="346"/>
        <v>-264.82261128970788</v>
      </c>
      <c r="BF396">
        <f t="shared" si="347"/>
        <v>-47.239093364168035</v>
      </c>
      <c r="BG396">
        <f t="shared" si="348"/>
        <v>-182.26171258759956</v>
      </c>
      <c r="BH396">
        <f t="shared" si="359"/>
        <v>-2.2617125875995612</v>
      </c>
      <c r="BI396">
        <f t="shared" si="360"/>
        <v>-2.2617125875995612</v>
      </c>
      <c r="BJ396">
        <f t="shared" si="349"/>
        <v>0</v>
      </c>
      <c r="BK396">
        <f t="shared" si="361"/>
        <v>0</v>
      </c>
      <c r="BM396">
        <f t="shared" si="362"/>
        <v>-49.032992895259085</v>
      </c>
      <c r="BN396">
        <f t="shared" si="350"/>
        <v>-97.439101297891725</v>
      </c>
      <c r="BQ396" s="56">
        <f t="shared" si="363"/>
        <v>18.695860331376196</v>
      </c>
      <c r="BR396" s="59"/>
      <c r="BS396" s="59"/>
      <c r="BT396" s="59">
        <v>724435.96</v>
      </c>
      <c r="BU396" s="59">
        <v>8.7908299999999997</v>
      </c>
      <c r="BV396" s="59">
        <v>107.553</v>
      </c>
      <c r="BY396" s="59"/>
      <c r="BZ396" s="59"/>
      <c r="CA396" s="59"/>
      <c r="CC396" s="59"/>
    </row>
    <row r="397" spans="1:81" x14ac:dyDescent="0.25">
      <c r="A397">
        <f t="shared" si="319"/>
        <v>915000</v>
      </c>
      <c r="B397">
        <f t="shared" si="351"/>
        <v>915</v>
      </c>
      <c r="C397">
        <f t="shared" si="320"/>
        <v>7.6544339479247041</v>
      </c>
      <c r="D397">
        <f t="shared" si="321"/>
        <v>1.4397785809598918</v>
      </c>
      <c r="F397">
        <f t="shared" si="322"/>
        <v>3.0614370960008115E-5</v>
      </c>
      <c r="G397">
        <f t="shared" si="323"/>
        <v>1.8821918152785197E-3</v>
      </c>
      <c r="H397">
        <f t="shared" si="324"/>
        <v>-3.1397104581847217</v>
      </c>
      <c r="J397">
        <f t="shared" si="325"/>
        <v>15</v>
      </c>
      <c r="M397">
        <f t="shared" si="326"/>
        <v>1.6329005155225008E-3</v>
      </c>
      <c r="N397">
        <f t="shared" si="327"/>
        <v>-1.5707963250000001</v>
      </c>
      <c r="O397">
        <f t="shared" si="328"/>
        <v>234.00259713192602</v>
      </c>
      <c r="P397">
        <f t="shared" si="329"/>
        <v>1.5665228569444738</v>
      </c>
      <c r="Q397">
        <f t="shared" si="330"/>
        <v>198.05377169873384</v>
      </c>
      <c r="R397">
        <f t="shared" si="331"/>
        <v>1.5657471715052482</v>
      </c>
      <c r="S397">
        <f t="shared" si="332"/>
        <v>0.1327183380327045</v>
      </c>
      <c r="T397">
        <f t="shared" si="333"/>
        <v>-1.4376852474354245</v>
      </c>
      <c r="U397">
        <f t="shared" si="334"/>
        <v>0.16917781278833027</v>
      </c>
      <c r="V397">
        <f t="shared" si="335"/>
        <v>-1.4008009294196795</v>
      </c>
      <c r="X397">
        <f t="shared" si="352"/>
        <v>-44.476649184561722</v>
      </c>
      <c r="Y397">
        <f t="shared" si="336"/>
        <v>-170.56634733132509</v>
      </c>
      <c r="Z397">
        <f t="shared" si="353"/>
        <v>9.4336526686749096</v>
      </c>
      <c r="AC397">
        <v>1</v>
      </c>
      <c r="AD397">
        <f t="shared" si="337"/>
        <v>234.00046039374899</v>
      </c>
      <c r="AE397">
        <f t="shared" si="338"/>
        <v>-0.16143545417272812</v>
      </c>
      <c r="AF397">
        <f t="shared" si="339"/>
        <v>2.7710732128590002E-2</v>
      </c>
      <c r="AG397">
        <f t="shared" si="315"/>
        <v>235.67110776039593</v>
      </c>
      <c r="AH397">
        <f t="shared" si="316"/>
        <v>-1409.0451358520716</v>
      </c>
      <c r="AJ397">
        <f t="shared" si="340"/>
        <v>22100</v>
      </c>
      <c r="AK397">
        <f t="shared" si="341"/>
        <v>165045.00557559106</v>
      </c>
      <c r="AL397">
        <v>1</v>
      </c>
      <c r="AM397">
        <f t="shared" si="342"/>
        <v>198.05124711572552</v>
      </c>
      <c r="AN397">
        <f t="shared" si="317"/>
        <v>833.88711154117971</v>
      </c>
      <c r="AO397">
        <f t="shared" si="318"/>
        <v>-107.37681886967661</v>
      </c>
      <c r="AQ397">
        <f t="shared" si="343"/>
        <v>2.9860542309253094E-3</v>
      </c>
      <c r="AR397">
        <f t="shared" si="344"/>
        <v>-5.4644792425933169</v>
      </c>
      <c r="AT397">
        <f t="shared" si="313"/>
        <v>-7698.9941700322897</v>
      </c>
      <c r="AU397">
        <f t="shared" si="314"/>
        <v>-1292.0273616251322</v>
      </c>
      <c r="AV397">
        <f t="shared" si="354"/>
        <v>-2.975324278031958</v>
      </c>
      <c r="AW397">
        <f t="shared" si="355"/>
        <v>496.28897997396501</v>
      </c>
      <c r="AX397">
        <f t="shared" si="356"/>
        <v>-6365.4271814527938</v>
      </c>
      <c r="AY397">
        <f t="shared" si="364"/>
        <v>-1.4929874048722305</v>
      </c>
      <c r="BA397">
        <f t="shared" si="345"/>
        <v>1.2227041513523955</v>
      </c>
      <c r="BB397">
        <f t="shared" si="357"/>
        <v>1.7464277347042356</v>
      </c>
      <c r="BC397">
        <f t="shared" si="358"/>
        <v>-1.4823368731597275</v>
      </c>
      <c r="BD397">
        <f t="shared" si="346"/>
        <v>-264.93164674572017</v>
      </c>
      <c r="BF397">
        <f t="shared" si="347"/>
        <v>-47.334978682425053</v>
      </c>
      <c r="BG397">
        <f t="shared" si="348"/>
        <v>-182.33056888174866</v>
      </c>
      <c r="BH397">
        <f t="shared" si="359"/>
        <v>-2.3305688817486612</v>
      </c>
      <c r="BI397">
        <f t="shared" si="360"/>
        <v>-2.3305688817486612</v>
      </c>
      <c r="BJ397">
        <f t="shared" si="349"/>
        <v>0</v>
      </c>
      <c r="BK397">
        <f t="shared" si="361"/>
        <v>0</v>
      </c>
      <c r="BM397">
        <f t="shared" si="362"/>
        <v>-49.081406417129294</v>
      </c>
      <c r="BN397">
        <f t="shared" si="350"/>
        <v>-97.398922136028474</v>
      </c>
      <c r="BQ397" s="56">
        <f t="shared" si="363"/>
        <v>18.648388534989373</v>
      </c>
      <c r="BR397" s="59"/>
      <c r="BS397" s="59"/>
      <c r="BT397" s="59">
        <v>741310.24100000004</v>
      </c>
      <c r="BU397" s="59">
        <v>8.6150300000000009</v>
      </c>
      <c r="BV397" s="59">
        <v>107.324</v>
      </c>
      <c r="BY397" s="59"/>
      <c r="BZ397" s="59"/>
      <c r="CA397" s="59"/>
      <c r="CC397" s="59"/>
    </row>
    <row r="398" spans="1:81" x14ac:dyDescent="0.25">
      <c r="A398">
        <f t="shared" si="319"/>
        <v>920000</v>
      </c>
      <c r="B398">
        <f t="shared" si="351"/>
        <v>920</v>
      </c>
      <c r="C398">
        <f t="shared" si="320"/>
        <v>7.695549465392336</v>
      </c>
      <c r="D398">
        <f t="shared" si="321"/>
        <v>1.440482578473723</v>
      </c>
      <c r="F398">
        <f t="shared" si="322"/>
        <v>3.0282500783509E-5</v>
      </c>
      <c r="G398">
        <f t="shared" si="323"/>
        <v>1.871961911012648E-3</v>
      </c>
      <c r="H398">
        <f t="shared" si="324"/>
        <v>-3.1397206880889876</v>
      </c>
      <c r="J398">
        <f t="shared" si="325"/>
        <v>15</v>
      </c>
      <c r="M398">
        <f t="shared" si="326"/>
        <v>1.6240260561990092E-3</v>
      </c>
      <c r="N398">
        <f t="shared" si="327"/>
        <v>-1.5707963250000001</v>
      </c>
      <c r="O398">
        <f t="shared" si="328"/>
        <v>235.28127655972673</v>
      </c>
      <c r="P398">
        <f t="shared" si="329"/>
        <v>1.5665460820436281</v>
      </c>
      <c r="Q398">
        <f t="shared" si="330"/>
        <v>199.13600523034597</v>
      </c>
      <c r="R398">
        <f t="shared" si="331"/>
        <v>1.5657746121040146</v>
      </c>
      <c r="S398">
        <f t="shared" si="332"/>
        <v>0.13200964614549118</v>
      </c>
      <c r="T398">
        <f t="shared" si="333"/>
        <v>-1.4384002303465107</v>
      </c>
      <c r="U398">
        <f t="shared" si="334"/>
        <v>0.16828447563502535</v>
      </c>
      <c r="V398">
        <f t="shared" si="335"/>
        <v>-1.4017072614931156</v>
      </c>
      <c r="X398">
        <f t="shared" si="352"/>
        <v>-44.569949950866032</v>
      </c>
      <c r="Y398">
        <f t="shared" si="336"/>
        <v>-170.61658895060904</v>
      </c>
      <c r="Z398">
        <f t="shared" si="353"/>
        <v>9.3834110493909577</v>
      </c>
      <c r="AC398">
        <v>1</v>
      </c>
      <c r="AD398">
        <f t="shared" si="337"/>
        <v>235.279151434152</v>
      </c>
      <c r="AE398">
        <f t="shared" si="338"/>
        <v>-0.16320459662790421</v>
      </c>
      <c r="AF398">
        <f t="shared" si="339"/>
        <v>2.7862156894319999E-2</v>
      </c>
      <c r="AG398">
        <f t="shared" si="315"/>
        <v>233.18877399306015</v>
      </c>
      <c r="AH398">
        <f t="shared" si="316"/>
        <v>-1401.8110638683249</v>
      </c>
      <c r="AJ398">
        <f t="shared" si="340"/>
        <v>22100</v>
      </c>
      <c r="AK398">
        <f t="shared" si="341"/>
        <v>165946.8908519604</v>
      </c>
      <c r="AL398">
        <v>1</v>
      </c>
      <c r="AM398">
        <f t="shared" si="342"/>
        <v>199.13349436772401</v>
      </c>
      <c r="AN398">
        <f t="shared" si="317"/>
        <v>833.88123458546261</v>
      </c>
      <c r="AO398">
        <f t="shared" si="318"/>
        <v>-106.79327871454956</v>
      </c>
      <c r="AQ398">
        <f t="shared" si="343"/>
        <v>2.9536853279521127E-3</v>
      </c>
      <c r="AR398">
        <f t="shared" si="344"/>
        <v>-5.4347810034318869</v>
      </c>
      <c r="AT398">
        <f t="shared" si="313"/>
        <v>-7617.8473740518293</v>
      </c>
      <c r="AU398">
        <f t="shared" si="314"/>
        <v>-1271.4704278829638</v>
      </c>
      <c r="AV398">
        <f t="shared" si="354"/>
        <v>-2.9762103548319203</v>
      </c>
      <c r="AW398">
        <f t="shared" si="355"/>
        <v>500.01816695597677</v>
      </c>
      <c r="AX398">
        <f t="shared" si="356"/>
        <v>-6331.2403692578791</v>
      </c>
      <c r="AY398">
        <f t="shared" si="364"/>
        <v>-1.4919835776794839</v>
      </c>
      <c r="BA398">
        <f t="shared" si="345"/>
        <v>1.2160734344407926</v>
      </c>
      <c r="BB398">
        <f t="shared" si="357"/>
        <v>1.6991960252058669</v>
      </c>
      <c r="BC398">
        <f t="shared" si="358"/>
        <v>-1.4842267771524364</v>
      </c>
      <c r="BD398">
        <f t="shared" si="346"/>
        <v>-265.03993026831108</v>
      </c>
      <c r="BF398">
        <f t="shared" si="347"/>
        <v>-47.430351369496023</v>
      </c>
      <c r="BG398">
        <f t="shared" si="348"/>
        <v>-182.39910244830313</v>
      </c>
      <c r="BH398">
        <f t="shared" si="359"/>
        <v>-2.3991024483031254</v>
      </c>
      <c r="BI398">
        <f t="shared" si="360"/>
        <v>-2.3991024483031254</v>
      </c>
      <c r="BJ398">
        <f t="shared" si="349"/>
        <v>0</v>
      </c>
      <c r="BK398">
        <f t="shared" si="361"/>
        <v>0</v>
      </c>
      <c r="BM398">
        <f t="shared" si="362"/>
        <v>-49.129547394701902</v>
      </c>
      <c r="BN398">
        <f t="shared" si="350"/>
        <v>-97.359172179992086</v>
      </c>
      <c r="BQ398" s="56">
        <f t="shared" si="363"/>
        <v>18.601156825491003</v>
      </c>
      <c r="BR398" s="59"/>
      <c r="BS398" s="59"/>
      <c r="BT398" s="59">
        <v>758577.57499999995</v>
      </c>
      <c r="BU398" s="59">
        <v>8.3056699999999992</v>
      </c>
      <c r="BV398" s="59">
        <v>105.50700000000001</v>
      </c>
      <c r="BY398" s="59"/>
      <c r="BZ398" s="59"/>
      <c r="CA398" s="59"/>
      <c r="CC398" s="59"/>
    </row>
    <row r="399" spans="1:81" x14ac:dyDescent="0.25">
      <c r="A399">
        <f t="shared" si="319"/>
        <v>925000</v>
      </c>
      <c r="B399">
        <f t="shared" si="351"/>
        <v>925</v>
      </c>
      <c r="C399">
        <f t="shared" si="320"/>
        <v>7.7366687563312526</v>
      </c>
      <c r="D399">
        <f t="shared" si="321"/>
        <v>1.4411790930369583</v>
      </c>
      <c r="F399">
        <f t="shared" si="322"/>
        <v>2.9955997931041008E-5</v>
      </c>
      <c r="G399">
        <f t="shared" si="323"/>
        <v>1.8618426099725549E-3</v>
      </c>
      <c r="H399">
        <f t="shared" si="324"/>
        <v>-3.1397308073900279</v>
      </c>
      <c r="J399">
        <f t="shared" si="325"/>
        <v>15</v>
      </c>
      <c r="M399">
        <f t="shared" si="326"/>
        <v>1.6152475369763117E-3</v>
      </c>
      <c r="N399">
        <f t="shared" si="327"/>
        <v>-1.5707963250000001</v>
      </c>
      <c r="O399">
        <f t="shared" si="328"/>
        <v>236.55995611306739</v>
      </c>
      <c r="P399">
        <f t="shared" si="329"/>
        <v>1.5665690560651404</v>
      </c>
      <c r="Q399">
        <f t="shared" si="330"/>
        <v>200.21823891028384</v>
      </c>
      <c r="R399">
        <f t="shared" si="331"/>
        <v>1.5658017560551001</v>
      </c>
      <c r="S399">
        <f t="shared" si="332"/>
        <v>0.13130841657166095</v>
      </c>
      <c r="T399">
        <f t="shared" si="333"/>
        <v>-1.4391076176989528</v>
      </c>
      <c r="U399">
        <f t="shared" si="334"/>
        <v>0.16740038804268337</v>
      </c>
      <c r="V399">
        <f t="shared" si="335"/>
        <v>-1.4026040714107639</v>
      </c>
      <c r="X399">
        <f t="shared" si="352"/>
        <v>-44.662759317002326</v>
      </c>
      <c r="Y399">
        <f t="shared" si="336"/>
        <v>-170.66630358383929</v>
      </c>
      <c r="Z399">
        <f t="shared" si="353"/>
        <v>9.3336964161607057</v>
      </c>
      <c r="AC399">
        <v>1</v>
      </c>
      <c r="AD399">
        <f t="shared" si="337"/>
        <v>236.557842474555</v>
      </c>
      <c r="AE399">
        <f t="shared" si="338"/>
        <v>-0.16498338018637823</v>
      </c>
      <c r="AF399">
        <f t="shared" si="339"/>
        <v>2.801358166005E-2</v>
      </c>
      <c r="AG399">
        <f t="shared" si="315"/>
        <v>230.74508132425942</v>
      </c>
      <c r="AH399">
        <f t="shared" si="316"/>
        <v>-1394.6486369493148</v>
      </c>
      <c r="AJ399">
        <f t="shared" si="340"/>
        <v>22100</v>
      </c>
      <c r="AK399">
        <f t="shared" si="341"/>
        <v>166848.77612832977</v>
      </c>
      <c r="AL399">
        <v>1</v>
      </c>
      <c r="AM399">
        <f t="shared" si="342"/>
        <v>200.21574161972254</v>
      </c>
      <c r="AN399">
        <f t="shared" si="317"/>
        <v>833.87545267075336</v>
      </c>
      <c r="AO399">
        <f t="shared" si="318"/>
        <v>-106.21604662694712</v>
      </c>
      <c r="AQ399">
        <f t="shared" si="343"/>
        <v>2.9218399059635046E-3</v>
      </c>
      <c r="AR399">
        <f t="shared" si="344"/>
        <v>-5.405403826032483</v>
      </c>
      <c r="AT399">
        <f t="shared" si="313"/>
        <v>-7537.9648779500958</v>
      </c>
      <c r="AU399">
        <f t="shared" si="314"/>
        <v>-1251.3452854705645</v>
      </c>
      <c r="AV399">
        <f t="shared" si="354"/>
        <v>-2.977087128447522</v>
      </c>
      <c r="AW399">
        <f t="shared" si="355"/>
        <v>503.68547492171763</v>
      </c>
      <c r="AX399">
        <f t="shared" si="356"/>
        <v>-6297.4168502610901</v>
      </c>
      <c r="AY399">
        <f t="shared" si="364"/>
        <v>-1.4909833619104385</v>
      </c>
      <c r="BA399">
        <f t="shared" si="345"/>
        <v>1.2095117618715896</v>
      </c>
      <c r="BB399">
        <f t="shared" si="357"/>
        <v>1.6522019201190488</v>
      </c>
      <c r="BC399">
        <f t="shared" si="358"/>
        <v>-1.4861037665370835</v>
      </c>
      <c r="BD399">
        <f t="shared" si="346"/>
        <v>-265.14747383836504</v>
      </c>
      <c r="BF399">
        <f t="shared" si="347"/>
        <v>-47.525216999609519</v>
      </c>
      <c r="BG399">
        <f t="shared" si="348"/>
        <v>-182.46731846671065</v>
      </c>
      <c r="BH399">
        <f t="shared" si="359"/>
        <v>-2.4673184667106511</v>
      </c>
      <c r="BI399">
        <f t="shared" si="360"/>
        <v>-2.4673184667106511</v>
      </c>
      <c r="BJ399">
        <f t="shared" si="349"/>
        <v>0</v>
      </c>
      <c r="BK399">
        <f t="shared" si="361"/>
        <v>0</v>
      </c>
      <c r="BM399">
        <f t="shared" si="362"/>
        <v>-49.177418919728566</v>
      </c>
      <c r="BN399">
        <f t="shared" si="350"/>
        <v>-97.319844628345578</v>
      </c>
      <c r="BQ399" s="56">
        <f t="shared" si="363"/>
        <v>18.554162720404186</v>
      </c>
      <c r="BR399" s="59"/>
      <c r="BS399" s="59"/>
      <c r="BT399" s="59">
        <v>776247.11699999997</v>
      </c>
      <c r="BU399" s="59">
        <v>7.9999099999999999</v>
      </c>
      <c r="BV399" s="59">
        <v>105.28700000000001</v>
      </c>
      <c r="BY399" s="59"/>
      <c r="BZ399" s="59"/>
      <c r="CA399" s="59"/>
      <c r="CC399" s="59"/>
    </row>
    <row r="400" spans="1:81" x14ac:dyDescent="0.25">
      <c r="A400">
        <f t="shared" si="319"/>
        <v>930000</v>
      </c>
      <c r="B400">
        <f t="shared" si="351"/>
        <v>930</v>
      </c>
      <c r="C400">
        <f t="shared" si="320"/>
        <v>7.7777917608931855</v>
      </c>
      <c r="D400">
        <f t="shared" si="321"/>
        <v>1.4418682426607083</v>
      </c>
      <c r="F400">
        <f t="shared" si="322"/>
        <v>2.963474728170936E-5</v>
      </c>
      <c r="G400">
        <f t="shared" si="323"/>
        <v>1.8518321280290345E-3</v>
      </c>
      <c r="H400">
        <f t="shared" si="324"/>
        <v>-3.1397408178719712</v>
      </c>
      <c r="J400">
        <f t="shared" si="325"/>
        <v>15</v>
      </c>
      <c r="M400">
        <f t="shared" si="326"/>
        <v>1.6065634104334282E-3</v>
      </c>
      <c r="N400">
        <f t="shared" si="327"/>
        <v>-1.5707963250000001</v>
      </c>
      <c r="O400">
        <f t="shared" si="328"/>
        <v>237.83863578992319</v>
      </c>
      <c r="P400">
        <f t="shared" si="329"/>
        <v>1.5665917830585543</v>
      </c>
      <c r="Q400">
        <f t="shared" si="330"/>
        <v>201.30047273615511</v>
      </c>
      <c r="R400">
        <f t="shared" si="331"/>
        <v>1.5658286081429853</v>
      </c>
      <c r="S400">
        <f t="shared" si="332"/>
        <v>0.13061453311000629</v>
      </c>
      <c r="T400">
        <f t="shared" si="333"/>
        <v>-1.4398075291925667</v>
      </c>
      <c r="U400">
        <f t="shared" si="334"/>
        <v>0.16652540922788334</v>
      </c>
      <c r="V400">
        <f t="shared" si="335"/>
        <v>-1.403491507031644</v>
      </c>
      <c r="X400">
        <f t="shared" si="352"/>
        <v>-44.755082360376022</v>
      </c>
      <c r="Y400">
        <f t="shared" si="336"/>
        <v>-170.71549939554004</v>
      </c>
      <c r="Z400">
        <f t="shared" si="353"/>
        <v>9.2845006044599643</v>
      </c>
      <c r="AC400">
        <v>1</v>
      </c>
      <c r="AD400">
        <f t="shared" si="337"/>
        <v>237.83653351495801</v>
      </c>
      <c r="AE400">
        <f t="shared" si="338"/>
        <v>-0.16677180484815021</v>
      </c>
      <c r="AF400">
        <f t="shared" si="339"/>
        <v>2.8165006425780001E-2</v>
      </c>
      <c r="AG400">
        <f t="shared" si="315"/>
        <v>228.33923966463115</v>
      </c>
      <c r="AH400">
        <f t="shared" si="316"/>
        <v>-1387.5568329625391</v>
      </c>
      <c r="AJ400">
        <f t="shared" si="340"/>
        <v>22100</v>
      </c>
      <c r="AK400">
        <f t="shared" si="341"/>
        <v>167750.66140469912</v>
      </c>
      <c r="AL400">
        <v>1</v>
      </c>
      <c r="AM400">
        <f t="shared" si="342"/>
        <v>201.29798887172103</v>
      </c>
      <c r="AN400">
        <f t="shared" si="317"/>
        <v>833.86976375874804</v>
      </c>
      <c r="AO400">
        <f t="shared" si="318"/>
        <v>-105.64502087397051</v>
      </c>
      <c r="AQ400">
        <f t="shared" si="343"/>
        <v>2.8905067376266799E-3</v>
      </c>
      <c r="AR400">
        <f t="shared" si="344"/>
        <v>-5.3763425319856246</v>
      </c>
      <c r="AT400">
        <f t="shared" si="313"/>
        <v>-7459.3208004930566</v>
      </c>
      <c r="AU400">
        <f t="shared" si="314"/>
        <v>-1231.6407083047336</v>
      </c>
      <c r="AV400">
        <f t="shared" si="354"/>
        <v>-2.977954743206082</v>
      </c>
      <c r="AW400">
        <f t="shared" si="355"/>
        <v>507.29227135665553</v>
      </c>
      <c r="AX400">
        <f t="shared" si="356"/>
        <v>-6263.9508923293542</v>
      </c>
      <c r="AY400">
        <f t="shared" si="364"/>
        <v>-1.4899866972697975</v>
      </c>
      <c r="BA400">
        <f t="shared" si="345"/>
        <v>1.2030180643155846</v>
      </c>
      <c r="BB400">
        <f t="shared" si="357"/>
        <v>1.6054429736244278</v>
      </c>
      <c r="BC400">
        <f t="shared" si="358"/>
        <v>-1.4879680459362845</v>
      </c>
      <c r="BD400">
        <f t="shared" si="346"/>
        <v>-265.2542891798945</v>
      </c>
      <c r="BF400">
        <f t="shared" si="347"/>
        <v>-47.619581057479166</v>
      </c>
      <c r="BG400">
        <f t="shared" si="348"/>
        <v>-182.53522200166799</v>
      </c>
      <c r="BH400">
        <f t="shared" si="359"/>
        <v>-2.5352220016679894</v>
      </c>
      <c r="BI400">
        <f t="shared" si="360"/>
        <v>-2.5352220016679894</v>
      </c>
      <c r="BJ400">
        <f t="shared" si="349"/>
        <v>0</v>
      </c>
      <c r="BK400">
        <f t="shared" si="361"/>
        <v>0</v>
      </c>
      <c r="BM400">
        <f t="shared" si="362"/>
        <v>-49.225024031103587</v>
      </c>
      <c r="BN400">
        <f t="shared" si="350"/>
        <v>-97.280932821773462</v>
      </c>
      <c r="BQ400" s="56">
        <f t="shared" si="363"/>
        <v>18.507403773909566</v>
      </c>
      <c r="BR400" s="59"/>
      <c r="BS400" s="59"/>
      <c r="BT400" s="59">
        <v>794328.23499999999</v>
      </c>
      <c r="BU400" s="59">
        <v>7.7399399999999998</v>
      </c>
      <c r="BV400" s="59">
        <v>105.286</v>
      </c>
      <c r="BY400" s="59"/>
      <c r="BZ400" s="59"/>
      <c r="CA400" s="59"/>
      <c r="CC400" s="59"/>
    </row>
    <row r="401" spans="1:81" x14ac:dyDescent="0.25">
      <c r="A401">
        <f t="shared" si="319"/>
        <v>935000</v>
      </c>
      <c r="B401">
        <f t="shared" si="351"/>
        <v>935</v>
      </c>
      <c r="C401">
        <f t="shared" si="320"/>
        <v>7.8189184204835849</v>
      </c>
      <c r="D401">
        <f t="shared" si="321"/>
        <v>1.442550142901502</v>
      </c>
      <c r="F401">
        <f t="shared" si="322"/>
        <v>2.9318636784637586E-5</v>
      </c>
      <c r="G401">
        <f t="shared" si="323"/>
        <v>1.8419287192215426E-3</v>
      </c>
      <c r="H401">
        <f t="shared" si="324"/>
        <v>-3.1397507212807785</v>
      </c>
      <c r="J401">
        <f t="shared" si="325"/>
        <v>15</v>
      </c>
      <c r="M401">
        <f t="shared" si="326"/>
        <v>1.5979721622492924E-3</v>
      </c>
      <c r="N401">
        <f t="shared" si="327"/>
        <v>-1.5707963250000001</v>
      </c>
      <c r="O401">
        <f t="shared" si="328"/>
        <v>239.11731558831264</v>
      </c>
      <c r="P401">
        <f t="shared" si="329"/>
        <v>1.5666142669867937</v>
      </c>
      <c r="Q401">
        <f t="shared" si="330"/>
        <v>202.38270670561869</v>
      </c>
      <c r="R401">
        <f t="shared" si="331"/>
        <v>1.5658551730498145</v>
      </c>
      <c r="S401">
        <f t="shared" si="332"/>
        <v>0.12992788193742322</v>
      </c>
      <c r="T401">
        <f t="shared" si="333"/>
        <v>-1.4405000820397331</v>
      </c>
      <c r="U401">
        <f t="shared" si="334"/>
        <v>0.16565940120500627</v>
      </c>
      <c r="V401">
        <f t="shared" si="335"/>
        <v>-1.404369713198802</v>
      </c>
      <c r="X401">
        <f t="shared" si="352"/>
        <v>-44.846924081194508</v>
      </c>
      <c r="Y401">
        <f t="shared" si="336"/>
        <v>-170.76418438419014</v>
      </c>
      <c r="Z401">
        <f t="shared" si="353"/>
        <v>9.2358156158098552</v>
      </c>
      <c r="AC401">
        <v>1</v>
      </c>
      <c r="AD401">
        <f t="shared" si="337"/>
        <v>239.11522455536101</v>
      </c>
      <c r="AE401">
        <f t="shared" si="338"/>
        <v>-0.16856987061322012</v>
      </c>
      <c r="AF401">
        <f t="shared" si="339"/>
        <v>2.8316431191510002E-2</v>
      </c>
      <c r="AG401">
        <f t="shared" si="315"/>
        <v>225.97047881371671</v>
      </c>
      <c r="AH401">
        <f t="shared" si="316"/>
        <v>-1380.5346482983477</v>
      </c>
      <c r="AJ401">
        <f t="shared" si="340"/>
        <v>22100</v>
      </c>
      <c r="AK401">
        <f t="shared" si="341"/>
        <v>168652.54668106846</v>
      </c>
      <c r="AL401">
        <v>1</v>
      </c>
      <c r="AM401">
        <f t="shared" si="342"/>
        <v>202.3802361237195</v>
      </c>
      <c r="AN401">
        <f t="shared" si="317"/>
        <v>833.86416586549365</v>
      </c>
      <c r="AO401">
        <f t="shared" si="318"/>
        <v>-105.08010189855716</v>
      </c>
      <c r="AQ401">
        <f t="shared" si="343"/>
        <v>2.8596748949998871E-3</v>
      </c>
      <c r="AR401">
        <f t="shared" si="344"/>
        <v>-5.3475920536497892</v>
      </c>
      <c r="AT401">
        <f t="shared" si="313"/>
        <v>-7381.8899129231759</v>
      </c>
      <c r="AU401">
        <f t="shared" si="314"/>
        <v>-1212.3458171390857</v>
      </c>
      <c r="AV401">
        <f t="shared" si="354"/>
        <v>-2.978813340494487</v>
      </c>
      <c r="AW401">
        <f t="shared" si="355"/>
        <v>510.8398860497208</v>
      </c>
      <c r="AX401">
        <f t="shared" si="356"/>
        <v>-6230.8368827693103</v>
      </c>
      <c r="AY401">
        <f t="shared" si="364"/>
        <v>-1.4889935248861312</v>
      </c>
      <c r="BA401">
        <f t="shared" si="345"/>
        <v>1.1965912941599794</v>
      </c>
      <c r="BB401">
        <f t="shared" si="357"/>
        <v>1.5589167758695874</v>
      </c>
      <c r="BC401">
        <f t="shared" si="358"/>
        <v>-1.4898198156083557</v>
      </c>
      <c r="BD401">
        <f t="shared" si="346"/>
        <v>-265.36038776685575</v>
      </c>
      <c r="BF401">
        <f t="shared" si="347"/>
        <v>-47.713448940201395</v>
      </c>
      <c r="BG401">
        <f t="shared" si="348"/>
        <v>-182.60281800626626</v>
      </c>
      <c r="BH401">
        <f t="shared" si="359"/>
        <v>-2.6028180062662614</v>
      </c>
      <c r="BI401">
        <f t="shared" si="360"/>
        <v>-2.6028180062662614</v>
      </c>
      <c r="BJ401">
        <f t="shared" si="349"/>
        <v>0</v>
      </c>
      <c r="BK401">
        <f t="shared" si="361"/>
        <v>0</v>
      </c>
      <c r="BM401">
        <f t="shared" si="362"/>
        <v>-49.272365716070979</v>
      </c>
      <c r="BN401">
        <f t="shared" si="350"/>
        <v>-97.242430239410496</v>
      </c>
      <c r="BQ401" s="56">
        <f t="shared" si="363"/>
        <v>18.460877576154722</v>
      </c>
      <c r="BR401" s="59"/>
      <c r="BS401" s="59"/>
      <c r="BT401" s="59">
        <v>812830.51599999995</v>
      </c>
      <c r="BU401" s="59">
        <v>7.5259600000000004</v>
      </c>
      <c r="BV401" s="59">
        <v>105.187</v>
      </c>
      <c r="BY401" s="59"/>
      <c r="BZ401" s="59"/>
      <c r="CA401" s="59"/>
      <c r="CC401" s="59"/>
    </row>
    <row r="402" spans="1:81" x14ac:dyDescent="0.25">
      <c r="A402">
        <f t="shared" si="319"/>
        <v>940000</v>
      </c>
      <c r="B402">
        <f t="shared" si="351"/>
        <v>940</v>
      </c>
      <c r="C402">
        <f t="shared" si="320"/>
        <v>7.8600486777290968</v>
      </c>
      <c r="D402">
        <f t="shared" si="321"/>
        <v>1.4432249069244099</v>
      </c>
      <c r="F402">
        <f t="shared" si="322"/>
        <v>2.9007557361243386E-5</v>
      </c>
      <c r="G402">
        <f t="shared" si="323"/>
        <v>1.8321306747428993E-3</v>
      </c>
      <c r="H402">
        <f t="shared" si="324"/>
        <v>-3.1397605193252573</v>
      </c>
      <c r="J402">
        <f t="shared" si="325"/>
        <v>15</v>
      </c>
      <c r="M402">
        <f t="shared" si="326"/>
        <v>1.5894723103224344E-3</v>
      </c>
      <c r="N402">
        <f t="shared" si="327"/>
        <v>-1.5707963250000001</v>
      </c>
      <c r="O402">
        <f t="shared" si="328"/>
        <v>240.39599550629643</v>
      </c>
      <c r="P402">
        <f t="shared" si="329"/>
        <v>1.5666365117284686</v>
      </c>
      <c r="Q402">
        <f t="shared" si="330"/>
        <v>203.46494081638323</v>
      </c>
      <c r="R402">
        <f t="shared" si="331"/>
        <v>1.5658814553581151</v>
      </c>
      <c r="S402">
        <f t="shared" si="332"/>
        <v>0.12924835154896597</v>
      </c>
      <c r="T402">
        <f t="shared" si="333"/>
        <v>-1.4411853910292964</v>
      </c>
      <c r="U402">
        <f t="shared" si="334"/>
        <v>0.1648022287182612</v>
      </c>
      <c r="V402">
        <f t="shared" si="335"/>
        <v>-1.4052388318150526</v>
      </c>
      <c r="X402">
        <f t="shared" si="352"/>
        <v>-44.938289404002305</v>
      </c>
      <c r="Y402">
        <f t="shared" si="336"/>
        <v>-170.81236638637739</v>
      </c>
      <c r="Z402">
        <f t="shared" si="353"/>
        <v>9.1876336136226087</v>
      </c>
      <c r="AC402">
        <v>1</v>
      </c>
      <c r="AD402">
        <f t="shared" si="337"/>
        <v>240.39391559576399</v>
      </c>
      <c r="AE402">
        <f t="shared" si="338"/>
        <v>-0.17037757748158805</v>
      </c>
      <c r="AF402">
        <f t="shared" si="339"/>
        <v>2.8467855957239999E-2</v>
      </c>
      <c r="AG402">
        <f t="shared" si="315"/>
        <v>223.63804786845333</v>
      </c>
      <c r="AH402">
        <f t="shared" si="316"/>
        <v>-1373.5810974761444</v>
      </c>
      <c r="AJ402">
        <f t="shared" si="340"/>
        <v>22100</v>
      </c>
      <c r="AK402">
        <f t="shared" si="341"/>
        <v>169554.43195743783</v>
      </c>
      <c r="AL402">
        <v>1</v>
      </c>
      <c r="AM402">
        <f t="shared" si="342"/>
        <v>203.46248337571802</v>
      </c>
      <c r="AN402">
        <f t="shared" si="317"/>
        <v>833.85865705965932</v>
      </c>
      <c r="AO402">
        <f t="shared" si="318"/>
        <v>-104.52119226162128</v>
      </c>
      <c r="AQ402">
        <f t="shared" si="343"/>
        <v>2.829333740002903E-3</v>
      </c>
      <c r="AR402">
        <f t="shared" si="344"/>
        <v>-5.3191474312054572</v>
      </c>
      <c r="AT402">
        <f t="shared" si="313"/>
        <v>-7305.6476195182231</v>
      </c>
      <c r="AU402">
        <f t="shared" si="314"/>
        <v>-1193.450067183006</v>
      </c>
      <c r="AV402">
        <f t="shared" si="354"/>
        <v>-2.9796630588329256</v>
      </c>
      <c r="AW402">
        <f t="shared" si="355"/>
        <v>514.32961233651292</v>
      </c>
      <c r="AX402">
        <f t="shared" si="356"/>
        <v>-6198.0693252439123</v>
      </c>
      <c r="AY402">
        <f t="shared" si="364"/>
        <v>-1.4880037872704011</v>
      </c>
      <c r="BA402">
        <f t="shared" si="345"/>
        <v>1.1902304249674038</v>
      </c>
      <c r="BB402">
        <f t="shared" si="357"/>
        <v>1.512620952293747</v>
      </c>
      <c r="BC402">
        <f t="shared" si="358"/>
        <v>-1.4916592715625245</v>
      </c>
      <c r="BD402">
        <f t="shared" si="346"/>
        <v>-265.46578082975026</v>
      </c>
      <c r="BF402">
        <f t="shared" si="347"/>
        <v>-47.806825959103406</v>
      </c>
      <c r="BG402">
        <f t="shared" si="348"/>
        <v>-182.67011132503347</v>
      </c>
      <c r="BH402">
        <f t="shared" si="359"/>
        <v>-2.6701113250334743</v>
      </c>
      <c r="BI402">
        <f t="shared" si="360"/>
        <v>-2.6701113250334743</v>
      </c>
      <c r="BJ402">
        <f t="shared" si="349"/>
        <v>0</v>
      </c>
      <c r="BK402">
        <f t="shared" si="361"/>
        <v>0</v>
      </c>
      <c r="BM402">
        <f t="shared" si="362"/>
        <v>-49.319446911397151</v>
      </c>
      <c r="BN402">
        <f t="shared" si="350"/>
        <v>-97.204330495283187</v>
      </c>
      <c r="BQ402" s="56">
        <f t="shared" si="363"/>
        <v>18.414581752578883</v>
      </c>
      <c r="BR402" s="59"/>
      <c r="BS402" s="59"/>
      <c r="BT402" s="59">
        <v>831763.77099999995</v>
      </c>
      <c r="BU402" s="59">
        <v>7.3913599999999997</v>
      </c>
      <c r="BV402" s="59">
        <v>104.541</v>
      </c>
      <c r="BY402" s="59"/>
      <c r="BZ402" s="59"/>
      <c r="CA402" s="59"/>
      <c r="CC402" s="59"/>
    </row>
    <row r="403" spans="1:81" x14ac:dyDescent="0.25">
      <c r="A403">
        <f t="shared" si="319"/>
        <v>945000</v>
      </c>
      <c r="B403">
        <f t="shared" si="351"/>
        <v>945</v>
      </c>
      <c r="C403">
        <f t="shared" si="320"/>
        <v>7.9011824764460519</v>
      </c>
      <c r="D403">
        <f t="shared" si="321"/>
        <v>1.4438926455642438</v>
      </c>
      <c r="F403">
        <f t="shared" si="322"/>
        <v>2.8701402811124623E-5</v>
      </c>
      <c r="G403">
        <f t="shared" si="323"/>
        <v>1.8224363219562292E-3</v>
      </c>
      <c r="H403">
        <f t="shared" si="324"/>
        <v>-3.1397702136780441</v>
      </c>
      <c r="J403">
        <f t="shared" si="325"/>
        <v>15</v>
      </c>
      <c r="M403">
        <f t="shared" si="326"/>
        <v>1.5810624039186119E-3</v>
      </c>
      <c r="N403">
        <f t="shared" si="327"/>
        <v>-1.5707963250000001</v>
      </c>
      <c r="O403">
        <f t="shared" si="328"/>
        <v>241.67467554197628</v>
      </c>
      <c r="P403">
        <f t="shared" si="329"/>
        <v>1.5666585210801034</v>
      </c>
      <c r="Q403">
        <f t="shared" si="330"/>
        <v>204.54717506620599</v>
      </c>
      <c r="R403">
        <f t="shared" si="331"/>
        <v>1.5659074595534339</v>
      </c>
      <c r="S403">
        <f t="shared" si="332"/>
        <v>0.1285758326996872</v>
      </c>
      <c r="T403">
        <f t="shared" si="333"/>
        <v>-1.4418635685885159</v>
      </c>
      <c r="U403">
        <f t="shared" si="334"/>
        <v>0.16395375917564542</v>
      </c>
      <c r="V403">
        <f t="shared" si="335"/>
        <v>-1.4060990019164765</v>
      </c>
      <c r="X403">
        <f t="shared" si="352"/>
        <v>-45.029183179178716</v>
      </c>
      <c r="Y403">
        <f t="shared" si="336"/>
        <v>-170.86005308083017</v>
      </c>
      <c r="Z403">
        <f t="shared" si="353"/>
        <v>9.1399469191698302</v>
      </c>
      <c r="AC403">
        <v>1</v>
      </c>
      <c r="AD403">
        <f t="shared" si="337"/>
        <v>241.67260663616699</v>
      </c>
      <c r="AE403">
        <f t="shared" si="338"/>
        <v>-0.17219492545325393</v>
      </c>
      <c r="AF403">
        <f t="shared" si="339"/>
        <v>2.861928072297E-2</v>
      </c>
      <c r="AG403">
        <f t="shared" si="315"/>
        <v>221.34121465186263</v>
      </c>
      <c r="AH403">
        <f t="shared" si="316"/>
        <v>-1366.6952127597383</v>
      </c>
      <c r="AJ403">
        <f t="shared" si="340"/>
        <v>22100</v>
      </c>
      <c r="AK403">
        <f t="shared" si="341"/>
        <v>170456.31723380717</v>
      </c>
      <c r="AL403">
        <v>1</v>
      </c>
      <c r="AM403">
        <f t="shared" si="342"/>
        <v>204.54473062771652</v>
      </c>
      <c r="AN403">
        <f t="shared" si="317"/>
        <v>833.85323546086852</v>
      </c>
      <c r="AO403">
        <f t="shared" si="318"/>
        <v>-103.96819658603071</v>
      </c>
      <c r="AQ403">
        <f t="shared" si="343"/>
        <v>2.7994729152395186E-3</v>
      </c>
      <c r="AR403">
        <f t="shared" si="344"/>
        <v>-5.2910038098026906</v>
      </c>
      <c r="AT403">
        <f t="shared" si="313"/>
        <v>-7230.5699388154299</v>
      </c>
      <c r="AU403">
        <f t="shared" si="314"/>
        <v>-1174.9432362208688</v>
      </c>
      <c r="AV403">
        <f t="shared" si="354"/>
        <v>-2.9805040339464393</v>
      </c>
      <c r="AW403">
        <f t="shared" si="355"/>
        <v>517.76270829486407</v>
      </c>
      <c r="AX403">
        <f t="shared" si="356"/>
        <v>-6165.6428367837771</v>
      </c>
      <c r="AY403">
        <f t="shared" si="364"/>
        <v>-1.4870174282759234</v>
      </c>
      <c r="BA403">
        <f t="shared" si="345"/>
        <v>1.1839344509507828</v>
      </c>
      <c r="BB403">
        <f t="shared" si="357"/>
        <v>1.466553162967499</v>
      </c>
      <c r="BC403">
        <f t="shared" si="358"/>
        <v>-1.4934866056705158</v>
      </c>
      <c r="BD403">
        <f t="shared" si="346"/>
        <v>-265.57047936201815</v>
      </c>
      <c r="BF403">
        <f t="shared" si="347"/>
        <v>-47.899717341542797</v>
      </c>
      <c r="BG403">
        <f t="shared" si="348"/>
        <v>-182.73710669687773</v>
      </c>
      <c r="BH403">
        <f t="shared" si="359"/>
        <v>-2.7371066968777313</v>
      </c>
      <c r="BI403">
        <f t="shared" si="360"/>
        <v>-2.7371066968777313</v>
      </c>
      <c r="BJ403">
        <f t="shared" si="349"/>
        <v>0</v>
      </c>
      <c r="BK403">
        <f t="shared" si="361"/>
        <v>0</v>
      </c>
      <c r="BM403">
        <f t="shared" si="362"/>
        <v>-49.366270504510297</v>
      </c>
      <c r="BN403">
        <f t="shared" si="350"/>
        <v>-97.166627334859612</v>
      </c>
      <c r="BQ403" s="56">
        <f t="shared" si="363"/>
        <v>18.368513963252635</v>
      </c>
      <c r="BR403" s="59"/>
      <c r="BS403" s="59"/>
      <c r="BT403" s="59">
        <v>851138.03799999994</v>
      </c>
      <c r="BU403" s="59">
        <v>7.3125499999999999</v>
      </c>
      <c r="BV403" s="59">
        <v>103.205</v>
      </c>
      <c r="BY403" s="59"/>
      <c r="BZ403" s="59"/>
      <c r="CA403" s="59"/>
      <c r="CC403" s="59"/>
    </row>
    <row r="404" spans="1:81" x14ac:dyDescent="0.25">
      <c r="A404">
        <f t="shared" si="319"/>
        <v>950000</v>
      </c>
      <c r="B404">
        <f t="shared" si="351"/>
        <v>950</v>
      </c>
      <c r="C404">
        <f t="shared" si="320"/>
        <v>7.9423197616099062</v>
      </c>
      <c r="D404">
        <f t="shared" si="321"/>
        <v>1.4445534673848945</v>
      </c>
      <c r="F404">
        <f t="shared" si="322"/>
        <v>2.8400069721403661E-5</v>
      </c>
      <c r="G404">
        <f t="shared" si="323"/>
        <v>1.8128440234429527E-3</v>
      </c>
      <c r="H404">
        <f t="shared" si="324"/>
        <v>-3.1397798059765574</v>
      </c>
      <c r="J404">
        <f t="shared" si="325"/>
        <v>15</v>
      </c>
      <c r="M404">
        <f t="shared" si="326"/>
        <v>1.5727410228453561E-3</v>
      </c>
      <c r="N404">
        <f t="shared" si="327"/>
        <v>-1.5707963250000001</v>
      </c>
      <c r="O404">
        <f t="shared" si="328"/>
        <v>242.95335569349379</v>
      </c>
      <c r="P404">
        <f t="shared" si="329"/>
        <v>1.5666802987582984</v>
      </c>
      <c r="Q404">
        <f t="shared" si="330"/>
        <v>205.62940945289131</v>
      </c>
      <c r="R404">
        <f t="shared" si="331"/>
        <v>1.5659331900268889</v>
      </c>
      <c r="S404">
        <f t="shared" si="332"/>
        <v>0.12791021834820318</v>
      </c>
      <c r="T404">
        <f t="shared" si="333"/>
        <v>-1.4425347248431377</v>
      </c>
      <c r="U404">
        <f t="shared" si="334"/>
        <v>0.16311386258477717</v>
      </c>
      <c r="V404">
        <f t="shared" si="335"/>
        <v>-1.4069503597437447</v>
      </c>
      <c r="X404">
        <f t="shared" si="352"/>
        <v>-45.119610184399264</v>
      </c>
      <c r="Y404">
        <f t="shared" si="336"/>
        <v>-170.90725199233083</v>
      </c>
      <c r="Z404">
        <f t="shared" si="353"/>
        <v>9.0927480076691722</v>
      </c>
      <c r="AC404">
        <v>1</v>
      </c>
      <c r="AD404">
        <f t="shared" si="337"/>
        <v>242.95129767656999</v>
      </c>
      <c r="AE404">
        <f t="shared" si="338"/>
        <v>-0.17402191452821775</v>
      </c>
      <c r="AF404">
        <f t="shared" si="339"/>
        <v>2.8770705488700001E-2</v>
      </c>
      <c r="AG404">
        <f t="shared" si="315"/>
        <v>219.07926516115776</v>
      </c>
      <c r="AH404">
        <f t="shared" si="316"/>
        <v>-1359.8760437816291</v>
      </c>
      <c r="AJ404">
        <f t="shared" si="340"/>
        <v>22100</v>
      </c>
      <c r="AK404">
        <f t="shared" si="341"/>
        <v>171358.20251017652</v>
      </c>
      <c r="AL404">
        <v>1</v>
      </c>
      <c r="AM404">
        <f t="shared" si="342"/>
        <v>205.62697787971504</v>
      </c>
      <c r="AN404">
        <f t="shared" si="317"/>
        <v>833.84789923809615</v>
      </c>
      <c r="AO404">
        <f t="shared" si="318"/>
        <v>-103.42102150235314</v>
      </c>
      <c r="AQ404">
        <f t="shared" si="343"/>
        <v>2.770082335157248E-3</v>
      </c>
      <c r="AR404">
        <f t="shared" si="344"/>
        <v>-5.2631564367987709</v>
      </c>
      <c r="AT404">
        <f t="shared" si="313"/>
        <v>-7156.6334854753059</v>
      </c>
      <c r="AU404">
        <f t="shared" si="314"/>
        <v>-1156.8154132089751</v>
      </c>
      <c r="AV404">
        <f t="shared" si="354"/>
        <v>-2.9813363988343635</v>
      </c>
      <c r="AW404">
        <f t="shared" si="355"/>
        <v>521.14039789482706</v>
      </c>
      <c r="AX404">
        <f t="shared" si="356"/>
        <v>-6133.552144889919</v>
      </c>
      <c r="AY404">
        <f t="shared" si="364"/>
        <v>-1.4860343930597153</v>
      </c>
      <c r="BA404">
        <f t="shared" si="345"/>
        <v>1.1777023864634992</v>
      </c>
      <c r="BB404">
        <f t="shared" si="357"/>
        <v>1.4207111019470724</v>
      </c>
      <c r="BC404">
        <f t="shared" si="358"/>
        <v>-1.4953020057746482</v>
      </c>
      <c r="BD404">
        <f t="shared" si="346"/>
        <v>-265.67449412623137</v>
      </c>
      <c r="BF404">
        <f t="shared" si="347"/>
        <v>-47.992128232660647</v>
      </c>
      <c r="BG404">
        <f t="shared" si="348"/>
        <v>-182.80380875793554</v>
      </c>
      <c r="BH404">
        <f t="shared" si="359"/>
        <v>-2.803808757935542</v>
      </c>
      <c r="BI404">
        <f t="shared" si="360"/>
        <v>-2.803808757935542</v>
      </c>
      <c r="BJ404">
        <f t="shared" si="349"/>
        <v>0</v>
      </c>
      <c r="BK404">
        <f t="shared" si="361"/>
        <v>0</v>
      </c>
      <c r="BM404">
        <f t="shared" si="362"/>
        <v>-49.412839334607725</v>
      </c>
      <c r="BN404">
        <f t="shared" si="350"/>
        <v>-97.129314631704176</v>
      </c>
      <c r="BQ404" s="56">
        <f t="shared" si="363"/>
        <v>18.322671902232209</v>
      </c>
      <c r="BR404" s="59"/>
      <c r="BS404" s="59"/>
      <c r="BT404" s="59">
        <v>870963.59</v>
      </c>
      <c r="BU404" s="59">
        <v>7.1463099999999997</v>
      </c>
      <c r="BV404" s="59">
        <v>103.91</v>
      </c>
      <c r="BY404" s="59"/>
      <c r="BZ404" s="59"/>
      <c r="CA404" s="59"/>
      <c r="CC404" s="59"/>
    </row>
    <row r="405" spans="1:81" x14ac:dyDescent="0.25">
      <c r="A405">
        <f t="shared" si="319"/>
        <v>955000</v>
      </c>
      <c r="B405">
        <f t="shared" si="351"/>
        <v>955</v>
      </c>
      <c r="C405">
        <f t="shared" si="320"/>
        <v>7.9834604793256254</v>
      </c>
      <c r="D405">
        <f t="shared" si="321"/>
        <v>1.4452074787368774</v>
      </c>
      <c r="F405">
        <f t="shared" si="322"/>
        <v>2.810345737938568E-5</v>
      </c>
      <c r="G405">
        <f t="shared" si="323"/>
        <v>1.8033521760806896E-3</v>
      </c>
      <c r="H405">
        <f t="shared" si="324"/>
        <v>-3.1397892978239197</v>
      </c>
      <c r="J405">
        <f t="shared" si="325"/>
        <v>15</v>
      </c>
      <c r="M405">
        <f t="shared" si="326"/>
        <v>1.5645067766524485E-3</v>
      </c>
      <c r="N405">
        <f t="shared" si="327"/>
        <v>-1.5707963250000001</v>
      </c>
      <c r="O405">
        <f t="shared" si="328"/>
        <v>244.23203595902962</v>
      </c>
      <c r="P405">
        <f t="shared" si="329"/>
        <v>1.5667018484018214</v>
      </c>
      <c r="Q405">
        <f t="shared" si="330"/>
        <v>206.71164397428953</v>
      </c>
      <c r="R405">
        <f t="shared" si="331"/>
        <v>1.5659586510776411</v>
      </c>
      <c r="S405">
        <f t="shared" si="332"/>
        <v>0.12725140360192472</v>
      </c>
      <c r="T405">
        <f t="shared" si="333"/>
        <v>-1.4431989676756529</v>
      </c>
      <c r="U405">
        <f t="shared" si="334"/>
        <v>0.16228241149053987</v>
      </c>
      <c r="V405">
        <f t="shared" si="335"/>
        <v>-1.407793038811346</v>
      </c>
      <c r="X405">
        <f t="shared" si="352"/>
        <v>-45.209575126061701</v>
      </c>
      <c r="Y405">
        <f t="shared" si="336"/>
        <v>-170.95397049551414</v>
      </c>
      <c r="Z405">
        <f t="shared" si="353"/>
        <v>9.0460295044858583</v>
      </c>
      <c r="AC405">
        <v>1</v>
      </c>
      <c r="AD405">
        <f t="shared" si="337"/>
        <v>244.22998871697303</v>
      </c>
      <c r="AE405">
        <f t="shared" si="338"/>
        <v>-0.17585854470647957</v>
      </c>
      <c r="AF405">
        <f t="shared" si="339"/>
        <v>2.8922130254429999E-2</v>
      </c>
      <c r="AG405">
        <f t="shared" si="315"/>
        <v>216.8515030345304</v>
      </c>
      <c r="AH405">
        <f t="shared" si="316"/>
        <v>-1353.1226571760194</v>
      </c>
      <c r="AJ405">
        <f t="shared" si="340"/>
        <v>22100</v>
      </c>
      <c r="AK405">
        <f t="shared" si="341"/>
        <v>172260.08778654586</v>
      </c>
      <c r="AL405">
        <v>1</v>
      </c>
      <c r="AM405">
        <f t="shared" si="342"/>
        <v>206.70922513171351</v>
      </c>
      <c r="AN405">
        <f t="shared" si="317"/>
        <v>833.84264660812221</v>
      </c>
      <c r="AO405">
        <f t="shared" si="318"/>
        <v>-102.87957559630563</v>
      </c>
      <c r="AQ405">
        <f t="shared" si="343"/>
        <v>2.7411521775301726E-3</v>
      </c>
      <c r="AR405">
        <f t="shared" si="344"/>
        <v>-5.2356006590826292</v>
      </c>
      <c r="AT405">
        <f t="shared" si="313"/>
        <v>-7083.8154527606621</v>
      </c>
      <c r="AU405">
        <f t="shared" si="314"/>
        <v>-1139.0569873288296</v>
      </c>
      <c r="AV405">
        <f t="shared" si="354"/>
        <v>-2.9821602838377324</v>
      </c>
      <c r="AW405">
        <f t="shared" si="355"/>
        <v>524.46387210507658</v>
      </c>
      <c r="AX405">
        <f t="shared" si="356"/>
        <v>-6101.7920847246123</v>
      </c>
      <c r="AY405">
        <f t="shared" si="364"/>
        <v>-1.485054628045162</v>
      </c>
      <c r="BA405">
        <f t="shared" si="345"/>
        <v>1.1715332655043638</v>
      </c>
      <c r="BB405">
        <f t="shared" si="357"/>
        <v>1.3750924966429086</v>
      </c>
      <c r="BC405">
        <f t="shared" si="358"/>
        <v>-1.4971056557925704</v>
      </c>
      <c r="BD405">
        <f t="shared" si="346"/>
        <v>-265.77783566009509</v>
      </c>
      <c r="BF405">
        <f t="shared" si="347"/>
        <v>-48.084063697089157</v>
      </c>
      <c r="BG405">
        <f t="shared" si="348"/>
        <v>-182.87022204432844</v>
      </c>
      <c r="BH405">
        <f t="shared" si="359"/>
        <v>-2.8702220443284432</v>
      </c>
      <c r="BI405">
        <f t="shared" si="360"/>
        <v>-2.8702220443284432</v>
      </c>
      <c r="BJ405">
        <f t="shared" si="349"/>
        <v>0</v>
      </c>
      <c r="BK405">
        <f t="shared" si="361"/>
        <v>0</v>
      </c>
      <c r="BM405">
        <f t="shared" si="362"/>
        <v>-49.459156193732071</v>
      </c>
      <c r="BN405">
        <f t="shared" si="350"/>
        <v>-97.092386384233365</v>
      </c>
      <c r="BQ405" s="56">
        <f t="shared" si="363"/>
        <v>18.277053296928045</v>
      </c>
      <c r="BR405" s="59"/>
      <c r="BS405" s="59"/>
      <c r="BT405" s="59">
        <v>891250.93799999997</v>
      </c>
      <c r="BU405" s="59">
        <v>6.8612700000000002</v>
      </c>
      <c r="BV405" s="59">
        <v>102.337</v>
      </c>
      <c r="BY405" s="59"/>
      <c r="BZ405" s="59"/>
      <c r="CA405" s="59"/>
      <c r="CC405" s="59"/>
    </row>
    <row r="406" spans="1:81" x14ac:dyDescent="0.25">
      <c r="A406">
        <f t="shared" si="319"/>
        <v>960000</v>
      </c>
      <c r="B406">
        <f t="shared" si="351"/>
        <v>960</v>
      </c>
      <c r="C406">
        <f t="shared" si="320"/>
        <v>8.0246045767989642</v>
      </c>
      <c r="D406">
        <f t="shared" si="321"/>
        <v>1.4458547838131466</v>
      </c>
      <c r="F406">
        <f t="shared" si="322"/>
        <v>2.7811467688393328E-5</v>
      </c>
      <c r="G406">
        <f t="shared" si="323"/>
        <v>1.7939592101499813E-3</v>
      </c>
      <c r="H406">
        <f t="shared" si="324"/>
        <v>-3.1397986907898501</v>
      </c>
      <c r="J406">
        <f t="shared" si="325"/>
        <v>15</v>
      </c>
      <c r="M406">
        <f t="shared" si="326"/>
        <v>1.5563583038573836E-3</v>
      </c>
      <c r="N406">
        <f t="shared" si="327"/>
        <v>-1.5707963250000001</v>
      </c>
      <c r="O406">
        <f t="shared" si="328"/>
        <v>245.51071633680229</v>
      </c>
      <c r="P406">
        <f t="shared" si="329"/>
        <v>1.5667231735736349</v>
      </c>
      <c r="Q406">
        <f t="shared" si="330"/>
        <v>207.79387862829589</v>
      </c>
      <c r="R406">
        <f t="shared" si="331"/>
        <v>1.5659838469152896</v>
      </c>
      <c r="S406">
        <f t="shared" si="332"/>
        <v>0.1265992856638978</v>
      </c>
      <c r="T406">
        <f t="shared" si="333"/>
        <v>-1.4438564027818048</v>
      </c>
      <c r="U406">
        <f t="shared" si="334"/>
        <v>0.1614592809144797</v>
      </c>
      <c r="V406">
        <f t="shared" si="335"/>
        <v>-1.4086271699747892</v>
      </c>
      <c r="X406">
        <f t="shared" si="352"/>
        <v>-45.299082640677724</v>
      </c>
      <c r="Y406">
        <f t="shared" si="336"/>
        <v>-171.00021581855529</v>
      </c>
      <c r="Z406">
        <f t="shared" si="353"/>
        <v>8.9997841814447099</v>
      </c>
      <c r="AC406">
        <v>1</v>
      </c>
      <c r="AD406">
        <f t="shared" si="337"/>
        <v>245.50867975737603</v>
      </c>
      <c r="AE406">
        <f t="shared" si="338"/>
        <v>-0.17770481598803931</v>
      </c>
      <c r="AF406">
        <f t="shared" si="339"/>
        <v>2.907355502016E-2</v>
      </c>
      <c r="AG406">
        <f t="shared" si="315"/>
        <v>214.65724903590569</v>
      </c>
      <c r="AH406">
        <f t="shared" si="316"/>
        <v>-1346.4341362203641</v>
      </c>
      <c r="AJ406">
        <f t="shared" si="340"/>
        <v>22100</v>
      </c>
      <c r="AK406">
        <f t="shared" si="341"/>
        <v>173161.97306291523</v>
      </c>
      <c r="AL406">
        <v>1</v>
      </c>
      <c r="AM406">
        <f t="shared" si="342"/>
        <v>207.79147238371203</v>
      </c>
      <c r="AN406">
        <f t="shared" si="317"/>
        <v>833.83747583404011</v>
      </c>
      <c r="AO406">
        <f t="shared" si="318"/>
        <v>-102.34376935784653</v>
      </c>
      <c r="AQ406">
        <f t="shared" si="343"/>
        <v>2.7126728752514986E-3</v>
      </c>
      <c r="AR406">
        <f t="shared" si="344"/>
        <v>-5.2083319204828777</v>
      </c>
      <c r="AT406">
        <f t="shared" ref="AT406:AT469" si="365">-AR406*AH406+AG406*AQ406</f>
        <v>-7012.0935956073772</v>
      </c>
      <c r="AU406">
        <f t="shared" ref="AU406:AU469" si="366">AQ406*AH406+AG406*AR406</f>
        <v>-1121.6586374763876</v>
      </c>
      <c r="AV406">
        <f t="shared" si="354"/>
        <v>-2.9829758167047093</v>
      </c>
      <c r="AW406">
        <f t="shared" si="355"/>
        <v>527.73428995758866</v>
      </c>
      <c r="AX406">
        <f t="shared" si="356"/>
        <v>-6070.3575963872954</v>
      </c>
      <c r="AY406">
        <f t="shared" si="364"/>
        <v>-1.4840780808859628</v>
      </c>
      <c r="BA406">
        <f t="shared" si="345"/>
        <v>1.1654261412368929</v>
      </c>
      <c r="BB406">
        <f t="shared" si="357"/>
        <v>1.3296951072021441</v>
      </c>
      <c r="BC406">
        <f t="shared" si="358"/>
        <v>-1.4988977358187465</v>
      </c>
      <c r="BD406">
        <f t="shared" si="346"/>
        <v>-265.88051428226203</v>
      </c>
      <c r="BF406">
        <f t="shared" si="347"/>
        <v>-48.175528720615411</v>
      </c>
      <c r="BG406">
        <f t="shared" si="348"/>
        <v>-182.93635099483092</v>
      </c>
      <c r="BH406">
        <f t="shared" si="359"/>
        <v>-2.9363509948309172</v>
      </c>
      <c r="BI406">
        <f t="shared" si="360"/>
        <v>-2.9363509948309172</v>
      </c>
      <c r="BJ406">
        <f t="shared" si="349"/>
        <v>0</v>
      </c>
      <c r="BK406">
        <f t="shared" si="361"/>
        <v>0</v>
      </c>
      <c r="BM406">
        <f t="shared" si="362"/>
        <v>-49.505223827817552</v>
      </c>
      <c r="BN406">
        <f t="shared" si="350"/>
        <v>-97.05583671256889</v>
      </c>
      <c r="BQ406" s="56">
        <f t="shared" si="363"/>
        <v>18.23165590748728</v>
      </c>
      <c r="BR406" s="59"/>
      <c r="BS406" s="59"/>
      <c r="BT406" s="59">
        <v>912010.83900000004</v>
      </c>
      <c r="BU406" s="59">
        <v>6.4708399999999999</v>
      </c>
      <c r="BV406" s="59">
        <v>100.33499999999999</v>
      </c>
      <c r="BY406" s="59"/>
      <c r="BZ406" s="59"/>
      <c r="CA406" s="59"/>
      <c r="CC406" s="59"/>
    </row>
    <row r="407" spans="1:81" x14ac:dyDescent="0.25">
      <c r="A407">
        <f t="shared" si="319"/>
        <v>965000</v>
      </c>
      <c r="B407">
        <f t="shared" si="351"/>
        <v>965</v>
      </c>
      <c r="C407">
        <f t="shared" si="320"/>
        <v>8.0657520023086171</v>
      </c>
      <c r="D407">
        <f t="shared" si="321"/>
        <v>1.4464954847032381</v>
      </c>
      <c r="F407">
        <f t="shared" si="322"/>
        <v>2.7524005086646131E-5</v>
      </c>
      <c r="G407">
        <f t="shared" si="323"/>
        <v>1.784663588468791E-3</v>
      </c>
      <c r="H407">
        <f t="shared" si="324"/>
        <v>-3.1398079864115314</v>
      </c>
      <c r="J407">
        <f t="shared" si="325"/>
        <v>15</v>
      </c>
      <c r="M407">
        <f t="shared" si="326"/>
        <v>1.5482942711949103E-3</v>
      </c>
      <c r="N407">
        <f t="shared" si="327"/>
        <v>-1.5707963250000001</v>
      </c>
      <c r="O407">
        <f t="shared" si="328"/>
        <v>246.78939682506712</v>
      </c>
      <c r="P407">
        <f t="shared" si="329"/>
        <v>1.5667442777628591</v>
      </c>
      <c r="Q407">
        <f t="shared" si="330"/>
        <v>208.87611341284912</v>
      </c>
      <c r="R407">
        <f t="shared" si="331"/>
        <v>1.5660087816621904</v>
      </c>
      <c r="S407">
        <f t="shared" si="332"/>
        <v>0.12595376378119938</v>
      </c>
      <c r="T407">
        <f t="shared" si="333"/>
        <v>-1.4445071337254078</v>
      </c>
      <c r="U407">
        <f t="shared" si="334"/>
        <v>0.16064434829590105</v>
      </c>
      <c r="V407">
        <f t="shared" si="335"/>
        <v>-1.4094528814958454</v>
      </c>
      <c r="X407">
        <f t="shared" si="352"/>
        <v>-45.388137296231463</v>
      </c>
      <c r="Y407">
        <f t="shared" si="336"/>
        <v>-171.04599504675099</v>
      </c>
      <c r="Z407">
        <f t="shared" si="353"/>
        <v>8.9540049532490116</v>
      </c>
      <c r="AC407">
        <v>1</v>
      </c>
      <c r="AD407">
        <f t="shared" si="337"/>
        <v>246.78737079777898</v>
      </c>
      <c r="AE407">
        <f t="shared" si="338"/>
        <v>-0.17956072837289705</v>
      </c>
      <c r="AF407">
        <f t="shared" si="339"/>
        <v>2.9224979785890001E-2</v>
      </c>
      <c r="AG407">
        <f t="shared" si="315"/>
        <v>212.4958405569833</v>
      </c>
      <c r="AH407">
        <f t="shared" si="316"/>
        <v>-1339.8095804852408</v>
      </c>
      <c r="AJ407">
        <f t="shared" si="340"/>
        <v>22100</v>
      </c>
      <c r="AK407">
        <f t="shared" si="341"/>
        <v>174063.85833928458</v>
      </c>
      <c r="AL407">
        <v>1</v>
      </c>
      <c r="AM407">
        <f t="shared" si="342"/>
        <v>208.87371963571053</v>
      </c>
      <c r="AN407">
        <f t="shared" si="317"/>
        <v>833.83238522382214</v>
      </c>
      <c r="AO407">
        <f t="shared" si="318"/>
        <v>-101.81351513184985</v>
      </c>
      <c r="AQ407">
        <f t="shared" si="343"/>
        <v>2.6846351084230157E-3</v>
      </c>
      <c r="AR407">
        <f t="shared" si="344"/>
        <v>-5.1813457592564207</v>
      </c>
      <c r="AT407">
        <f t="shared" si="365"/>
        <v>-6941.4462142643733</v>
      </c>
      <c r="AU407">
        <f t="shared" si="366"/>
        <v>-1104.6113221679261</v>
      </c>
      <c r="AV407">
        <f t="shared" si="354"/>
        <v>-2.98378312265412</v>
      </c>
      <c r="AW407">
        <f t="shared" si="355"/>
        <v>530.95277957239728</v>
      </c>
      <c r="AX407">
        <f t="shared" si="356"/>
        <v>-6039.2437222725239</v>
      </c>
      <c r="AY407">
        <f t="shared" si="364"/>
        <v>-1.4831047004312974</v>
      </c>
      <c r="BA407">
        <f t="shared" si="345"/>
        <v>1.1593800855224181</v>
      </c>
      <c r="BB407">
        <f t="shared" si="357"/>
        <v>1.2845167259046064</v>
      </c>
      <c r="BC407">
        <f t="shared" si="358"/>
        <v>-1.5006784222228227</v>
      </c>
      <c r="BD407">
        <f t="shared" si="346"/>
        <v>-265.98254009796847</v>
      </c>
      <c r="BF407">
        <f t="shared" si="347"/>
        <v>-48.266528211802601</v>
      </c>
      <c r="BG407">
        <f t="shared" si="348"/>
        <v>-183.00219995345381</v>
      </c>
      <c r="BH407">
        <f t="shared" si="359"/>
        <v>-3.0021999534538111</v>
      </c>
      <c r="BI407">
        <f t="shared" si="360"/>
        <v>-3.0021999534538111</v>
      </c>
      <c r="BJ407">
        <f t="shared" si="349"/>
        <v>0</v>
      </c>
      <c r="BK407">
        <f t="shared" si="361"/>
        <v>0</v>
      </c>
      <c r="BM407">
        <f t="shared" si="362"/>
        <v>-49.551044937707204</v>
      </c>
      <c r="BN407">
        <f t="shared" si="350"/>
        <v>-97.01965985548533</v>
      </c>
      <c r="BQ407" s="56">
        <f t="shared" si="363"/>
        <v>18.186477526189744</v>
      </c>
      <c r="BR407" s="59"/>
      <c r="BS407" s="59"/>
      <c r="BT407" s="59">
        <v>933254.30099999998</v>
      </c>
      <c r="BU407" s="59">
        <v>6.2453099999999999</v>
      </c>
      <c r="BV407" s="59">
        <v>100.20399999999999</v>
      </c>
      <c r="BY407" s="59"/>
      <c r="BZ407" s="59"/>
      <c r="CA407" s="59"/>
      <c r="CC407" s="59"/>
    </row>
    <row r="408" spans="1:81" x14ac:dyDescent="0.25">
      <c r="A408">
        <f t="shared" si="319"/>
        <v>970000</v>
      </c>
      <c r="B408">
        <f t="shared" si="351"/>
        <v>970</v>
      </c>
      <c r="C408">
        <f t="shared" si="320"/>
        <v>8.106902705179202</v>
      </c>
      <c r="D408">
        <f t="shared" si="321"/>
        <v>1.447129681445799</v>
      </c>
      <c r="F408">
        <f t="shared" si="322"/>
        <v>2.7240976469059612E-5</v>
      </c>
      <c r="G408">
        <f t="shared" si="323"/>
        <v>1.7754638055537764E-3</v>
      </c>
      <c r="H408">
        <f t="shared" si="324"/>
        <v>-3.1398171861944464</v>
      </c>
      <c r="J408">
        <f t="shared" si="325"/>
        <v>15</v>
      </c>
      <c r="M408">
        <f t="shared" si="326"/>
        <v>1.5403133728897817E-3</v>
      </c>
      <c r="N408">
        <f t="shared" si="327"/>
        <v>-1.5707963250000001</v>
      </c>
      <c r="O408">
        <f t="shared" si="328"/>
        <v>248.06807742211558</v>
      </c>
      <c r="P408">
        <f t="shared" si="329"/>
        <v>1.5667651643866762</v>
      </c>
      <c r="Q408">
        <f t="shared" si="330"/>
        <v>209.9583483259305</v>
      </c>
      <c r="R408">
        <f t="shared" si="331"/>
        <v>1.5660334593557066</v>
      </c>
      <c r="S408">
        <f t="shared" si="332"/>
        <v>0.12531473919483585</v>
      </c>
      <c r="T408">
        <f t="shared" si="333"/>
        <v>-1.4451512619915334</v>
      </c>
      <c r="U408">
        <f t="shared" si="334"/>
        <v>0.15983749343460521</v>
      </c>
      <c r="V408">
        <f t="shared" si="335"/>
        <v>-1.410270299105898</v>
      </c>
      <c r="X408">
        <f t="shared" si="352"/>
        <v>-45.47674359350539</v>
      </c>
      <c r="Y408">
        <f t="shared" si="336"/>
        <v>-171.09131512599674</v>
      </c>
      <c r="Z408">
        <f t="shared" si="353"/>
        <v>8.9086848740032565</v>
      </c>
      <c r="AC408">
        <v>1</v>
      </c>
      <c r="AD408">
        <f t="shared" si="337"/>
        <v>248.06606183818201</v>
      </c>
      <c r="AE408">
        <f t="shared" si="338"/>
        <v>-0.18142628186105272</v>
      </c>
      <c r="AF408">
        <f t="shared" si="339"/>
        <v>2.9376404551620001E-2</v>
      </c>
      <c r="AG408">
        <f t="shared" si="315"/>
        <v>210.36663113591479</v>
      </c>
      <c r="AH408">
        <f t="shared" si="316"/>
        <v>-1333.2481054923626</v>
      </c>
      <c r="AJ408">
        <f t="shared" si="340"/>
        <v>22100</v>
      </c>
      <c r="AK408">
        <f t="shared" si="341"/>
        <v>174965.74361565392</v>
      </c>
      <c r="AL408">
        <v>1</v>
      </c>
      <c r="AM408">
        <f t="shared" si="342"/>
        <v>209.95596688770902</v>
      </c>
      <c r="AN408">
        <f t="shared" si="317"/>
        <v>833.82737312893573</v>
      </c>
      <c r="AO408">
        <f t="shared" si="318"/>
        <v>-101.28872707030457</v>
      </c>
      <c r="AQ408">
        <f t="shared" si="343"/>
        <v>2.6570297967292494E-3</v>
      </c>
      <c r="AR408">
        <f t="shared" si="344"/>
        <v>-5.1546378056547439</v>
      </c>
      <c r="AT408">
        <f t="shared" si="365"/>
        <v>-6871.8521384813303</v>
      </c>
      <c r="AU408">
        <f t="shared" si="366"/>
        <v>-1087.9062698441387</v>
      </c>
      <c r="AV408">
        <f t="shared" si="354"/>
        <v>-2.9845823244371426</v>
      </c>
      <c r="AW408">
        <f t="shared" si="355"/>
        <v>534.12043914413596</v>
      </c>
      <c r="AX408">
        <f t="shared" si="356"/>
        <v>-6008.4456045071274</v>
      </c>
      <c r="AY408">
        <f t="shared" si="364"/>
        <v>-1.4821344366921649</v>
      </c>
      <c r="BA408">
        <f t="shared" si="345"/>
        <v>1.1533941884665846</v>
      </c>
      <c r="BB408">
        <f t="shared" si="357"/>
        <v>1.2395551765720938</v>
      </c>
      <c r="BC408">
        <f t="shared" si="358"/>
        <v>-1.5024478877449776</v>
      </c>
      <c r="BD408">
        <f t="shared" si="346"/>
        <v>-266.08392300449771</v>
      </c>
      <c r="BF408">
        <f t="shared" si="347"/>
        <v>-48.357067003570016</v>
      </c>
      <c r="BG408">
        <f t="shared" si="348"/>
        <v>-183.0677731719459</v>
      </c>
      <c r="BH408">
        <f t="shared" si="359"/>
        <v>-3.0677731719459018</v>
      </c>
      <c r="BI408">
        <f t="shared" si="360"/>
        <v>-3.0677731719459018</v>
      </c>
      <c r="BJ408">
        <f t="shared" si="349"/>
        <v>0</v>
      </c>
      <c r="BK408">
        <f t="shared" si="361"/>
        <v>0</v>
      </c>
      <c r="BM408">
        <f t="shared" si="362"/>
        <v>-49.596622180142106</v>
      </c>
      <c r="BN408">
        <f t="shared" si="350"/>
        <v>-96.983850167448182</v>
      </c>
      <c r="BQ408" s="56">
        <f t="shared" si="363"/>
        <v>18.141515976857228</v>
      </c>
      <c r="BR408" s="59"/>
      <c r="BS408" s="59"/>
      <c r="BT408" s="59">
        <v>954992.58600000001</v>
      </c>
      <c r="BU408" s="59">
        <v>6.1328699999999996</v>
      </c>
      <c r="BV408" s="59">
        <v>99.956599999999995</v>
      </c>
      <c r="BY408" s="59"/>
      <c r="BZ408" s="59"/>
      <c r="CA408" s="59"/>
      <c r="CC408" s="59"/>
    </row>
    <row r="409" spans="1:81" x14ac:dyDescent="0.25">
      <c r="A409">
        <f t="shared" si="319"/>
        <v>975000</v>
      </c>
      <c r="B409">
        <f t="shared" si="351"/>
        <v>975</v>
      </c>
      <c r="C409">
        <f t="shared" si="320"/>
        <v>8.1480566357550614</v>
      </c>
      <c r="D409">
        <f t="shared" si="321"/>
        <v>1.4477574720795592</v>
      </c>
      <c r="F409">
        <f t="shared" si="322"/>
        <v>2.696229111184467E-5</v>
      </c>
      <c r="G409">
        <f t="shared" si="323"/>
        <v>1.766358386807373E-3</v>
      </c>
      <c r="H409">
        <f t="shared" si="324"/>
        <v>-3.1398262916131929</v>
      </c>
      <c r="J409">
        <f t="shared" si="325"/>
        <v>15</v>
      </c>
      <c r="M409">
        <f t="shared" si="326"/>
        <v>1.5324143299518854E-3</v>
      </c>
      <c r="N409">
        <f t="shared" si="327"/>
        <v>-1.5707963250000001</v>
      </c>
      <c r="O409">
        <f t="shared" si="328"/>
        <v>249.34675812627407</v>
      </c>
      <c r="P409">
        <f t="shared" si="329"/>
        <v>1.5667858367921741</v>
      </c>
      <c r="Q409">
        <f t="shared" si="330"/>
        <v>211.04058336556278</v>
      </c>
      <c r="R409">
        <f t="shared" si="331"/>
        <v>1.566057883950386</v>
      </c>
      <c r="S409">
        <f t="shared" si="332"/>
        <v>0.12468211509109441</v>
      </c>
      <c r="T409">
        <f t="shared" si="333"/>
        <v>-1.4457888870381213</v>
      </c>
      <c r="U409">
        <f t="shared" si="334"/>
        <v>0.15903859843522039</v>
      </c>
      <c r="V409">
        <f t="shared" si="335"/>
        <v>-1.4110795460674632</v>
      </c>
      <c r="X409">
        <f t="shared" si="352"/>
        <v>-45.564905967374905</v>
      </c>
      <c r="Y409">
        <f t="shared" si="336"/>
        <v>-171.13618286616452</v>
      </c>
      <c r="Z409">
        <f t="shared" si="353"/>
        <v>8.8638171338354823</v>
      </c>
      <c r="AC409">
        <v>1</v>
      </c>
      <c r="AD409">
        <f t="shared" si="337"/>
        <v>249.34475287858501</v>
      </c>
      <c r="AE409">
        <f t="shared" si="338"/>
        <v>-0.18330147645250638</v>
      </c>
      <c r="AF409">
        <f t="shared" si="339"/>
        <v>2.9527829317349999E-2</v>
      </c>
      <c r="AG409">
        <f t="shared" si="315"/>
        <v>208.26898999198954</v>
      </c>
      <c r="AH409">
        <f t="shared" si="316"/>
        <v>-1326.7488423805291</v>
      </c>
      <c r="AJ409">
        <f t="shared" si="340"/>
        <v>22100</v>
      </c>
      <c r="AK409">
        <f t="shared" si="341"/>
        <v>175867.62889202329</v>
      </c>
      <c r="AL409">
        <v>1</v>
      </c>
      <c r="AM409">
        <f t="shared" si="342"/>
        <v>211.03821413970752</v>
      </c>
      <c r="AN409">
        <f t="shared" si="317"/>
        <v>833.82243794300689</v>
      </c>
      <c r="AO409">
        <f t="shared" si="318"/>
        <v>-100.76932108598473</v>
      </c>
      <c r="AQ409">
        <f t="shared" si="343"/>
        <v>2.6298480920846569E-3</v>
      </c>
      <c r="AR409">
        <f t="shared" si="344"/>
        <v>-5.128203779565081</v>
      </c>
      <c r="AT409">
        <f t="shared" si="365"/>
        <v>-6803.2907122234546</v>
      </c>
      <c r="AU409">
        <f t="shared" si="366"/>
        <v>-1071.5349695549328</v>
      </c>
      <c r="AV409">
        <f t="shared" si="354"/>
        <v>-2.9853735423972165</v>
      </c>
      <c r="AW409">
        <f t="shared" si="355"/>
        <v>537.23833789196942</v>
      </c>
      <c r="AX409">
        <f t="shared" si="356"/>
        <v>-5977.9584824637859</v>
      </c>
      <c r="AY409">
        <f t="shared" si="364"/>
        <v>-1.4811672408088579</v>
      </c>
      <c r="BA409">
        <f t="shared" si="345"/>
        <v>1.1474675579787941</v>
      </c>
      <c r="BB409">
        <f t="shared" si="357"/>
        <v>1.1948083139905556</v>
      </c>
      <c r="BC409">
        <f t="shared" si="358"/>
        <v>-1.5042063015883587</v>
      </c>
      <c r="BD409">
        <f t="shared" si="346"/>
        <v>-266.18467269647596</v>
      </c>
      <c r="BF409">
        <f t="shared" si="347"/>
        <v>-48.447149854732857</v>
      </c>
      <c r="BG409">
        <f t="shared" si="348"/>
        <v>-183.13307481221619</v>
      </c>
      <c r="BH409">
        <f t="shared" si="359"/>
        <v>-3.1330748122161935</v>
      </c>
      <c r="BI409">
        <f t="shared" si="360"/>
        <v>-3.1330748122161935</v>
      </c>
      <c r="BJ409">
        <f t="shared" si="349"/>
        <v>0</v>
      </c>
      <c r="BK409">
        <f t="shared" si="361"/>
        <v>0</v>
      </c>
      <c r="BM409">
        <f t="shared" si="362"/>
        <v>-49.641958168723413</v>
      </c>
      <c r="BN409">
        <f t="shared" si="350"/>
        <v>-96.948402115740251</v>
      </c>
      <c r="BQ409" s="56">
        <f t="shared" si="363"/>
        <v>18.096769114275691</v>
      </c>
      <c r="BR409" s="59"/>
      <c r="BS409" s="59"/>
      <c r="BT409" s="59">
        <v>977237.22100000002</v>
      </c>
      <c r="BU409" s="59">
        <v>5.7547600000000001</v>
      </c>
      <c r="BV409" s="59">
        <v>98.699600000000004</v>
      </c>
      <c r="BY409" s="59"/>
      <c r="BZ409" s="59"/>
      <c r="CA409" s="59"/>
      <c r="CC409" s="59"/>
    </row>
    <row r="410" spans="1:81" x14ac:dyDescent="0.25">
      <c r="A410">
        <f t="shared" si="319"/>
        <v>980000</v>
      </c>
      <c r="B410">
        <f t="shared" si="351"/>
        <v>980</v>
      </c>
      <c r="C410">
        <f t="shared" si="320"/>
        <v>8.1892137453748379</v>
      </c>
      <c r="D410">
        <f t="shared" si="321"/>
        <v>1.4483789526927993</v>
      </c>
      <c r="F410">
        <f t="shared" si="322"/>
        <v>2.6687860599792974E-5</v>
      </c>
      <c r="G410">
        <f t="shared" si="323"/>
        <v>1.7573458877297686E-3</v>
      </c>
      <c r="H410">
        <f t="shared" si="324"/>
        <v>-3.1398353041122706</v>
      </c>
      <c r="J410">
        <f t="shared" si="325"/>
        <v>15</v>
      </c>
      <c r="M410">
        <f t="shared" si="326"/>
        <v>1.5245958894929473E-3</v>
      </c>
      <c r="N410">
        <f t="shared" si="327"/>
        <v>-1.5707963250000001</v>
      </c>
      <c r="O410">
        <f t="shared" si="328"/>
        <v>250.62543893590313</v>
      </c>
      <c r="P410">
        <f t="shared" si="329"/>
        <v>1.5668062982581341</v>
      </c>
      <c r="Q410">
        <f t="shared" si="330"/>
        <v>212.12281852980894</v>
      </c>
      <c r="R410">
        <f t="shared" si="331"/>
        <v>1.566082059320075</v>
      </c>
      <c r="S410">
        <f t="shared" si="332"/>
        <v>0.12405579655429848</v>
      </c>
      <c r="T410">
        <f t="shared" si="333"/>
        <v>-1.4464201063460698</v>
      </c>
      <c r="U410">
        <f t="shared" si="334"/>
        <v>0.15824754765307272</v>
      </c>
      <c r="V410">
        <f t="shared" si="335"/>
        <v>-1.4118807432339409</v>
      </c>
      <c r="X410">
        <f t="shared" si="352"/>
        <v>-45.652628788072256</v>
      </c>
      <c r="Y410">
        <f t="shared" si="336"/>
        <v>-171.18060494438359</v>
      </c>
      <c r="Z410">
        <f t="shared" si="353"/>
        <v>8.8193950556164111</v>
      </c>
      <c r="AC410">
        <v>1</v>
      </c>
      <c r="AD410">
        <f t="shared" si="337"/>
        <v>250.62344391898802</v>
      </c>
      <c r="AE410">
        <f t="shared" si="338"/>
        <v>-0.185186312147258</v>
      </c>
      <c r="AF410">
        <f t="shared" si="339"/>
        <v>2.967925408308E-2</v>
      </c>
      <c r="AG410">
        <f t="shared" si="315"/>
        <v>206.20230157573297</v>
      </c>
      <c r="AH410">
        <f t="shared" si="316"/>
        <v>-1320.310937579337</v>
      </c>
      <c r="AJ410">
        <f t="shared" si="340"/>
        <v>22100</v>
      </c>
      <c r="AK410">
        <f t="shared" si="341"/>
        <v>176769.51416839263</v>
      </c>
      <c r="AL410">
        <v>1</v>
      </c>
      <c r="AM410">
        <f t="shared" si="342"/>
        <v>212.12046139170604</v>
      </c>
      <c r="AN410">
        <f t="shared" si="317"/>
        <v>833.81757810053398</v>
      </c>
      <c r="AO410">
        <f t="shared" si="318"/>
        <v>-100.25521480753756</v>
      </c>
      <c r="AQ410">
        <f t="shared" si="343"/>
        <v>2.6030813715427498E-3</v>
      </c>
      <c r="AR410">
        <f t="shared" si="344"/>
        <v>-5.1020394882237898</v>
      </c>
      <c r="AT410">
        <f t="shared" si="365"/>
        <v>-6735.7417788935518</v>
      </c>
      <c r="AU410">
        <f t="shared" si="366"/>
        <v>-1055.4891620082769</v>
      </c>
      <c r="AV410">
        <f t="shared" si="354"/>
        <v>-2.9861568945282375</v>
      </c>
      <c r="AW410">
        <f t="shared" si="355"/>
        <v>540.3075169744784</v>
      </c>
      <c r="AX410">
        <f t="shared" si="356"/>
        <v>-5947.7776903484191</v>
      </c>
      <c r="AY410">
        <f t="shared" si="364"/>
        <v>-1.4802030650195157</v>
      </c>
      <c r="BA410">
        <f t="shared" si="345"/>
        <v>1.1415993193441696</v>
      </c>
      <c r="BB410">
        <f t="shared" si="357"/>
        <v>1.1502740233448565</v>
      </c>
      <c r="BC410">
        <f t="shared" si="358"/>
        <v>-1.5059538295087218</v>
      </c>
      <c r="BD410">
        <f t="shared" si="346"/>
        <v>-266.28479867100845</v>
      </c>
      <c r="BF410">
        <f t="shared" si="347"/>
        <v>-48.53678145150343</v>
      </c>
      <c r="BG410">
        <f t="shared" si="348"/>
        <v>-183.19810894868075</v>
      </c>
      <c r="BH410">
        <f t="shared" si="359"/>
        <v>-3.1981089486807548</v>
      </c>
      <c r="BI410">
        <f t="shared" si="360"/>
        <v>-3.1981089486807548</v>
      </c>
      <c r="BJ410">
        <f t="shared" si="349"/>
        <v>0</v>
      </c>
      <c r="BK410">
        <f t="shared" si="361"/>
        <v>0</v>
      </c>
      <c r="BM410">
        <f t="shared" si="362"/>
        <v>-49.687055474848279</v>
      </c>
      <c r="BN410">
        <f t="shared" si="350"/>
        <v>-96.913310277672309</v>
      </c>
      <c r="BQ410" s="56">
        <f t="shared" si="363"/>
        <v>18.052234823629995</v>
      </c>
    </row>
    <row r="411" spans="1:81" x14ac:dyDescent="0.25">
      <c r="A411">
        <f t="shared" si="319"/>
        <v>985000</v>
      </c>
      <c r="B411">
        <f t="shared" si="351"/>
        <v>985</v>
      </c>
      <c r="C411">
        <f t="shared" si="320"/>
        <v>8.2303739863467964</v>
      </c>
      <c r="D411">
        <f t="shared" si="321"/>
        <v>1.4489942174713644</v>
      </c>
      <c r="F411">
        <f t="shared" si="322"/>
        <v>2.6417598756139811E-5</v>
      </c>
      <c r="G411">
        <f t="shared" si="323"/>
        <v>1.748424893154882E-3</v>
      </c>
      <c r="H411">
        <f t="shared" si="324"/>
        <v>-3.1398442251068452</v>
      </c>
      <c r="J411">
        <f t="shared" si="325"/>
        <v>15</v>
      </c>
      <c r="M411">
        <f t="shared" si="326"/>
        <v>1.516856824064049E-3</v>
      </c>
      <c r="N411">
        <f t="shared" si="327"/>
        <v>-1.5707963250000001</v>
      </c>
      <c r="O411">
        <f t="shared" si="328"/>
        <v>251.90411984939669</v>
      </c>
      <c r="P411">
        <f t="shared" si="329"/>
        <v>1.5668265519967657</v>
      </c>
      <c r="Q411">
        <f t="shared" si="330"/>
        <v>213.20505381677134</v>
      </c>
      <c r="R411">
        <f t="shared" si="331"/>
        <v>1.5661059892599656</v>
      </c>
      <c r="S411">
        <f t="shared" si="332"/>
        <v>0.12343569052092068</v>
      </c>
      <c r="T411">
        <f t="shared" si="333"/>
        <v>-1.4470450154678542</v>
      </c>
      <c r="U411">
        <f t="shared" si="334"/>
        <v>0.15746422764154946</v>
      </c>
      <c r="V411">
        <f t="shared" si="335"/>
        <v>-1.4126740091076555</v>
      </c>
      <c r="X411">
        <f t="shared" si="352"/>
        <v>-45.739916362420672</v>
      </c>
      <c r="Y411">
        <f t="shared" si="336"/>
        <v>-171.22458790822756</v>
      </c>
      <c r="Z411">
        <f t="shared" si="353"/>
        <v>8.7754120917724379</v>
      </c>
      <c r="AC411">
        <v>1</v>
      </c>
      <c r="AD411">
        <f t="shared" si="337"/>
        <v>251.90213495939102</v>
      </c>
      <c r="AE411">
        <f t="shared" si="338"/>
        <v>-0.18708078894530761</v>
      </c>
      <c r="AF411">
        <f t="shared" si="339"/>
        <v>2.9830678848810001E-2</v>
      </c>
      <c r="AG411">
        <f t="shared" si="315"/>
        <v>204.16596513384005</v>
      </c>
      <c r="AH411">
        <f t="shared" si="316"/>
        <v>-1313.9335524904602</v>
      </c>
      <c r="AJ411">
        <f t="shared" si="340"/>
        <v>22100</v>
      </c>
      <c r="AK411">
        <f t="shared" si="341"/>
        <v>177671.39944476198</v>
      </c>
      <c r="AL411">
        <v>1</v>
      </c>
      <c r="AM411">
        <f t="shared" si="342"/>
        <v>213.20270864370451</v>
      </c>
      <c r="AN411">
        <f t="shared" si="317"/>
        <v>833.81279207564683</v>
      </c>
      <c r="AO411">
        <f t="shared" si="318"/>
        <v>-99.746327535939145</v>
      </c>
      <c r="AQ411">
        <f t="shared" si="343"/>
        <v>2.5767212304565359E-3</v>
      </c>
      <c r="AR411">
        <f t="shared" si="344"/>
        <v>-5.0761408239993751</v>
      </c>
      <c r="AT411">
        <f t="shared" si="365"/>
        <v>-6669.185667042454</v>
      </c>
      <c r="AU411">
        <f t="shared" si="366"/>
        <v>-1039.7608309672298</v>
      </c>
      <c r="AV411">
        <f t="shared" si="354"/>
        <v>-2.9869324965310846</v>
      </c>
      <c r="AW411">
        <f t="shared" si="355"/>
        <v>543.32899037096138</v>
      </c>
      <c r="AX411">
        <f t="shared" si="356"/>
        <v>-5917.8986548588427</v>
      </c>
      <c r="AY411">
        <f t="shared" si="364"/>
        <v>-1.4792418626297259</v>
      </c>
      <c r="BA411">
        <f t="shared" si="345"/>
        <v>1.1357886148076384</v>
      </c>
      <c r="BB411">
        <f t="shared" si="357"/>
        <v>1.1059502196658346</v>
      </c>
      <c r="BC411">
        <f t="shared" si="358"/>
        <v>-1.5076906339013587</v>
      </c>
      <c r="BD411">
        <f t="shared" si="346"/>
        <v>-266.38431023266003</v>
      </c>
      <c r="BF411">
        <f t="shared" si="347"/>
        <v>-48.625966408954504</v>
      </c>
      <c r="BG411">
        <f t="shared" si="348"/>
        <v>-183.262879570536</v>
      </c>
      <c r="BH411">
        <f t="shared" si="359"/>
        <v>-3.2628795705360005</v>
      </c>
      <c r="BI411">
        <f t="shared" si="360"/>
        <v>-3.2628795705360005</v>
      </c>
      <c r="BJ411">
        <f t="shared" si="349"/>
        <v>0</v>
      </c>
      <c r="BK411">
        <f t="shared" si="361"/>
        <v>0</v>
      </c>
      <c r="BM411">
        <f t="shared" si="362"/>
        <v>-49.73191662862034</v>
      </c>
      <c r="BN411">
        <f t="shared" si="350"/>
        <v>-96.878569337875973</v>
      </c>
      <c r="BQ411" s="56">
        <f t="shared" si="363"/>
        <v>18.007911019950971</v>
      </c>
    </row>
    <row r="412" spans="1:81" x14ac:dyDescent="0.25">
      <c r="A412">
        <f t="shared" si="319"/>
        <v>990000</v>
      </c>
      <c r="B412">
        <f t="shared" si="351"/>
        <v>990</v>
      </c>
      <c r="C412">
        <f t="shared" si="320"/>
        <v>8.2715373119248987</v>
      </c>
      <c r="D412">
        <f t="shared" si="321"/>
        <v>1.4496033587452735</v>
      </c>
      <c r="F412">
        <f t="shared" si="322"/>
        <v>2.6151421574900427E-5</v>
      </c>
      <c r="G412">
        <f t="shared" si="323"/>
        <v>1.7395940165094988E-3</v>
      </c>
      <c r="H412">
        <f t="shared" si="324"/>
        <v>-3.1398530559834907</v>
      </c>
      <c r="J412">
        <f t="shared" si="325"/>
        <v>15</v>
      </c>
      <c r="M412">
        <f t="shared" si="326"/>
        <v>1.5091959310132204E-3</v>
      </c>
      <c r="N412">
        <f t="shared" si="327"/>
        <v>-1.5707963250000001</v>
      </c>
      <c r="O412">
        <f t="shared" si="328"/>
        <v>253.18280086518109</v>
      </c>
      <c r="P412">
        <f t="shared" si="329"/>
        <v>1.5668466011553865</v>
      </c>
      <c r="Q412">
        <f t="shared" si="330"/>
        <v>214.28728922459072</v>
      </c>
      <c r="R412">
        <f t="shared" si="331"/>
        <v>1.5661296774885827</v>
      </c>
      <c r="S412">
        <f t="shared" si="332"/>
        <v>0.12282170573500865</v>
      </c>
      <c r="T412">
        <f t="shared" si="333"/>
        <v>-1.4476637080747286</v>
      </c>
      <c r="U412">
        <f t="shared" si="334"/>
        <v>0.15668852710090816</v>
      </c>
      <c r="V412">
        <f t="shared" si="335"/>
        <v>-1.4134594598962433</v>
      </c>
      <c r="X412">
        <f t="shared" si="352"/>
        <v>-45.826772935039592</v>
      </c>
      <c r="Y412">
        <f t="shared" si="336"/>
        <v>-171.2681381788118</v>
      </c>
      <c r="Z412">
        <f t="shared" si="353"/>
        <v>8.731861821188204</v>
      </c>
      <c r="AC412">
        <v>1</v>
      </c>
      <c r="AD412">
        <f t="shared" si="337"/>
        <v>253.180825999794</v>
      </c>
      <c r="AE412">
        <f t="shared" si="338"/>
        <v>-0.18898490684665514</v>
      </c>
      <c r="AF412">
        <f t="shared" si="339"/>
        <v>2.9982103614539998E-2</v>
      </c>
      <c r="AG412">
        <f t="shared" si="315"/>
        <v>202.15939428839621</v>
      </c>
      <c r="AH412">
        <f t="shared" si="316"/>
        <v>-1307.6158631763267</v>
      </c>
      <c r="AJ412">
        <f t="shared" si="340"/>
        <v>22100</v>
      </c>
      <c r="AK412">
        <f t="shared" si="341"/>
        <v>178573.28472113132</v>
      </c>
      <c r="AL412">
        <v>1</v>
      </c>
      <c r="AM412">
        <f t="shared" si="342"/>
        <v>214.28495589570304</v>
      </c>
      <c r="AN412">
        <f t="shared" si="317"/>
        <v>833.8080783809072</v>
      </c>
      <c r="AO412">
        <f t="shared" si="318"/>
        <v>-99.242580202269508</v>
      </c>
      <c r="AQ412">
        <f t="shared" si="343"/>
        <v>2.5507594758801457E-3</v>
      </c>
      <c r="AR412">
        <f t="shared" si="344"/>
        <v>-5.0505037622426894</v>
      </c>
      <c r="AT412">
        <f t="shared" si="365"/>
        <v>-6603.60317654964</v>
      </c>
      <c r="AU412">
        <f t="shared" si="366"/>
        <v>-1024.3421949800565</v>
      </c>
      <c r="AV412">
        <f t="shared" si="354"/>
        <v>-2.9877004618685414</v>
      </c>
      <c r="AW412">
        <f t="shared" si="355"/>
        <v>546.3037457305536</v>
      </c>
      <c r="AX412">
        <f t="shared" si="356"/>
        <v>-5888.3168929122357</v>
      </c>
      <c r="AY412">
        <f t="shared" si="364"/>
        <v>-1.4782835879831255</v>
      </c>
      <c r="BA412">
        <f t="shared" si="345"/>
        <v>1.1300346031697459</v>
      </c>
      <c r="BB412">
        <f t="shared" si="357"/>
        <v>1.0618348472893939</v>
      </c>
      <c r="BC412">
        <f t="shared" si="358"/>
        <v>-1.5094168738854159</v>
      </c>
      <c r="BD412">
        <f t="shared" si="346"/>
        <v>-266.48321649828625</v>
      </c>
      <c r="BF412">
        <f t="shared" si="347"/>
        <v>-48.714709272446221</v>
      </c>
      <c r="BG412">
        <f t="shared" si="348"/>
        <v>-183.32739058396191</v>
      </c>
      <c r="BH412">
        <f t="shared" si="359"/>
        <v>-3.3273905839619147</v>
      </c>
      <c r="BI412">
        <f t="shared" si="360"/>
        <v>-3.3273905839619147</v>
      </c>
      <c r="BJ412">
        <f t="shared" si="349"/>
        <v>0</v>
      </c>
      <c r="BK412">
        <f t="shared" si="361"/>
        <v>0</v>
      </c>
      <c r="BM412">
        <f t="shared" si="362"/>
        <v>-49.776544119735611</v>
      </c>
      <c r="BN412">
        <f t="shared" si="350"/>
        <v>-96.844174085675647</v>
      </c>
      <c r="BQ412" s="56">
        <f t="shared" si="363"/>
        <v>17.963795647574532</v>
      </c>
    </row>
    <row r="413" spans="1:81" x14ac:dyDescent="0.25">
      <c r="A413">
        <f t="shared" si="319"/>
        <v>995000</v>
      </c>
      <c r="B413">
        <f t="shared" si="351"/>
        <v>995</v>
      </c>
      <c r="C413">
        <f t="shared" si="320"/>
        <v>8.3127036762855546</v>
      </c>
      <c r="D413">
        <f t="shared" si="321"/>
        <v>1.4502064670339743</v>
      </c>
      <c r="F413">
        <f t="shared" si="322"/>
        <v>2.5889247155580526E-5</v>
      </c>
      <c r="G413">
        <f t="shared" si="323"/>
        <v>1.7308518990947473E-3</v>
      </c>
      <c r="H413">
        <f t="shared" si="324"/>
        <v>-3.1398617981009056</v>
      </c>
      <c r="J413">
        <f t="shared" si="325"/>
        <v>15</v>
      </c>
      <c r="M413">
        <f t="shared" si="326"/>
        <v>1.5016120318624003E-3</v>
      </c>
      <c r="N413">
        <f t="shared" si="327"/>
        <v>-1.5707963250000001</v>
      </c>
      <c r="O413">
        <f t="shared" si="328"/>
        <v>254.46148198171426</v>
      </c>
      <c r="P413">
        <f t="shared" si="329"/>
        <v>1.5668664488180535</v>
      </c>
      <c r="Q413">
        <f t="shared" si="330"/>
        <v>215.36952475144514</v>
      </c>
      <c r="R413">
        <f t="shared" si="331"/>
        <v>1.5661531276497087</v>
      </c>
      <c r="S413">
        <f t="shared" si="332"/>
        <v>0.12221375270488052</v>
      </c>
      <c r="T413">
        <f t="shared" si="333"/>
        <v>-1.4482762760025518</v>
      </c>
      <c r="U413">
        <f t="shared" si="334"/>
        <v>0.15592033682848555</v>
      </c>
      <c r="V413">
        <f t="shared" si="335"/>
        <v>-1.4142372095674378</v>
      </c>
      <c r="X413">
        <f t="shared" si="352"/>
        <v>-45.913202689521825</v>
      </c>
      <c r="Y413">
        <f t="shared" si="336"/>
        <v>-171.31126205380207</v>
      </c>
      <c r="Z413">
        <f t="shared" si="353"/>
        <v>8.6887379461979322</v>
      </c>
      <c r="AC413">
        <v>1</v>
      </c>
      <c r="AD413">
        <f t="shared" si="337"/>
        <v>254.459517040197</v>
      </c>
      <c r="AE413">
        <f t="shared" si="338"/>
        <v>-0.19089866585130064</v>
      </c>
      <c r="AF413">
        <f t="shared" si="339"/>
        <v>3.0133528380269999E-2</v>
      </c>
      <c r="AG413">
        <f t="shared" si="315"/>
        <v>200.18201662985524</v>
      </c>
      <c r="AH413">
        <f t="shared" si="316"/>
        <v>-1301.3570600560013</v>
      </c>
      <c r="AJ413">
        <f t="shared" si="340"/>
        <v>22100</v>
      </c>
      <c r="AK413">
        <f t="shared" si="341"/>
        <v>179475.16999750066</v>
      </c>
      <c r="AL413">
        <v>1</v>
      </c>
      <c r="AM413">
        <f t="shared" si="342"/>
        <v>215.36720314770153</v>
      </c>
      <c r="AN413">
        <f t="shared" si="317"/>
        <v>833.80343556615435</v>
      </c>
      <c r="AO413">
        <f t="shared" si="318"/>
        <v>-98.743895326760693</v>
      </c>
      <c r="AQ413">
        <f t="shared" si="343"/>
        <v>2.5251881202019849E-3</v>
      </c>
      <c r="AR413">
        <f t="shared" si="344"/>
        <v>-5.0251243592019499</v>
      </c>
      <c r="AT413">
        <f t="shared" si="365"/>
        <v>-6538.9755652565746</v>
      </c>
      <c r="AU413">
        <f t="shared" si="366"/>
        <v>-1009.2256994290498</v>
      </c>
      <c r="AV413">
        <f t="shared" si="354"/>
        <v>-2.9884609018186614</v>
      </c>
      <c r="AW413">
        <f t="shared" si="355"/>
        <v>549.23274519050733</v>
      </c>
      <c r="AX413">
        <f t="shared" si="356"/>
        <v>-5859.0280094390891</v>
      </c>
      <c r="AY413">
        <f t="shared" si="364"/>
        <v>-1.4773281964329708</v>
      </c>
      <c r="BA413">
        <f t="shared" si="345"/>
        <v>1.1243364593938079</v>
      </c>
      <c r="BB413">
        <f t="shared" si="357"/>
        <v>1.0179258793272199</v>
      </c>
      <c r="BC413">
        <f t="shared" si="358"/>
        <v>-1.5111327053856907</v>
      </c>
      <c r="BD413">
        <f t="shared" si="346"/>
        <v>-266.58152640171994</v>
      </c>
      <c r="BF413">
        <f t="shared" si="347"/>
        <v>-48.803014519017566</v>
      </c>
      <c r="BG413">
        <f t="shared" si="348"/>
        <v>-183.39164581425663</v>
      </c>
      <c r="BH413">
        <f t="shared" si="359"/>
        <v>-3.3916458142566341</v>
      </c>
      <c r="BI413">
        <f t="shared" si="360"/>
        <v>-3.3916458142566341</v>
      </c>
      <c r="BJ413">
        <f t="shared" si="349"/>
        <v>0</v>
      </c>
      <c r="BK413">
        <f t="shared" si="361"/>
        <v>0</v>
      </c>
      <c r="BM413">
        <f t="shared" si="362"/>
        <v>-49.820940398344781</v>
      </c>
      <c r="BN413">
        <f t="shared" si="350"/>
        <v>-96.810119412536707</v>
      </c>
      <c r="BQ413" s="56">
        <f t="shared" si="363"/>
        <v>17.919886679612354</v>
      </c>
    </row>
    <row r="414" spans="1:81" x14ac:dyDescent="0.25">
      <c r="A414">
        <f t="shared" si="319"/>
        <v>1000000</v>
      </c>
      <c r="B414">
        <f t="shared" si="351"/>
        <v>1000</v>
      </c>
      <c r="C414">
        <f t="shared" si="320"/>
        <v>8.3538730345050585</v>
      </c>
      <c r="D414">
        <f t="shared" si="321"/>
        <v>1.4508036310902848</v>
      </c>
      <c r="F414">
        <f t="shared" si="322"/>
        <v>2.5630995640166473E-5</v>
      </c>
      <c r="G414">
        <f t="shared" si="323"/>
        <v>1.7221972093891364E-3</v>
      </c>
      <c r="H414">
        <f t="shared" si="324"/>
        <v>-3.1398704527906109</v>
      </c>
      <c r="J414">
        <f t="shared" si="325"/>
        <v>15</v>
      </c>
      <c r="M414">
        <f t="shared" si="326"/>
        <v>1.4941039717030883E-3</v>
      </c>
      <c r="N414">
        <f t="shared" si="327"/>
        <v>-1.5707963250000001</v>
      </c>
      <c r="O414">
        <f t="shared" si="328"/>
        <v>255.74016319748497</v>
      </c>
      <c r="P414">
        <f t="shared" si="329"/>
        <v>1.5668860980071437</v>
      </c>
      <c r="Q414">
        <f t="shared" si="330"/>
        <v>216.45176039554912</v>
      </c>
      <c r="R414">
        <f t="shared" si="331"/>
        <v>1.5661763433142541</v>
      </c>
      <c r="S414">
        <f t="shared" si="332"/>
        <v>0.12161174366104822</v>
      </c>
      <c r="T414">
        <f t="shared" si="333"/>
        <v>-1.4488828092962909</v>
      </c>
      <c r="U414">
        <f t="shared" si="334"/>
        <v>0.15515954967026355</v>
      </c>
      <c r="V414">
        <f t="shared" si="335"/>
        <v>-1.4150073699023087</v>
      </c>
      <c r="X414">
        <f t="shared" si="352"/>
        <v>-45.999209749583244</v>
      </c>
      <c r="Y414">
        <f t="shared" si="336"/>
        <v>-171.35396571033962</v>
      </c>
      <c r="Z414">
        <f t="shared" si="353"/>
        <v>8.6460342896603777</v>
      </c>
      <c r="AC414">
        <v>1</v>
      </c>
      <c r="AD414">
        <f t="shared" si="337"/>
        <v>255.7382080806</v>
      </c>
      <c r="AE414">
        <f t="shared" si="338"/>
        <v>-0.19282206595924412</v>
      </c>
      <c r="AF414">
        <f t="shared" si="339"/>
        <v>3.0284953146E-2</v>
      </c>
      <c r="AG414">
        <f t="shared" si="315"/>
        <v>198.23327332326983</v>
      </c>
      <c r="AH414">
        <f t="shared" si="316"/>
        <v>-1295.1563476081199</v>
      </c>
      <c r="AJ414">
        <f t="shared" si="340"/>
        <v>22100</v>
      </c>
      <c r="AK414">
        <f t="shared" si="341"/>
        <v>180377.05527387004</v>
      </c>
      <c r="AL414">
        <v>1</v>
      </c>
      <c r="AM414">
        <f t="shared" si="342"/>
        <v>216.44945039970005</v>
      </c>
      <c r="AN414">
        <f t="shared" si="317"/>
        <v>833.79886221738923</v>
      </c>
      <c r="AO414">
        <f t="shared" si="318"/>
        <v>-98.250196979072939</v>
      </c>
      <c r="AQ414">
        <f t="shared" si="343"/>
        <v>2.4999993750001561E-3</v>
      </c>
      <c r="AR414">
        <f t="shared" si="344"/>
        <v>-4.9999987500003122</v>
      </c>
      <c r="AT414">
        <f t="shared" si="365"/>
        <v>-6475.2845360361562</v>
      </c>
      <c r="AU414">
        <f t="shared" si="366"/>
        <v>-994.40400888436716</v>
      </c>
      <c r="AV414">
        <f t="shared" si="354"/>
        <v>-2.9892139255266246</v>
      </c>
      <c r="AW414">
        <f t="shared" si="355"/>
        <v>552.11692616490222</v>
      </c>
      <c r="AX414">
        <f t="shared" si="356"/>
        <v>-5830.027695241406</v>
      </c>
      <c r="AY414">
        <f t="shared" si="364"/>
        <v>-1.4763756443146323</v>
      </c>
      <c r="BA414">
        <f t="shared" si="345"/>
        <v>1.1186933742240541</v>
      </c>
      <c r="BB414">
        <f t="shared" si="357"/>
        <v>0.97422131714896976</v>
      </c>
      <c r="BC414">
        <f t="shared" si="358"/>
        <v>-1.5128382812119923</v>
      </c>
      <c r="BD414">
        <f t="shared" si="346"/>
        <v>-266.67924869831825</v>
      </c>
      <c r="BF414">
        <f t="shared" si="347"/>
        <v>-48.890886558743354</v>
      </c>
      <c r="BG414">
        <f t="shared" si="348"/>
        <v>-183.455649007906</v>
      </c>
      <c r="BH414">
        <f t="shared" si="359"/>
        <v>-3.455649007906004</v>
      </c>
      <c r="BI414">
        <f t="shared" si="360"/>
        <v>-3.455649007906004</v>
      </c>
      <c r="BJ414">
        <f t="shared" si="349"/>
        <v>0</v>
      </c>
      <c r="BK414">
        <f t="shared" si="361"/>
        <v>0</v>
      </c>
      <c r="BM414">
        <f t="shared" si="362"/>
        <v>-49.865107875892321</v>
      </c>
      <c r="BN414">
        <f t="shared" si="350"/>
        <v>-96.776400309587785</v>
      </c>
      <c r="BQ414" s="56">
        <f t="shared" si="363"/>
        <v>17.876182117434109</v>
      </c>
    </row>
    <row r="415" spans="1:81" x14ac:dyDescent="0.25">
      <c r="A415">
        <f t="shared" si="319"/>
        <v>1005000</v>
      </c>
      <c r="B415">
        <f t="shared" si="351"/>
        <v>1005</v>
      </c>
      <c r="C415">
        <f t="shared" si="320"/>
        <v>8.395045342537701</v>
      </c>
      <c r="D415">
        <f t="shared" si="321"/>
        <v>1.4513949379430691</v>
      </c>
      <c r="F415">
        <f t="shared" si="322"/>
        <v>2.5376589152304395E-5</v>
      </c>
      <c r="G415">
        <f t="shared" si="323"/>
        <v>1.7136286423723992E-3</v>
      </c>
      <c r="H415">
        <f t="shared" si="324"/>
        <v>-3.1398790213576278</v>
      </c>
      <c r="J415">
        <f t="shared" si="325"/>
        <v>15</v>
      </c>
      <c r="M415">
        <f t="shared" si="326"/>
        <v>1.486670618610038E-3</v>
      </c>
      <c r="N415">
        <f t="shared" si="327"/>
        <v>-1.5707963250000001</v>
      </c>
      <c r="O415">
        <f t="shared" si="328"/>
        <v>257.01884451101205</v>
      </c>
      <c r="P415">
        <f t="shared" si="329"/>
        <v>1.5669055516848893</v>
      </c>
      <c r="Q415">
        <f t="shared" si="330"/>
        <v>217.53399615515272</v>
      </c>
      <c r="R415">
        <f t="shared" si="331"/>
        <v>1.5661993279820683</v>
      </c>
      <c r="S415">
        <f t="shared" si="332"/>
        <v>0.1210155925153286</v>
      </c>
      <c r="T415">
        <f t="shared" si="333"/>
        <v>-1.4494833962532394</v>
      </c>
      <c r="U415">
        <f t="shared" si="334"/>
        <v>0.15440606047374972</v>
      </c>
      <c r="V415">
        <f t="shared" si="335"/>
        <v>-1.415770050547003</v>
      </c>
      <c r="X415">
        <f t="shared" si="352"/>
        <v>-46.084798180185977</v>
      </c>
      <c r="Y415">
        <f t="shared" si="336"/>
        <v>-171.39625520788374</v>
      </c>
      <c r="Z415">
        <f t="shared" si="353"/>
        <v>8.6037447921162595</v>
      </c>
      <c r="AC415">
        <v>1</v>
      </c>
      <c r="AD415">
        <f t="shared" si="337"/>
        <v>257.01689912100301</v>
      </c>
      <c r="AE415">
        <f t="shared" si="338"/>
        <v>-0.19475510717048553</v>
      </c>
      <c r="AF415">
        <f t="shared" si="339"/>
        <v>3.0436377911730001E-2</v>
      </c>
      <c r="AG415">
        <f t="shared" si="315"/>
        <v>196.31261872728771</v>
      </c>
      <c r="AH415">
        <f t="shared" si="316"/>
        <v>-1289.0129440806904</v>
      </c>
      <c r="AJ415">
        <f t="shared" si="340"/>
        <v>22100</v>
      </c>
      <c r="AK415">
        <f t="shared" si="341"/>
        <v>181278.94055023938</v>
      </c>
      <c r="AL415">
        <v>1</v>
      </c>
      <c r="AM415">
        <f t="shared" si="342"/>
        <v>217.53169765169852</v>
      </c>
      <c r="AN415">
        <f t="shared" si="317"/>
        <v>833.79435695569725</v>
      </c>
      <c r="AO415">
        <f t="shared" si="318"/>
        <v>-97.761410739756855</v>
      </c>
      <c r="AQ415">
        <f t="shared" si="343"/>
        <v>2.4751856451113476E-3</v>
      </c>
      <c r="AR415">
        <f t="shared" si="344"/>
        <v>-4.9751231466738082</v>
      </c>
      <c r="AT415">
        <f t="shared" si="365"/>
        <v>-6412.5122242821653</v>
      </c>
      <c r="AU415">
        <f t="shared" si="366"/>
        <v>-979.86999974983053</v>
      </c>
      <c r="AV415">
        <f t="shared" si="354"/>
        <v>-2.9899596400551438</v>
      </c>
      <c r="AW415">
        <f t="shared" si="355"/>
        <v>554.95720210500497</v>
      </c>
      <c r="AX415">
        <f t="shared" si="356"/>
        <v>-5801.3117249129245</v>
      </c>
      <c r="AY415">
        <f t="shared" si="364"/>
        <v>-1.475425888918986</v>
      </c>
      <c r="BA415">
        <f t="shared" si="345"/>
        <v>1.1131045538144069</v>
      </c>
      <c r="BB415">
        <f t="shared" si="357"/>
        <v>0.93071918987561264</v>
      </c>
      <c r="BC415">
        <f t="shared" si="358"/>
        <v>-1.5145337511361578</v>
      </c>
      <c r="BD415">
        <f t="shared" si="346"/>
        <v>-266.77639196937525</v>
      </c>
      <c r="BF415">
        <f t="shared" si="347"/>
        <v>-48.978329736057887</v>
      </c>
      <c r="BG415">
        <f t="shared" si="348"/>
        <v>-183.51940383458972</v>
      </c>
      <c r="BH415">
        <f t="shared" si="359"/>
        <v>-3.5194038345897241</v>
      </c>
      <c r="BI415">
        <f t="shared" si="360"/>
        <v>-3.5194038345897241</v>
      </c>
      <c r="BJ415">
        <f t="shared" si="349"/>
        <v>0</v>
      </c>
      <c r="BK415">
        <f t="shared" si="361"/>
        <v>0</v>
      </c>
      <c r="BM415">
        <f t="shared" si="362"/>
        <v>-49.909048925933497</v>
      </c>
      <c r="BN415">
        <f t="shared" si="350"/>
        <v>-96.743011865214456</v>
      </c>
      <c r="BQ415" s="56">
        <f t="shared" si="363"/>
        <v>17.832679990160749</v>
      </c>
    </row>
    <row r="416" spans="1:81" x14ac:dyDescent="0.25">
      <c r="A416">
        <f t="shared" si="319"/>
        <v>1010000</v>
      </c>
      <c r="B416">
        <f t="shared" si="351"/>
        <v>1010</v>
      </c>
      <c r="C416">
        <f t="shared" si="320"/>
        <v>8.4362205571944973</v>
      </c>
      <c r="D416">
        <f t="shared" si="321"/>
        <v>1.4519804729386885</v>
      </c>
      <c r="F416">
        <f t="shared" si="322"/>
        <v>2.5125951738581921E-5</v>
      </c>
      <c r="G416">
        <f t="shared" si="323"/>
        <v>1.7051449188694276E-3</v>
      </c>
      <c r="H416">
        <f t="shared" si="324"/>
        <v>-3.1398875050811306</v>
      </c>
      <c r="J416">
        <f t="shared" si="325"/>
        <v>15</v>
      </c>
      <c r="M416">
        <f t="shared" si="326"/>
        <v>1.4793108630723648E-3</v>
      </c>
      <c r="N416">
        <f t="shared" si="327"/>
        <v>-1.5707963250000001</v>
      </c>
      <c r="O416">
        <f t="shared" si="328"/>
        <v>258.2975259208439</v>
      </c>
      <c r="P416">
        <f t="shared" si="329"/>
        <v>1.5669248127548654</v>
      </c>
      <c r="Q416">
        <f t="shared" si="330"/>
        <v>218.61623202854057</v>
      </c>
      <c r="R416">
        <f t="shared" si="331"/>
        <v>1.5662220850836994</v>
      </c>
      <c r="S416">
        <f t="shared" si="332"/>
        <v>0.12042521482110465</v>
      </c>
      <c r="T416">
        <f t="shared" si="333"/>
        <v>-1.4500781234649995</v>
      </c>
      <c r="U416">
        <f t="shared" si="334"/>
        <v>0.15365976604213141</v>
      </c>
      <c r="V416">
        <f t="shared" si="335"/>
        <v>-1.4165253590630373</v>
      </c>
      <c r="X416">
        <f t="shared" si="352"/>
        <v>-46.169971988635588</v>
      </c>
      <c r="Y416">
        <f t="shared" si="336"/>
        <v>-171.43813649097524</v>
      </c>
      <c r="Z416">
        <f t="shared" si="353"/>
        <v>8.5618635090247608</v>
      </c>
      <c r="AC416">
        <v>1</v>
      </c>
      <c r="AD416">
        <f t="shared" si="337"/>
        <v>258.29559016140604</v>
      </c>
      <c r="AE416">
        <f t="shared" si="338"/>
        <v>-0.19669778948502489</v>
      </c>
      <c r="AF416">
        <f t="shared" si="339"/>
        <v>3.0587802677459999E-2</v>
      </c>
      <c r="AG416">
        <f t="shared" si="315"/>
        <v>194.41952002544824</v>
      </c>
      <c r="AH416">
        <f t="shared" si="316"/>
        <v>-1282.9260812076034</v>
      </c>
      <c r="AJ416">
        <f t="shared" si="340"/>
        <v>22100</v>
      </c>
      <c r="AK416">
        <f t="shared" si="341"/>
        <v>182180.82582660872</v>
      </c>
      <c r="AL416">
        <v>1</v>
      </c>
      <c r="AM416">
        <f t="shared" si="342"/>
        <v>218.61394490369702</v>
      </c>
      <c r="AN416">
        <f t="shared" si="317"/>
        <v>833.78991843620975</v>
      </c>
      <c r="AO416">
        <f t="shared" si="318"/>
        <v>-97.277463662859674</v>
      </c>
      <c r="AQ416">
        <f t="shared" si="343"/>
        <v>2.4507395229047342E-3</v>
      </c>
      <c r="AR416">
        <f t="shared" si="344"/>
        <v>-4.9504938362675626</v>
      </c>
      <c r="AT416">
        <f t="shared" si="365"/>
        <v>-6350.641185803388</v>
      </c>
      <c r="AU416">
        <f t="shared" si="366"/>
        <v>-965.61675318826019</v>
      </c>
      <c r="AV416">
        <f t="shared" si="354"/>
        <v>-2.9906981504334555</v>
      </c>
      <c r="AW416">
        <f t="shared" si="355"/>
        <v>557.75446323244228</v>
      </c>
      <c r="AX416">
        <f t="shared" si="356"/>
        <v>-5772.875954819353</v>
      </c>
      <c r="AY416">
        <f t="shared" si="364"/>
        <v>-1.4744788884666609</v>
      </c>
      <c r="BA416">
        <f t="shared" si="345"/>
        <v>1.107569219367545</v>
      </c>
      <c r="BB416">
        <f t="shared" si="357"/>
        <v>0.88741755388357435</v>
      </c>
      <c r="BC416">
        <f t="shared" si="358"/>
        <v>-1.5162192619667947</v>
      </c>
      <c r="BD416">
        <f t="shared" si="346"/>
        <v>-266.87296462640472</v>
      </c>
      <c r="BF416">
        <f t="shared" si="347"/>
        <v>-49.065348331046167</v>
      </c>
      <c r="BG416">
        <f t="shared" si="348"/>
        <v>-183.58291388912644</v>
      </c>
      <c r="BH416">
        <f t="shared" si="359"/>
        <v>-3.5829138891264449</v>
      </c>
      <c r="BI416">
        <f t="shared" si="360"/>
        <v>-3.5829138891264449</v>
      </c>
      <c r="BJ416">
        <f t="shared" si="349"/>
        <v>0</v>
      </c>
      <c r="BK416">
        <f t="shared" si="361"/>
        <v>0</v>
      </c>
      <c r="BM416">
        <f t="shared" si="362"/>
        <v>-49.95276588492974</v>
      </c>
      <c r="BN416">
        <f t="shared" si="350"/>
        <v>-96.70994926272175</v>
      </c>
      <c r="BQ416" s="56">
        <f t="shared" si="363"/>
        <v>17.789378354168711</v>
      </c>
    </row>
    <row r="417" spans="1:69" x14ac:dyDescent="0.25">
      <c r="A417">
        <f t="shared" si="319"/>
        <v>1015000</v>
      </c>
      <c r="B417">
        <f t="shared" si="351"/>
        <v>1015</v>
      </c>
      <c r="C417">
        <f t="shared" si="320"/>
        <v>8.4773986361225173</v>
      </c>
      <c r="D417">
        <f t="shared" si="321"/>
        <v>1.4525603197812673</v>
      </c>
      <c r="F417">
        <f t="shared" si="322"/>
        <v>2.4879009311829753E-5</v>
      </c>
      <c r="G417">
        <f t="shared" si="323"/>
        <v>1.6967447849135951E-3</v>
      </c>
      <c r="H417">
        <f t="shared" si="324"/>
        <v>-3.1398959052150865</v>
      </c>
      <c r="J417">
        <f t="shared" si="325"/>
        <v>15</v>
      </c>
      <c r="M417">
        <f t="shared" si="326"/>
        <v>1.4720236174414663E-3</v>
      </c>
      <c r="N417">
        <f t="shared" si="327"/>
        <v>-1.5707963250000001</v>
      </c>
      <c r="O417">
        <f t="shared" si="328"/>
        <v>259.57620742555702</v>
      </c>
      <c r="P417">
        <f t="shared" si="329"/>
        <v>1.5669438840634358</v>
      </c>
      <c r="Q417">
        <f t="shared" si="330"/>
        <v>219.69846801403122</v>
      </c>
      <c r="R417">
        <f t="shared" si="331"/>
        <v>1.5662446179821008</v>
      </c>
      <c r="S417">
        <f t="shared" si="332"/>
        <v>0.11984052773469767</v>
      </c>
      <c r="T417">
        <f t="shared" si="333"/>
        <v>-1.4506670758582652</v>
      </c>
      <c r="U417">
        <f t="shared" si="334"/>
        <v>0.15292056508966462</v>
      </c>
      <c r="V417">
        <f t="shared" si="335"/>
        <v>-1.4172734009761871</v>
      </c>
      <c r="X417">
        <f t="shared" si="352"/>
        <v>-46.254735125653291</v>
      </c>
      <c r="Y417">
        <f t="shared" si="336"/>
        <v>-171.47961539192303</v>
      </c>
      <c r="Z417">
        <f t="shared" si="353"/>
        <v>8.5203846080769665</v>
      </c>
      <c r="AC417">
        <v>1</v>
      </c>
      <c r="AD417">
        <f t="shared" si="337"/>
        <v>259.57428120180901</v>
      </c>
      <c r="AE417">
        <f t="shared" si="338"/>
        <v>-0.19865011290286219</v>
      </c>
      <c r="AF417">
        <f t="shared" si="339"/>
        <v>3.073922744319E-2</v>
      </c>
      <c r="AG417">
        <f t="shared" si="315"/>
        <v>192.55345686933146</v>
      </c>
      <c r="AH417">
        <f t="shared" si="316"/>
        <v>-1276.8950039316865</v>
      </c>
      <c r="AJ417">
        <f t="shared" si="340"/>
        <v>22100</v>
      </c>
      <c r="AK417">
        <f t="shared" si="341"/>
        <v>183082.71110297806</v>
      </c>
      <c r="AL417">
        <v>1</v>
      </c>
      <c r="AM417">
        <f t="shared" si="342"/>
        <v>219.69619215569554</v>
      </c>
      <c r="AN417">
        <f t="shared" si="317"/>
        <v>833.78554534709917</v>
      </c>
      <c r="AO417">
        <f t="shared" si="318"/>
        <v>-96.798284239636885</v>
      </c>
      <c r="AQ417">
        <f t="shared" si="343"/>
        <v>2.4266537827528495E-3</v>
      </c>
      <c r="AR417">
        <f t="shared" si="344"/>
        <v>-4.9261071789882847</v>
      </c>
      <c r="AT417">
        <f t="shared" si="365"/>
        <v>-6289.6543851076603</v>
      </c>
      <c r="AU417">
        <f t="shared" si="366"/>
        <v>-951.63754831449387</v>
      </c>
      <c r="AV417">
        <f t="shared" si="354"/>
        <v>-2.9914295597049527</v>
      </c>
      <c r="AW417">
        <f t="shared" si="355"/>
        <v>560.50957724628006</v>
      </c>
      <c r="AX417">
        <f t="shared" si="356"/>
        <v>-5744.7163211365605</v>
      </c>
      <c r="AY417">
        <f t="shared" si="364"/>
        <v>-1.473534602083119</v>
      </c>
      <c r="BA417">
        <f t="shared" si="345"/>
        <v>1.1020866067839474</v>
      </c>
      <c r="BB417">
        <f t="shared" si="357"/>
        <v>0.84431449231957179</v>
      </c>
      <c r="BC417">
        <f t="shared" si="358"/>
        <v>-1.5178949576218337</v>
      </c>
      <c r="BD417">
        <f t="shared" si="346"/>
        <v>-266.96897491529654</v>
      </c>
      <c r="BF417">
        <f t="shared" si="347"/>
        <v>-49.151946560703614</v>
      </c>
      <c r="BG417">
        <f t="shared" si="348"/>
        <v>-183.64618269336017</v>
      </c>
      <c r="BH417">
        <f t="shared" si="359"/>
        <v>-3.6461826933601742</v>
      </c>
      <c r="BI417">
        <f t="shared" si="360"/>
        <v>-3.6461826933601742</v>
      </c>
      <c r="BJ417">
        <f t="shared" si="349"/>
        <v>0</v>
      </c>
      <c r="BK417">
        <f t="shared" si="361"/>
        <v>0</v>
      </c>
      <c r="BM417">
        <f t="shared" si="362"/>
        <v>-49.996261053023183</v>
      </c>
      <c r="BN417">
        <f t="shared" si="350"/>
        <v>-96.67720777806359</v>
      </c>
      <c r="BQ417" s="56">
        <f t="shared" si="363"/>
        <v>17.746275292604707</v>
      </c>
    </row>
    <row r="418" spans="1:69" x14ac:dyDescent="0.25">
      <c r="A418">
        <f t="shared" si="319"/>
        <v>1020000</v>
      </c>
      <c r="B418">
        <f t="shared" si="351"/>
        <v>1020</v>
      </c>
      <c r="C418">
        <f t="shared" si="320"/>
        <v>8.5185795377848432</v>
      </c>
      <c r="D418">
        <f t="shared" si="321"/>
        <v>1.453134560571814</v>
      </c>
      <c r="F418">
        <f t="shared" si="322"/>
        <v>2.4635689596364143E-5</v>
      </c>
      <c r="G418">
        <f t="shared" si="323"/>
        <v>1.6884270111288155E-3</v>
      </c>
      <c r="H418">
        <f t="shared" si="324"/>
        <v>-3.1399042229888714</v>
      </c>
      <c r="J418">
        <f t="shared" si="325"/>
        <v>15</v>
      </c>
      <c r="M418">
        <f t="shared" si="326"/>
        <v>1.4648078153951846E-3</v>
      </c>
      <c r="N418">
        <f t="shared" si="327"/>
        <v>-1.5707963250000001</v>
      </c>
      <c r="O418">
        <f t="shared" si="328"/>
        <v>260.8548890237563</v>
      </c>
      <c r="P418">
        <f t="shared" si="329"/>
        <v>1.5669627684011538</v>
      </c>
      <c r="Q418">
        <f t="shared" si="330"/>
        <v>220.78070410997614</v>
      </c>
      <c r="R418">
        <f t="shared" si="331"/>
        <v>1.566266929974288</v>
      </c>
      <c r="S418">
        <f t="shared" si="332"/>
        <v>0.11926144997781707</v>
      </c>
      <c r="T418">
        <f t="shared" si="333"/>
        <v>-1.4512503367344445</v>
      </c>
      <c r="U418">
        <f t="shared" si="334"/>
        <v>0.15218835819825949</v>
      </c>
      <c r="V418">
        <f t="shared" si="335"/>
        <v>-1.418014279824019</v>
      </c>
      <c r="X418">
        <f t="shared" si="352"/>
        <v>-46.339091486423413</v>
      </c>
      <c r="Y418">
        <f t="shared" si="336"/>
        <v>-171.52069763341666</v>
      </c>
      <c r="Z418">
        <f t="shared" si="353"/>
        <v>8.4793023665833402</v>
      </c>
      <c r="AC418">
        <v>1</v>
      </c>
      <c r="AD418">
        <f t="shared" si="337"/>
        <v>260.85297224221199</v>
      </c>
      <c r="AE418">
        <f t="shared" si="338"/>
        <v>-0.2006120774239975</v>
      </c>
      <c r="AF418">
        <f t="shared" si="339"/>
        <v>3.089065220892E-2</v>
      </c>
      <c r="AG418">
        <f t="shared" si="315"/>
        <v>190.71392103313102</v>
      </c>
      <c r="AH418">
        <f t="shared" si="316"/>
        <v>-1270.9189701341443</v>
      </c>
      <c r="AJ418">
        <f t="shared" si="340"/>
        <v>22100</v>
      </c>
      <c r="AK418">
        <f t="shared" si="341"/>
        <v>183984.59637934741</v>
      </c>
      <c r="AL418">
        <v>1</v>
      </c>
      <c r="AM418">
        <f t="shared" si="342"/>
        <v>220.77843940769401</v>
      </c>
      <c r="AN418">
        <f t="shared" si="317"/>
        <v>833.78123640861099</v>
      </c>
      <c r="AO418">
        <f t="shared" si="318"/>
        <v>-96.323802363331097</v>
      </c>
      <c r="AQ418">
        <f t="shared" si="343"/>
        <v>2.402921375691711E-3</v>
      </c>
      <c r="AR418">
        <f t="shared" si="344"/>
        <v>-4.90195960641109</v>
      </c>
      <c r="AT418">
        <f t="shared" si="365"/>
        <v>-6229.5351840616659</v>
      </c>
      <c r="AU418">
        <f t="shared" si="366"/>
        <v>-937.92585564479009</v>
      </c>
      <c r="AV418">
        <f t="shared" si="354"/>
        <v>-2.9921539689734904</v>
      </c>
      <c r="AW418">
        <f t="shared" si="355"/>
        <v>563.22339000508453</v>
      </c>
      <c r="AX418">
        <f t="shared" si="356"/>
        <v>-5716.8288379448204</v>
      </c>
      <c r="AY418">
        <f t="shared" si="364"/>
        <v>-1.4725929897745262</v>
      </c>
      <c r="BA418">
        <f t="shared" si="345"/>
        <v>1.0966559663205784</v>
      </c>
      <c r="BB418">
        <f t="shared" si="357"/>
        <v>0.8014081146257146</v>
      </c>
      <c r="BC418">
        <f t="shared" si="358"/>
        <v>-1.5195609791989642</v>
      </c>
      <c r="BD418">
        <f t="shared" si="346"/>
        <v>-267.06443092035295</v>
      </c>
      <c r="BF418">
        <f t="shared" si="347"/>
        <v>-49.238128580165267</v>
      </c>
      <c r="BG418">
        <f t="shared" si="348"/>
        <v>-183.70921369798972</v>
      </c>
      <c r="BH418">
        <f t="shared" si="359"/>
        <v>-3.7092136979897248</v>
      </c>
      <c r="BI418">
        <f t="shared" si="360"/>
        <v>-3.7092136979897248</v>
      </c>
      <c r="BJ418">
        <f t="shared" si="349"/>
        <v>0</v>
      </c>
      <c r="BK418">
        <f t="shared" si="361"/>
        <v>0</v>
      </c>
      <c r="BM418">
        <f t="shared" si="362"/>
        <v>-50.039536694790982</v>
      </c>
      <c r="BN418">
        <f t="shared" si="350"/>
        <v>-96.644782777636792</v>
      </c>
      <c r="BQ418" s="56">
        <f t="shared" si="363"/>
        <v>17.70336891491085</v>
      </c>
    </row>
    <row r="419" spans="1:69" x14ac:dyDescent="0.25">
      <c r="A419">
        <f t="shared" si="319"/>
        <v>1025000</v>
      </c>
      <c r="B419">
        <f t="shared" si="351"/>
        <v>1025</v>
      </c>
      <c r="C419">
        <f t="shared" si="320"/>
        <v>8.5597632214410684</v>
      </c>
      <c r="D419">
        <f t="shared" si="321"/>
        <v>1.4537032758462352</v>
      </c>
      <c r="F419">
        <f t="shared" si="322"/>
        <v>2.4395922075094663E-5</v>
      </c>
      <c r="G419">
        <f t="shared" si="323"/>
        <v>1.6801903921296873E-3</v>
      </c>
      <c r="H419">
        <f t="shared" si="324"/>
        <v>-3.1399124596078707</v>
      </c>
      <c r="J419">
        <f t="shared" si="325"/>
        <v>15</v>
      </c>
      <c r="M419">
        <f t="shared" si="326"/>
        <v>1.4576624114176473E-3</v>
      </c>
      <c r="N419">
        <f t="shared" si="327"/>
        <v>-1.5707963250000001</v>
      </c>
      <c r="O419">
        <f t="shared" si="328"/>
        <v>262.13357071407358</v>
      </c>
      <c r="P419">
        <f t="shared" si="329"/>
        <v>1.5669814685041252</v>
      </c>
      <c r="Q419">
        <f t="shared" si="330"/>
        <v>221.8629403147589</v>
      </c>
      <c r="R419">
        <f t="shared" si="331"/>
        <v>1.5662890242929468</v>
      </c>
      <c r="S419">
        <f t="shared" si="332"/>
        <v>0.11868790180105127</v>
      </c>
      <c r="T419">
        <f t="shared" si="333"/>
        <v>-1.4518279878081655</v>
      </c>
      <c r="U419">
        <f t="shared" si="334"/>
        <v>0.15146304777522582</v>
      </c>
      <c r="V419">
        <f t="shared" si="335"/>
        <v>-1.4187480972021085</v>
      </c>
      <c r="X419">
        <f t="shared" si="352"/>
        <v>-46.423044911617225</v>
      </c>
      <c r="Y419">
        <f t="shared" si="336"/>
        <v>-171.56138883106655</v>
      </c>
      <c r="Z419">
        <f t="shared" si="353"/>
        <v>8.4386111689334484</v>
      </c>
      <c r="AC419">
        <v>1</v>
      </c>
      <c r="AD419">
        <f t="shared" si="337"/>
        <v>262.13166328261502</v>
      </c>
      <c r="AE419">
        <f t="shared" si="338"/>
        <v>-0.2025836830484308</v>
      </c>
      <c r="AF419">
        <f t="shared" si="339"/>
        <v>3.1042076974649998E-2</v>
      </c>
      <c r="AG419">
        <f t="shared" si="315"/>
        <v>188.90041607923965</v>
      </c>
      <c r="AH419">
        <f t="shared" si="316"/>
        <v>-1264.9972503702334</v>
      </c>
      <c r="AJ419">
        <f t="shared" si="340"/>
        <v>22100</v>
      </c>
      <c r="AK419">
        <f t="shared" si="341"/>
        <v>184886.48165571675</v>
      </c>
      <c r="AL419">
        <v>1</v>
      </c>
      <c r="AM419">
        <f t="shared" si="342"/>
        <v>221.86068665969253</v>
      </c>
      <c r="AN419">
        <f t="shared" si="317"/>
        <v>833.77699037212597</v>
      </c>
      <c r="AO419">
        <f t="shared" si="318"/>
        <v>-95.853949294981163</v>
      </c>
      <c r="AQ419">
        <f t="shared" si="343"/>
        <v>2.3795354242628379E-3</v>
      </c>
      <c r="AR419">
        <f t="shared" si="344"/>
        <v>-4.8780476197388172</v>
      </c>
      <c r="AT419">
        <f t="shared" si="365"/>
        <v>-6170.2673309129468</v>
      </c>
      <c r="AU419">
        <f t="shared" si="366"/>
        <v>-924.47533079185825</v>
      </c>
      <c r="AV419">
        <f t="shared" si="354"/>
        <v>-2.9928714774484191</v>
      </c>
      <c r="AW419">
        <f t="shared" si="355"/>
        <v>565.89672618495672</v>
      </c>
      <c r="AX419">
        <f t="shared" si="356"/>
        <v>-5689.2095953772459</v>
      </c>
      <c r="AY419">
        <f t="shared" si="364"/>
        <v>-1.471654012404396</v>
      </c>
      <c r="BA419">
        <f t="shared" si="345"/>
        <v>1.0912765622589331</v>
      </c>
      <c r="BB419">
        <f t="shared" si="357"/>
        <v>0.75869655607478781</v>
      </c>
      <c r="BC419">
        <f t="shared" si="358"/>
        <v>-1.5212174650440231</v>
      </c>
      <c r="BD419">
        <f t="shared" si="346"/>
        <v>-267.1593405682064</v>
      </c>
      <c r="BF419">
        <f t="shared" si="347"/>
        <v>-49.323898483905246</v>
      </c>
      <c r="BG419">
        <f t="shared" si="348"/>
        <v>-183.77201028434368</v>
      </c>
      <c r="BH419">
        <f t="shared" si="359"/>
        <v>-3.7720102843436791</v>
      </c>
      <c r="BI419">
        <f t="shared" si="360"/>
        <v>-3.7720102843436791</v>
      </c>
      <c r="BJ419">
        <f t="shared" si="349"/>
        <v>0</v>
      </c>
      <c r="BK419">
        <f t="shared" si="361"/>
        <v>0</v>
      </c>
      <c r="BM419">
        <f t="shared" si="362"/>
        <v>-50.082595039980035</v>
      </c>
      <c r="BN419">
        <f t="shared" si="350"/>
        <v>-96.612669716137248</v>
      </c>
      <c r="BQ419" s="56">
        <f t="shared" si="363"/>
        <v>17.660657356359923</v>
      </c>
    </row>
    <row r="420" spans="1:69" x14ac:dyDescent="0.25">
      <c r="A420">
        <f t="shared" si="319"/>
        <v>1030000</v>
      </c>
      <c r="B420">
        <f t="shared" si="351"/>
        <v>1030</v>
      </c>
      <c r="C420">
        <f t="shared" si="320"/>
        <v>8.6009496471283651</v>
      </c>
      <c r="D420">
        <f t="shared" si="321"/>
        <v>1.4542665446122776</v>
      </c>
      <c r="F420">
        <f t="shared" si="322"/>
        <v>2.4159637938425023E-5</v>
      </c>
      <c r="G420">
        <f t="shared" si="323"/>
        <v>1.6720337459391113E-3</v>
      </c>
      <c r="H420">
        <f t="shared" si="324"/>
        <v>-3.1399206162540612</v>
      </c>
      <c r="J420">
        <f t="shared" si="325"/>
        <v>15</v>
      </c>
      <c r="M420">
        <f t="shared" si="326"/>
        <v>1.4505863802942605E-3</v>
      </c>
      <c r="N420">
        <f t="shared" si="327"/>
        <v>-1.5707963250000001</v>
      </c>
      <c r="O420">
        <f t="shared" si="328"/>
        <v>263.41225249516754</v>
      </c>
      <c r="P420">
        <f t="shared" si="329"/>
        <v>1.5669999870553284</v>
      </c>
      <c r="Q420">
        <f t="shared" si="330"/>
        <v>222.94517662679459</v>
      </c>
      <c r="R420">
        <f t="shared" si="331"/>
        <v>1.5663109041079941</v>
      </c>
      <c r="S420">
        <f t="shared" si="332"/>
        <v>0.11811980494836734</v>
      </c>
      <c r="T420">
        <f t="shared" si="333"/>
        <v>-1.4524001092446943</v>
      </c>
      <c r="U420">
        <f t="shared" si="334"/>
        <v>0.15074453801214313</v>
      </c>
      <c r="V420">
        <f t="shared" si="335"/>
        <v>-1.4194749528089858</v>
      </c>
      <c r="X420">
        <f t="shared" si="352"/>
        <v>-46.506599188393466</v>
      </c>
      <c r="Y420">
        <f t="shared" si="336"/>
        <v>-171.60169449587468</v>
      </c>
      <c r="Z420">
        <f t="shared" si="353"/>
        <v>8.3983055041253181</v>
      </c>
      <c r="AC420">
        <v>1</v>
      </c>
      <c r="AD420">
        <f t="shared" si="337"/>
        <v>263.410354323018</v>
      </c>
      <c r="AE420">
        <f t="shared" si="338"/>
        <v>-0.204564929776162</v>
      </c>
      <c r="AF420">
        <f t="shared" si="339"/>
        <v>3.1193501740379999E-2</v>
      </c>
      <c r="AG420">
        <f t="shared" si="315"/>
        <v>187.11245703444953</v>
      </c>
      <c r="AH420">
        <f t="shared" si="316"/>
        <v>-1259.1291276110137</v>
      </c>
      <c r="AJ420">
        <f t="shared" si="340"/>
        <v>22100</v>
      </c>
      <c r="AK420">
        <f t="shared" si="341"/>
        <v>185788.36693208612</v>
      </c>
      <c r="AL420">
        <v>1</v>
      </c>
      <c r="AM420">
        <f t="shared" si="342"/>
        <v>222.942933911691</v>
      </c>
      <c r="AN420">
        <f t="shared" si="317"/>
        <v>833.77280601925679</v>
      </c>
      <c r="AO420">
        <f t="shared" si="318"/>
        <v>-95.388657630227556</v>
      </c>
      <c r="AQ420">
        <f t="shared" si="343"/>
        <v>2.3564892175301118E-3</v>
      </c>
      <c r="AR420">
        <f t="shared" si="344"/>
        <v>-4.8543677881120306</v>
      </c>
      <c r="AT420">
        <f t="shared" si="365"/>
        <v>-6111.8349496610399</v>
      </c>
      <c r="AU420">
        <f t="shared" si="366"/>
        <v>-911.27980839522161</v>
      </c>
      <c r="AV420">
        <f t="shared" si="354"/>
        <v>-2.9935821824883777</v>
      </c>
      <c r="AW420">
        <f t="shared" si="355"/>
        <v>568.53038991451422</v>
      </c>
      <c r="AX420">
        <f t="shared" si="356"/>
        <v>-5661.8547578206308</v>
      </c>
      <c r="AY420">
        <f t="shared" si="364"/>
        <v>-1.4707176316709676</v>
      </c>
      <c r="BA420">
        <f t="shared" si="345"/>
        <v>1.0859476725821344</v>
      </c>
      <c r="BB420">
        <f t="shared" si="357"/>
        <v>0.71617797731535549</v>
      </c>
      <c r="BC420">
        <f t="shared" si="358"/>
        <v>-1.5228645508174101</v>
      </c>
      <c r="BD420">
        <f t="shared" si="346"/>
        <v>-267.25371163162538</v>
      </c>
      <c r="BF420">
        <f t="shared" si="347"/>
        <v>-49.409260306907399</v>
      </c>
      <c r="BG420">
        <f t="shared" si="348"/>
        <v>-183.8345757661022</v>
      </c>
      <c r="BH420">
        <f t="shared" si="359"/>
        <v>-3.8345757661022049</v>
      </c>
      <c r="BI420">
        <f t="shared" si="360"/>
        <v>-3.8345757661022049</v>
      </c>
      <c r="BJ420">
        <f t="shared" si="349"/>
        <v>0</v>
      </c>
      <c r="BK420">
        <f t="shared" si="361"/>
        <v>0</v>
      </c>
      <c r="BM420">
        <f t="shared" si="362"/>
        <v>-50.125438284222753</v>
      </c>
      <c r="BN420">
        <f t="shared" si="350"/>
        <v>-96.58086413447684</v>
      </c>
      <c r="BQ420" s="56">
        <f t="shared" si="363"/>
        <v>17.618138777600493</v>
      </c>
    </row>
    <row r="421" spans="1:69" x14ac:dyDescent="0.25">
      <c r="A421">
        <f t="shared" si="319"/>
        <v>1035000</v>
      </c>
      <c r="B421">
        <f t="shared" si="351"/>
        <v>1035</v>
      </c>
      <c r="C421">
        <f t="shared" si="320"/>
        <v>8.642138775643085</v>
      </c>
      <c r="D421">
        <f t="shared" si="321"/>
        <v>1.4548244443854343</v>
      </c>
      <c r="F421">
        <f t="shared" si="322"/>
        <v>2.3926770034877755E-5</v>
      </c>
      <c r="G421">
        <f t="shared" si="323"/>
        <v>1.6639559134227955E-3</v>
      </c>
      <c r="H421">
        <f t="shared" si="324"/>
        <v>-3.1399286940865774</v>
      </c>
      <c r="J421">
        <f t="shared" si="325"/>
        <v>15</v>
      </c>
      <c r="M421">
        <f t="shared" si="326"/>
        <v>1.4435787166213413E-3</v>
      </c>
      <c r="N421">
        <f t="shared" si="327"/>
        <v>-1.5707963250000001</v>
      </c>
      <c r="O421">
        <f t="shared" si="328"/>
        <v>264.69093436572234</v>
      </c>
      <c r="P421">
        <f t="shared" si="329"/>
        <v>1.5670183266858975</v>
      </c>
      <c r="Q421">
        <f t="shared" si="330"/>
        <v>224.02741304452883</v>
      </c>
      <c r="R421">
        <f t="shared" si="331"/>
        <v>1.5663325725280948</v>
      </c>
      <c r="S421">
        <f t="shared" si="332"/>
        <v>0.11755708262258739</v>
      </c>
      <c r="T421">
        <f t="shared" si="333"/>
        <v>-1.4529667796963073</v>
      </c>
      <c r="U421">
        <f t="shared" si="334"/>
        <v>0.1500327348448213</v>
      </c>
      <c r="V421">
        <f t="shared" si="335"/>
        <v>-1.420194944489851</v>
      </c>
      <c r="X421">
        <f t="shared" si="352"/>
        <v>-46.58975805137635</v>
      </c>
      <c r="Y421">
        <f t="shared" si="336"/>
        <v>-171.6416200366383</v>
      </c>
      <c r="Z421">
        <f t="shared" si="353"/>
        <v>8.3583799633616991</v>
      </c>
      <c r="AC421">
        <v>1</v>
      </c>
      <c r="AD421">
        <f t="shared" si="337"/>
        <v>264.68904536342103</v>
      </c>
      <c r="AE421">
        <f t="shared" si="338"/>
        <v>-0.20655581760719122</v>
      </c>
      <c r="AF421">
        <f t="shared" si="339"/>
        <v>3.1344926506109996E-2</v>
      </c>
      <c r="AG421">
        <f t="shared" si="315"/>
        <v>185.34957007639036</v>
      </c>
      <c r="AH421">
        <f t="shared" si="316"/>
        <v>-1253.3138969910312</v>
      </c>
      <c r="AJ421">
        <f t="shared" si="340"/>
        <v>22100</v>
      </c>
      <c r="AK421">
        <f t="shared" si="341"/>
        <v>186690.25220845547</v>
      </c>
      <c r="AL421">
        <v>1</v>
      </c>
      <c r="AM421">
        <f t="shared" si="342"/>
        <v>224.02518116368952</v>
      </c>
      <c r="AN421">
        <f t="shared" si="317"/>
        <v>833.76868216097262</v>
      </c>
      <c r="AO421">
        <f t="shared" si="318"/>
        <v>-94.927861267079308</v>
      </c>
      <c r="AQ421">
        <f t="shared" si="343"/>
        <v>2.3337762062647423E-3</v>
      </c>
      <c r="AR421">
        <f t="shared" si="344"/>
        <v>-4.8309167469680165</v>
      </c>
      <c r="AT421">
        <f t="shared" si="365"/>
        <v>-6054.2225297652349</v>
      </c>
      <c r="AU421">
        <f t="shared" si="366"/>
        <v>-898.33329627713476</v>
      </c>
      <c r="AV421">
        <f t="shared" si="354"/>
        <v>-2.994286179643888</v>
      </c>
      <c r="AW421">
        <f t="shared" si="355"/>
        <v>571.12516538773389</v>
      </c>
      <c r="AX421">
        <f t="shared" si="356"/>
        <v>-5634.7605621669718</v>
      </c>
      <c r="AY421">
        <f t="shared" si="364"/>
        <v>-1.4697838100852996</v>
      </c>
      <c r="BA421">
        <f t="shared" si="345"/>
        <v>1.0806685886607983</v>
      </c>
      <c r="BB421">
        <f t="shared" si="357"/>
        <v>0.67385056392644582</v>
      </c>
      <c r="BC421">
        <f t="shared" si="358"/>
        <v>-1.5245023695585884</v>
      </c>
      <c r="BD421">
        <f t="shared" si="346"/>
        <v>-267.34755173320957</v>
      </c>
      <c r="BF421">
        <f t="shared" si="347"/>
        <v>-49.494218025808003</v>
      </c>
      <c r="BG421">
        <f t="shared" si="348"/>
        <v>-183.896913390968</v>
      </c>
      <c r="BH421">
        <f t="shared" si="359"/>
        <v>-3.8969133909679954</v>
      </c>
      <c r="BI421">
        <f t="shared" si="360"/>
        <v>-3.8969133909679954</v>
      </c>
      <c r="BJ421">
        <f t="shared" si="349"/>
        <v>0</v>
      </c>
      <c r="BK421">
        <f t="shared" si="361"/>
        <v>0</v>
      </c>
      <c r="BM421">
        <f t="shared" si="362"/>
        <v>-50.168068589734446</v>
      </c>
      <c r="BN421">
        <f t="shared" si="350"/>
        <v>-96.549361657758439</v>
      </c>
      <c r="BQ421" s="56">
        <f t="shared" si="363"/>
        <v>17.575811364211582</v>
      </c>
    </row>
    <row r="422" spans="1:69" x14ac:dyDescent="0.25">
      <c r="A422">
        <f t="shared" si="319"/>
        <v>1040000</v>
      </c>
      <c r="B422">
        <f t="shared" si="351"/>
        <v>1040</v>
      </c>
      <c r="C422">
        <f t="shared" si="320"/>
        <v>8.6833305685228748</v>
      </c>
      <c r="D422">
        <f t="shared" si="321"/>
        <v>1.4553770512238471</v>
      </c>
      <c r="F422">
        <f t="shared" si="322"/>
        <v>2.3697252823376716E-5</v>
      </c>
      <c r="G422">
        <f t="shared" si="323"/>
        <v>1.6559557577400703E-3</v>
      </c>
      <c r="H422">
        <f t="shared" si="324"/>
        <v>-3.1399366942422602</v>
      </c>
      <c r="J422">
        <f t="shared" si="325"/>
        <v>15</v>
      </c>
      <c r="M422">
        <f t="shared" si="326"/>
        <v>1.4366384343298926E-3</v>
      </c>
      <c r="N422">
        <f t="shared" si="327"/>
        <v>-1.5707963250000001</v>
      </c>
      <c r="O422">
        <f t="shared" si="328"/>
        <v>265.96961632444783</v>
      </c>
      <c r="P422">
        <f t="shared" si="329"/>
        <v>1.56703648997637</v>
      </c>
      <c r="Q422">
        <f t="shared" si="330"/>
        <v>225.1096495664371</v>
      </c>
      <c r="R422">
        <f t="shared" si="331"/>
        <v>1.5663540326021339</v>
      </c>
      <c r="S422">
        <f t="shared" si="332"/>
        <v>0.11699965945181029</v>
      </c>
      <c r="T422">
        <f t="shared" si="333"/>
        <v>-1.4535280763376464</v>
      </c>
      <c r="U422">
        <f t="shared" si="334"/>
        <v>0.14932754591431868</v>
      </c>
      <c r="V422">
        <f t="shared" si="335"/>
        <v>-1.4209081682790925</v>
      </c>
      <c r="X422">
        <f t="shared" si="352"/>
        <v>-46.672525183611519</v>
      </c>
      <c r="Y422">
        <f t="shared" si="336"/>
        <v>-171.68117076228725</v>
      </c>
      <c r="Z422">
        <f t="shared" si="353"/>
        <v>8.3188292377127482</v>
      </c>
      <c r="AC422">
        <v>1</v>
      </c>
      <c r="AD422">
        <f t="shared" si="337"/>
        <v>265.96773640382401</v>
      </c>
      <c r="AE422">
        <f t="shared" si="338"/>
        <v>-0.20855634654151839</v>
      </c>
      <c r="AF422">
        <f t="shared" si="339"/>
        <v>3.1496351271840001E-2</v>
      </c>
      <c r="AG422">
        <f t="shared" si="315"/>
        <v>183.61129222983885</v>
      </c>
      <c r="AH422">
        <f t="shared" si="316"/>
        <v>-1247.5508655617932</v>
      </c>
      <c r="AJ422">
        <f t="shared" si="340"/>
        <v>22100</v>
      </c>
      <c r="AK422">
        <f t="shared" si="341"/>
        <v>187592.13748482481</v>
      </c>
      <c r="AL422">
        <v>1</v>
      </c>
      <c r="AM422">
        <f t="shared" si="342"/>
        <v>225.10742841568802</v>
      </c>
      <c r="AN422">
        <f t="shared" si="317"/>
        <v>833.76461763675559</v>
      </c>
      <c r="AO422">
        <f t="shared" si="318"/>
        <v>-94.471495374610981</v>
      </c>
      <c r="AQ422">
        <f t="shared" si="343"/>
        <v>2.3113899982918828E-3</v>
      </c>
      <c r="AR422">
        <f t="shared" si="344"/>
        <v>-4.8076911964471165</v>
      </c>
      <c r="AT422">
        <f t="shared" si="365"/>
        <v>-5997.4149161769801</v>
      </c>
      <c r="AU422">
        <f t="shared" si="366"/>
        <v>-885.62996981469507</v>
      </c>
      <c r="AV422">
        <f t="shared" si="354"/>
        <v>-2.994983562698788</v>
      </c>
      <c r="AW422">
        <f t="shared" si="355"/>
        <v>573.68181745553852</v>
      </c>
      <c r="AX422">
        <f t="shared" si="356"/>
        <v>-5607.923316114041</v>
      </c>
      <c r="AY422">
        <f t="shared" si="364"/>
        <v>-1.4688525109500477</v>
      </c>
      <c r="BA422">
        <f t="shared" si="345"/>
        <v>1.0754386149474104</v>
      </c>
      <c r="BB422">
        <f t="shared" si="357"/>
        <v>0.63171252598171301</v>
      </c>
      <c r="BC422">
        <f t="shared" si="358"/>
        <v>-1.5261310517487403</v>
      </c>
      <c r="BD422">
        <f t="shared" si="346"/>
        <v>-267.44086834898002</v>
      </c>
      <c r="BF422">
        <f t="shared" si="347"/>
        <v>-49.578775560011138</v>
      </c>
      <c r="BG422">
        <f t="shared" si="348"/>
        <v>-183.95902634228776</v>
      </c>
      <c r="BH422">
        <f t="shared" si="359"/>
        <v>-3.959026342287757</v>
      </c>
      <c r="BI422">
        <f t="shared" si="360"/>
        <v>-3.959026342287757</v>
      </c>
      <c r="BJ422">
        <f t="shared" si="349"/>
        <v>0</v>
      </c>
      <c r="BK422">
        <f t="shared" si="361"/>
        <v>0</v>
      </c>
      <c r="BM422">
        <f t="shared" si="362"/>
        <v>-50.21048808599285</v>
      </c>
      <c r="BN422">
        <f t="shared" si="350"/>
        <v>-96.518157993307739</v>
      </c>
      <c r="BQ422" s="56">
        <f t="shared" si="363"/>
        <v>17.53367332626685</v>
      </c>
    </row>
    <row r="423" spans="1:69" x14ac:dyDescent="0.25">
      <c r="A423">
        <f t="shared" si="319"/>
        <v>1045000</v>
      </c>
      <c r="B423">
        <f t="shared" si="351"/>
        <v>1045</v>
      </c>
      <c r="C423">
        <f t="shared" si="320"/>
        <v>8.7245249880293017</v>
      </c>
      <c r="D423">
        <f t="shared" si="321"/>
        <v>1.4559244397622393</v>
      </c>
      <c r="F423">
        <f t="shared" si="322"/>
        <v>2.3471022327124012E-5</v>
      </c>
      <c r="G423">
        <f t="shared" si="323"/>
        <v>1.6480321638104765E-3</v>
      </c>
      <c r="H423">
        <f t="shared" si="324"/>
        <v>-3.1399446178361896</v>
      </c>
      <c r="J423">
        <f t="shared" si="325"/>
        <v>15</v>
      </c>
      <c r="M423">
        <f t="shared" si="326"/>
        <v>1.4297645662230511E-3</v>
      </c>
      <c r="N423">
        <f t="shared" si="327"/>
        <v>-1.5707963250000001</v>
      </c>
      <c r="O423">
        <f t="shared" si="328"/>
        <v>267.24829837007843</v>
      </c>
      <c r="P423">
        <f t="shared" si="329"/>
        <v>1.5670544794578958</v>
      </c>
      <c r="Q423">
        <f t="shared" si="330"/>
        <v>226.19188619102417</v>
      </c>
      <c r="R423">
        <f t="shared" si="331"/>
        <v>1.5663752873206458</v>
      </c>
      <c r="S423">
        <f t="shared" si="332"/>
        <v>0.11644746145674921</v>
      </c>
      <c r="T423">
        <f t="shared" si="333"/>
        <v>-1.4540840749000936</v>
      </c>
      <c r="U423">
        <f t="shared" si="334"/>
        <v>0.14862888052898565</v>
      </c>
      <c r="V423">
        <f t="shared" si="335"/>
        <v>-1.4216147184416543</v>
      </c>
      <c r="X423">
        <f t="shared" si="352"/>
        <v>-46.754904217500709</v>
      </c>
      <c r="Y423">
        <f t="shared" si="336"/>
        <v>-171.72035188415919</v>
      </c>
      <c r="Z423">
        <f t="shared" si="353"/>
        <v>8.2796481158408142</v>
      </c>
      <c r="AC423">
        <v>1</v>
      </c>
      <c r="AD423">
        <f t="shared" si="337"/>
        <v>267.24642744422698</v>
      </c>
      <c r="AE423">
        <f t="shared" si="338"/>
        <v>-0.21056651657914352</v>
      </c>
      <c r="AF423">
        <f t="shared" si="339"/>
        <v>3.1647776037569998E-2</v>
      </c>
      <c r="AG423">
        <f t="shared" si="315"/>
        <v>181.89717107255009</v>
      </c>
      <c r="AH423">
        <f t="shared" si="316"/>
        <v>-1241.8393520508844</v>
      </c>
      <c r="AJ423">
        <f t="shared" si="340"/>
        <v>22100</v>
      </c>
      <c r="AK423">
        <f t="shared" si="341"/>
        <v>188494.02276119418</v>
      </c>
      <c r="AL423">
        <v>1</v>
      </c>
      <c r="AM423">
        <f t="shared" si="342"/>
        <v>226.18967566768654</v>
      </c>
      <c r="AN423">
        <f t="shared" si="317"/>
        <v>833.76061131378333</v>
      </c>
      <c r="AO423">
        <f t="shared" si="318"/>
        <v>-94.019496362557945</v>
      </c>
      <c r="AQ423">
        <f t="shared" si="343"/>
        <v>2.2893243539927307E-3</v>
      </c>
      <c r="AR423">
        <f t="shared" si="344"/>
        <v>-4.7846878998448066</v>
      </c>
      <c r="AT423">
        <f t="shared" si="365"/>
        <v>-5941.3972996853227</v>
      </c>
      <c r="AU423">
        <f t="shared" si="366"/>
        <v>-873.16416651922782</v>
      </c>
      <c r="AV423">
        <f t="shared" si="354"/>
        <v>-2.9956744237105424</v>
      </c>
      <c r="AW423">
        <f t="shared" si="355"/>
        <v>576.20109219696269</v>
      </c>
      <c r="AX423">
        <f t="shared" si="356"/>
        <v>-5581.3393965133801</v>
      </c>
      <c r="AY423">
        <f t="shared" si="364"/>
        <v>-1.4679236983389032</v>
      </c>
      <c r="BA423">
        <f t="shared" si="345"/>
        <v>1.0702570686789314</v>
      </c>
      <c r="BB423">
        <f t="shared" si="357"/>
        <v>0.58976209762269283</v>
      </c>
      <c r="BC423">
        <f t="shared" si="358"/>
        <v>-1.5277507253716391</v>
      </c>
      <c r="BD423">
        <f t="shared" si="346"/>
        <v>-267.53366881186685</v>
      </c>
      <c r="BF423">
        <f t="shared" si="347"/>
        <v>-49.662936772777719</v>
      </c>
      <c r="BG423">
        <f t="shared" si="348"/>
        <v>-184.02091774062626</v>
      </c>
      <c r="BH423">
        <f t="shared" si="359"/>
        <v>-4.0209177406262597</v>
      </c>
      <c r="BI423">
        <f t="shared" si="360"/>
        <v>-4.0209177406262597</v>
      </c>
      <c r="BJ423">
        <f t="shared" si="349"/>
        <v>0</v>
      </c>
      <c r="BK423">
        <f t="shared" si="361"/>
        <v>0</v>
      </c>
      <c r="BM423">
        <f t="shared" si="362"/>
        <v>-50.252698870400408</v>
      </c>
      <c r="BN423">
        <f t="shared" si="350"/>
        <v>-96.487248928759442</v>
      </c>
      <c r="BQ423" s="56">
        <f t="shared" si="363"/>
        <v>17.491722897907827</v>
      </c>
    </row>
    <row r="424" spans="1:69" x14ac:dyDescent="0.25">
      <c r="A424">
        <f t="shared" si="319"/>
        <v>1050000</v>
      </c>
      <c r="B424">
        <f t="shared" si="351"/>
        <v>1050</v>
      </c>
      <c r="C424">
        <f t="shared" si="320"/>
        <v>8.7657219971309495</v>
      </c>
      <c r="D424">
        <f t="shared" si="321"/>
        <v>1.4564666832449091</v>
      </c>
      <c r="F424">
        <f t="shared" si="322"/>
        <v>2.3248016089010764E-5</v>
      </c>
      <c r="G424">
        <f t="shared" si="323"/>
        <v>1.6401840377955937E-3</v>
      </c>
      <c r="H424">
        <f t="shared" si="324"/>
        <v>-3.1399524659622045</v>
      </c>
      <c r="J424">
        <f t="shared" si="325"/>
        <v>15</v>
      </c>
      <c r="M424">
        <f t="shared" si="326"/>
        <v>1.4229561635267507E-3</v>
      </c>
      <c r="N424">
        <f t="shared" si="327"/>
        <v>-1.5707963250000001</v>
      </c>
      <c r="O424">
        <f t="shared" si="328"/>
        <v>268.52698050137263</v>
      </c>
      <c r="P424">
        <f t="shared" si="329"/>
        <v>1.5670722976134137</v>
      </c>
      <c r="Q424">
        <f t="shared" si="330"/>
        <v>227.27412291682319</v>
      </c>
      <c r="R424">
        <f t="shared" si="331"/>
        <v>1.5663963396172049</v>
      </c>
      <c r="S424">
        <f t="shared" si="332"/>
        <v>0.11590041601895638</v>
      </c>
      <c r="T424">
        <f t="shared" si="333"/>
        <v>-1.4546348497051949</v>
      </c>
      <c r="U424">
        <f t="shared" si="334"/>
        <v>0.147936649627503</v>
      </c>
      <c r="V424">
        <f t="shared" si="335"/>
        <v>-1.4223146875132811</v>
      </c>
      <c r="X424">
        <f t="shared" si="352"/>
        <v>-46.836898735715529</v>
      </c>
      <c r="Y424">
        <f t="shared" si="336"/>
        <v>-171.75916851821239</v>
      </c>
      <c r="Z424">
        <f t="shared" si="353"/>
        <v>8.2408314817876089</v>
      </c>
      <c r="AC424">
        <v>1</v>
      </c>
      <c r="AD424">
        <f t="shared" si="337"/>
        <v>268.52511848463001</v>
      </c>
      <c r="AE424">
        <f t="shared" si="338"/>
        <v>-0.21258632772006661</v>
      </c>
      <c r="AF424">
        <f t="shared" si="339"/>
        <v>3.1799200803300003E-2</v>
      </c>
      <c r="AG424">
        <f t="shared" ref="AG424:AG487" si="367">AC424*AE424/(AE424^2+AF424^2)+AD424*AF424/(AE424^2+AF424^2)</f>
        <v>180.20676445027379</v>
      </c>
      <c r="AH424">
        <f t="shared" ref="AH424:AH487" si="368">AD424*AE424/(AE424^2+AF424^2)-AC424*AF424/(AE424^2+AF424^2)</f>
        <v>-1236.1786866265948</v>
      </c>
      <c r="AJ424">
        <f t="shared" si="340"/>
        <v>22100</v>
      </c>
      <c r="AK424">
        <f t="shared" si="341"/>
        <v>189395.90803756352</v>
      </c>
      <c r="AL424">
        <v>1</v>
      </c>
      <c r="AM424">
        <f t="shared" si="342"/>
        <v>227.27192291968501</v>
      </c>
      <c r="AN424">
        <f t="shared" ref="AN424:AN487" si="369">AJ424*AL424/(AL424^2+AM424^2)+AK424*AM424/(AL424^2+AM424^2)</f>
        <v>833.75666208614109</v>
      </c>
      <c r="AO424">
        <f t="shared" ref="AO424:AO487" si="370">AK424*AL424/(AL424^2+AM424^2)-AJ424*AM424/(AL424^2+AM424^2)</f>
        <v>-93.571801851780336</v>
      </c>
      <c r="AQ424">
        <f t="shared" si="343"/>
        <v>2.2675731819561946E-3</v>
      </c>
      <c r="AR424">
        <f t="shared" si="344"/>
        <v>-4.7619036821080085</v>
      </c>
      <c r="AT424">
        <f t="shared" si="365"/>
        <v>-5886.1552075643485</v>
      </c>
      <c r="AU424">
        <f t="shared" si="366"/>
        <v>-860.93038081442967</v>
      </c>
      <c r="AV424">
        <f t="shared" si="354"/>
        <v>-2.9963588530494634</v>
      </c>
      <c r="AW424">
        <f t="shared" si="355"/>
        <v>578.68371747070569</v>
      </c>
      <c r="AX424">
        <f t="shared" si="356"/>
        <v>-5555.0052477642175</v>
      </c>
      <c r="AY424">
        <f t="shared" si="364"/>
        <v>-1.4669973370766702</v>
      </c>
      <c r="BA424">
        <f t="shared" si="345"/>
        <v>1.0651232795873879</v>
      </c>
      <c r="BB424">
        <f t="shared" si="357"/>
        <v>0.5479975366410339</v>
      </c>
      <c r="BC424">
        <f t="shared" si="358"/>
        <v>-1.5293615159727931</v>
      </c>
      <c r="BD424">
        <f t="shared" si="346"/>
        <v>-267.6259603150977</v>
      </c>
      <c r="BF424">
        <f t="shared" si="347"/>
        <v>-49.746705472288824</v>
      </c>
      <c r="BG424">
        <f t="shared" si="348"/>
        <v>-184.08259064529449</v>
      </c>
      <c r="BH424">
        <f t="shared" si="359"/>
        <v>-4.0825906452944878</v>
      </c>
      <c r="BI424">
        <f t="shared" si="360"/>
        <v>-4.0825906452944878</v>
      </c>
      <c r="BJ424">
        <f t="shared" si="349"/>
        <v>0</v>
      </c>
      <c r="BK424">
        <f t="shared" si="361"/>
        <v>0</v>
      </c>
      <c r="BM424">
        <f t="shared" si="362"/>
        <v>-50.294703008929858</v>
      </c>
      <c r="BN424">
        <f t="shared" si="350"/>
        <v>-96.456630330196745</v>
      </c>
      <c r="BQ424" s="56">
        <f t="shared" si="363"/>
        <v>17.449958336926169</v>
      </c>
    </row>
    <row r="425" spans="1:69" x14ac:dyDescent="0.25">
      <c r="A425">
        <f t="shared" si="319"/>
        <v>1055000</v>
      </c>
      <c r="B425">
        <f t="shared" si="351"/>
        <v>1055</v>
      </c>
      <c r="C425">
        <f t="shared" si="320"/>
        <v>8.8069215594869998</v>
      </c>
      <c r="D425">
        <f t="shared" si="321"/>
        <v>1.4570038535578131</v>
      </c>
      <c r="F425">
        <f t="shared" si="322"/>
        <v>2.3028173128503714E-5</v>
      </c>
      <c r="G425">
        <f t="shared" si="323"/>
        <v>1.6324103065956069E-3</v>
      </c>
      <c r="H425">
        <f t="shared" si="324"/>
        <v>-3.1399602396934045</v>
      </c>
      <c r="J425">
        <f t="shared" si="325"/>
        <v>15</v>
      </c>
      <c r="M425">
        <f t="shared" si="326"/>
        <v>1.4162122954531643E-3</v>
      </c>
      <c r="N425">
        <f t="shared" si="327"/>
        <v>-1.5707963250000001</v>
      </c>
      <c r="O425">
        <f t="shared" si="328"/>
        <v>269.80566271711251</v>
      </c>
      <c r="P425">
        <f t="shared" si="329"/>
        <v>1.5670899468787931</v>
      </c>
      <c r="Q425">
        <f t="shared" si="330"/>
        <v>228.35635974239517</v>
      </c>
      <c r="R425">
        <f t="shared" si="331"/>
        <v>1.5664171923697743</v>
      </c>
      <c r="S425">
        <f t="shared" si="332"/>
        <v>0.11535845184990685</v>
      </c>
      <c r="T425">
        <f t="shared" si="333"/>
        <v>-1.4551804736971632</v>
      </c>
      <c r="U425">
        <f t="shared" si="334"/>
        <v>0.14725076574288509</v>
      </c>
      <c r="V425">
        <f t="shared" si="335"/>
        <v>-1.4230081663396783</v>
      </c>
      <c r="X425">
        <f t="shared" si="352"/>
        <v>-46.918512272090915</v>
      </c>
      <c r="Y425">
        <f t="shared" si="336"/>
        <v>-171.79762568717996</v>
      </c>
      <c r="Z425">
        <f t="shared" si="353"/>
        <v>8.2023743128200408</v>
      </c>
      <c r="AC425">
        <v>1</v>
      </c>
      <c r="AD425">
        <f t="shared" si="337"/>
        <v>269.80380952503299</v>
      </c>
      <c r="AE425">
        <f t="shared" si="338"/>
        <v>-0.21461577996428763</v>
      </c>
      <c r="AF425">
        <f t="shared" si="339"/>
        <v>3.195062556903E-2</v>
      </c>
      <c r="AG425">
        <f t="shared" si="367"/>
        <v>178.53964020063196</v>
      </c>
      <c r="AH425">
        <f t="shared" si="368"/>
        <v>-1230.5682106679189</v>
      </c>
      <c r="AJ425">
        <f t="shared" si="340"/>
        <v>22100</v>
      </c>
      <c r="AK425">
        <f t="shared" si="341"/>
        <v>190297.79331393287</v>
      </c>
      <c r="AL425">
        <v>1</v>
      </c>
      <c r="AM425">
        <f t="shared" si="342"/>
        <v>228.35417017168353</v>
      </c>
      <c r="AN425">
        <f t="shared" si="369"/>
        <v>833.75276887405573</v>
      </c>
      <c r="AO425">
        <f t="shared" si="370"/>
        <v>-93.12835064556667</v>
      </c>
      <c r="AQ425">
        <f t="shared" si="343"/>
        <v>2.2461305347744806E-3</v>
      </c>
      <c r="AR425">
        <f t="shared" si="344"/>
        <v>-4.7393354283741544</v>
      </c>
      <c r="AT425">
        <f t="shared" si="365"/>
        <v>-5831.6744945119362</v>
      </c>
      <c r="AU425">
        <f t="shared" si="366"/>
        <v>-848.92325900513356</v>
      </c>
      <c r="AV425">
        <f t="shared" si="354"/>
        <v>-2.9970369394368732</v>
      </c>
      <c r="AW425">
        <f t="shared" si="355"/>
        <v>581.13040344782883</v>
      </c>
      <c r="AX425">
        <f t="shared" si="356"/>
        <v>-5528.9173802517907</v>
      </c>
      <c r="AY425">
        <f t="shared" si="364"/>
        <v>-1.4660733927199567</v>
      </c>
      <c r="BA425">
        <f t="shared" si="345"/>
        <v>1.0600365896182016</v>
      </c>
      <c r="BB425">
        <f t="shared" si="357"/>
        <v>0.50641712406946349</v>
      </c>
      <c r="BC425">
        <f t="shared" si="358"/>
        <v>-1.5309635467169165</v>
      </c>
      <c r="BD425">
        <f t="shared" si="346"/>
        <v>-267.71774991549108</v>
      </c>
      <c r="BF425">
        <f t="shared" si="347"/>
        <v>-49.830085412683964</v>
      </c>
      <c r="BG425">
        <f t="shared" si="348"/>
        <v>-184.14404805583288</v>
      </c>
      <c r="BH425">
        <f t="shared" si="359"/>
        <v>-4.1440480558328829</v>
      </c>
      <c r="BI425">
        <f t="shared" si="360"/>
        <v>-4.1440480558328829</v>
      </c>
      <c r="BJ425">
        <f t="shared" si="349"/>
        <v>0</v>
      </c>
      <c r="BK425">
        <f t="shared" si="361"/>
        <v>0</v>
      </c>
      <c r="BM425">
        <f t="shared" si="362"/>
        <v>-50.336502536753429</v>
      </c>
      <c r="BN425">
        <f t="shared" si="350"/>
        <v>-96.426298140341785</v>
      </c>
      <c r="BQ425" s="56">
        <f t="shared" si="363"/>
        <v>17.4083779243546</v>
      </c>
    </row>
    <row r="426" spans="1:69" x14ac:dyDescent="0.25">
      <c r="A426">
        <f t="shared" si="319"/>
        <v>1060000</v>
      </c>
      <c r="B426">
        <f t="shared" si="351"/>
        <v>1060</v>
      </c>
      <c r="C426">
        <f t="shared" si="320"/>
        <v>8.848123639431261</v>
      </c>
      <c r="D426">
        <f t="shared" si="321"/>
        <v>1.4575360212597703</v>
      </c>
      <c r="F426">
        <f t="shared" si="322"/>
        <v>2.2811433899952113E-5</v>
      </c>
      <c r="G426">
        <f t="shared" si="323"/>
        <v>1.6247099173601212E-3</v>
      </c>
      <c r="H426">
        <f t="shared" si="324"/>
        <v>-3.1399679400826401</v>
      </c>
      <c r="J426">
        <f t="shared" si="325"/>
        <v>15</v>
      </c>
      <c r="M426">
        <f t="shared" si="326"/>
        <v>1.4095320487764985E-3</v>
      </c>
      <c r="N426">
        <f t="shared" si="327"/>
        <v>-1.5707963250000001</v>
      </c>
      <c r="O426">
        <f t="shared" si="328"/>
        <v>271.08434501610304</v>
      </c>
      <c r="P426">
        <f t="shared" si="329"/>
        <v>1.5671074296439458</v>
      </c>
      <c r="Q426">
        <f t="shared" si="330"/>
        <v>229.43859666632827</v>
      </c>
      <c r="R426">
        <f t="shared" si="331"/>
        <v>1.5664378484020176</v>
      </c>
      <c r="S426">
        <f t="shared" si="332"/>
        <v>0.11482149896091497</v>
      </c>
      <c r="T426">
        <f t="shared" si="333"/>
        <v>-1.4557210184744915</v>
      </c>
      <c r="U426">
        <f t="shared" si="334"/>
        <v>0.14657114296741941</v>
      </c>
      <c r="V426">
        <f t="shared" si="335"/>
        <v>-1.4236952441146244</v>
      </c>
      <c r="X426">
        <f t="shared" si="352"/>
        <v>-46.999748312498951</v>
      </c>
      <c r="Y426">
        <f t="shared" si="336"/>
        <v>-171.83572832266589</v>
      </c>
      <c r="Z426">
        <f t="shared" si="353"/>
        <v>8.1642716773341135</v>
      </c>
      <c r="AC426">
        <v>1</v>
      </c>
      <c r="AD426">
        <f t="shared" si="337"/>
        <v>271.08250056543602</v>
      </c>
      <c r="AE426">
        <f t="shared" si="338"/>
        <v>-0.21665487331180666</v>
      </c>
      <c r="AF426">
        <f t="shared" si="339"/>
        <v>3.2102050334759998E-2</v>
      </c>
      <c r="AG426">
        <f t="shared" si="367"/>
        <v>176.89537588554856</v>
      </c>
      <c r="AH426">
        <f t="shared" si="368"/>
        <v>-1225.0072765398006</v>
      </c>
      <c r="AJ426">
        <f t="shared" si="340"/>
        <v>22100</v>
      </c>
      <c r="AK426">
        <f t="shared" si="341"/>
        <v>191199.67859030221</v>
      </c>
      <c r="AL426">
        <v>1</v>
      </c>
      <c r="AM426">
        <f t="shared" si="342"/>
        <v>229.43641742368203</v>
      </c>
      <c r="AN426">
        <f t="shared" si="369"/>
        <v>833.74893062316039</v>
      </c>
      <c r="AO426">
        <f t="shared" si="370"/>
        <v>-92.689082701749754</v>
      </c>
      <c r="AQ426">
        <f t="shared" si="343"/>
        <v>2.2249906049771704E-3</v>
      </c>
      <c r="AR426">
        <f t="shared" si="344"/>
        <v>-4.7169800825516015</v>
      </c>
      <c r="AT426">
        <f t="shared" si="365"/>
        <v>-5777.9413338696122</v>
      </c>
      <c r="AU426">
        <f t="shared" si="366"/>
        <v>-837.13759442894116</v>
      </c>
      <c r="AV426">
        <f t="shared" si="354"/>
        <v>-2.9977087699822484</v>
      </c>
      <c r="AW426">
        <f t="shared" si="355"/>
        <v>583.54184312634607</v>
      </c>
      <c r="AX426">
        <f t="shared" si="356"/>
        <v>-5503.0723688287017</v>
      </c>
      <c r="AY426">
        <f t="shared" si="364"/>
        <v>-1.4651518315384557</v>
      </c>
      <c r="BA426">
        <f t="shared" si="345"/>
        <v>1.0549963526560144</v>
      </c>
      <c r="BB426">
        <f t="shared" si="357"/>
        <v>0.46501916378124974</v>
      </c>
      <c r="BC426">
        <f t="shared" si="358"/>
        <v>-1.5325569384437927</v>
      </c>
      <c r="BD426">
        <f t="shared" si="346"/>
        <v>-267.80904453665647</v>
      </c>
      <c r="BF426">
        <f t="shared" si="347"/>
        <v>-49.91308029507519</v>
      </c>
      <c r="BG426">
        <f t="shared" si="348"/>
        <v>-184.20529291345241</v>
      </c>
      <c r="BH426">
        <f t="shared" si="359"/>
        <v>-4.2052929134524106</v>
      </c>
      <c r="BI426">
        <f t="shared" si="360"/>
        <v>-4.2052929134524106</v>
      </c>
      <c r="BJ426">
        <f t="shared" si="349"/>
        <v>0</v>
      </c>
      <c r="BK426">
        <f t="shared" si="361"/>
        <v>0</v>
      </c>
      <c r="BM426">
        <f t="shared" si="362"/>
        <v>-50.37809945885644</v>
      </c>
      <c r="BN426">
        <f t="shared" si="350"/>
        <v>-96.396248376795938</v>
      </c>
      <c r="BQ426" s="56">
        <f t="shared" si="363"/>
        <v>17.366979964066388</v>
      </c>
    </row>
    <row r="427" spans="1:69" x14ac:dyDescent="0.25">
      <c r="A427">
        <f t="shared" si="319"/>
        <v>1065000</v>
      </c>
      <c r="B427">
        <f t="shared" si="351"/>
        <v>1065</v>
      </c>
      <c r="C427">
        <f t="shared" si="320"/>
        <v>8.88932820195663</v>
      </c>
      <c r="D427">
        <f t="shared" si="321"/>
        <v>1.4580632556128137</v>
      </c>
      <c r="F427">
        <f t="shared" si="322"/>
        <v>2.2597740252261629E-5</v>
      </c>
      <c r="G427">
        <f t="shared" si="323"/>
        <v>1.6170818370127623E-3</v>
      </c>
      <c r="H427">
        <f t="shared" si="324"/>
        <v>-3.1399755681629875</v>
      </c>
      <c r="J427">
        <f t="shared" si="325"/>
        <v>15</v>
      </c>
      <c r="M427">
        <f t="shared" si="326"/>
        <v>1.4029145274207402E-3</v>
      </c>
      <c r="N427">
        <f t="shared" si="327"/>
        <v>-1.5707963250000001</v>
      </c>
      <c r="O427">
        <f t="shared" si="328"/>
        <v>272.36302739717178</v>
      </c>
      <c r="P427">
        <f t="shared" si="329"/>
        <v>1.5671247482539024</v>
      </c>
      <c r="Q427">
        <f t="shared" si="330"/>
        <v>230.52083368723717</v>
      </c>
      <c r="R427">
        <f t="shared" si="331"/>
        <v>1.5664583104845737</v>
      </c>
      <c r="S427">
        <f t="shared" si="332"/>
        <v>0.11428948863385742</v>
      </c>
      <c r="T427">
        <f t="shared" si="333"/>
        <v>-1.4562565543207029</v>
      </c>
      <c r="U427">
        <f t="shared" si="334"/>
        <v>0.14589769691851406</v>
      </c>
      <c r="V427">
        <f t="shared" si="335"/>
        <v>-1.4243760084170614</v>
      </c>
      <c r="X427">
        <f t="shared" si="352"/>
        <v>-47.080610295703323</v>
      </c>
      <c r="Y427">
        <f t="shared" si="336"/>
        <v>-171.87348126718564</v>
      </c>
      <c r="Z427">
        <f t="shared" si="353"/>
        <v>8.1265187328143611</v>
      </c>
      <c r="AC427">
        <v>1</v>
      </c>
      <c r="AD427">
        <f t="shared" si="337"/>
        <v>272.361191605839</v>
      </c>
      <c r="AE427">
        <f t="shared" si="338"/>
        <v>-0.21870360776262363</v>
      </c>
      <c r="AF427">
        <f t="shared" si="339"/>
        <v>3.2253475100490002E-2</v>
      </c>
      <c r="AG427">
        <f t="shared" si="367"/>
        <v>175.27355853193106</v>
      </c>
      <c r="AH427">
        <f t="shared" si="368"/>
        <v>-1219.4952473734884</v>
      </c>
      <c r="AJ427">
        <f t="shared" si="340"/>
        <v>22100</v>
      </c>
      <c r="AK427">
        <f t="shared" si="341"/>
        <v>192101.56386667158</v>
      </c>
      <c r="AL427">
        <v>1</v>
      </c>
      <c r="AM427">
        <f t="shared" si="342"/>
        <v>230.51866467568055</v>
      </c>
      <c r="AN427">
        <f t="shared" si="369"/>
        <v>833.74514630377951</v>
      </c>
      <c r="AO427">
        <f t="shared" si="370"/>
        <v>-92.253939105607628</v>
      </c>
      <c r="AQ427">
        <f t="shared" si="343"/>
        <v>2.2041477210986088E-3</v>
      </c>
      <c r="AR427">
        <f t="shared" si="344"/>
        <v>-4.6948346459400367</v>
      </c>
      <c r="AT427">
        <f t="shared" si="365"/>
        <v>-5724.9422091136621</v>
      </c>
      <c r="AU427">
        <f t="shared" si="366"/>
        <v>-825.56832278329773</v>
      </c>
      <c r="AV427">
        <f t="shared" si="354"/>
        <v>-2.9983744302193709</v>
      </c>
      <c r="AW427">
        <f t="shared" si="355"/>
        <v>585.91871282839463</v>
      </c>
      <c r="AX427">
        <f t="shared" si="356"/>
        <v>-5477.4668513378801</v>
      </c>
      <c r="AY427">
        <f t="shared" si="364"/>
        <v>-1.4642326204968021</v>
      </c>
      <c r="BA427">
        <f t="shared" si="345"/>
        <v>1.0500019342577913</v>
      </c>
      <c r="BB427">
        <f t="shared" si="357"/>
        <v>0.42380198209803022</v>
      </c>
      <c r="BC427">
        <f t="shared" si="358"/>
        <v>-1.5341418097225688</v>
      </c>
      <c r="BD427">
        <f t="shared" si="346"/>
        <v>-267.89985097210558</v>
      </c>
      <c r="BF427">
        <f t="shared" si="347"/>
        <v>-49.995693768537507</v>
      </c>
      <c r="BG427">
        <f t="shared" si="348"/>
        <v>-184.26632810243353</v>
      </c>
      <c r="BH427">
        <f t="shared" si="359"/>
        <v>-4.2663281024335333</v>
      </c>
      <c r="BI427">
        <f t="shared" si="360"/>
        <v>-4.2663281024335333</v>
      </c>
      <c r="BJ427">
        <f t="shared" si="349"/>
        <v>0</v>
      </c>
      <c r="BK427">
        <f t="shared" si="361"/>
        <v>0</v>
      </c>
      <c r="BM427">
        <f t="shared" si="362"/>
        <v>-50.419495750635541</v>
      </c>
      <c r="BN427">
        <f t="shared" si="350"/>
        <v>-96.366477130327922</v>
      </c>
      <c r="BQ427" s="56">
        <f t="shared" si="363"/>
        <v>17.325762782383165</v>
      </c>
    </row>
    <row r="428" spans="1:69" x14ac:dyDescent="0.25">
      <c r="A428">
        <f t="shared" ref="A428:A433" si="371">A427+5000</f>
        <v>1070000</v>
      </c>
      <c r="B428">
        <f t="shared" si="351"/>
        <v>1070</v>
      </c>
      <c r="C428">
        <f t="shared" si="320"/>
        <v>8.9305352126999935</v>
      </c>
      <c r="D428">
        <f t="shared" si="321"/>
        <v>1.458585624611715</v>
      </c>
      <c r="F428">
        <f t="shared" si="322"/>
        <v>2.2387035389884346E-5</v>
      </c>
      <c r="G428">
        <f t="shared" si="323"/>
        <v>1.609525051789105E-3</v>
      </c>
      <c r="H428">
        <f t="shared" si="324"/>
        <v>-3.1399831249482113</v>
      </c>
      <c r="J428">
        <f t="shared" si="325"/>
        <v>15</v>
      </c>
      <c r="M428">
        <f t="shared" si="326"/>
        <v>1.396358852058961E-3</v>
      </c>
      <c r="N428">
        <f t="shared" si="327"/>
        <v>-1.5707963250000001</v>
      </c>
      <c r="O428">
        <f t="shared" si="328"/>
        <v>273.64170985916797</v>
      </c>
      <c r="P428">
        <f t="shared" si="329"/>
        <v>1.5671419050098629</v>
      </c>
      <c r="Q428">
        <f t="shared" si="330"/>
        <v>231.60307080376234</v>
      </c>
      <c r="R428">
        <f t="shared" si="331"/>
        <v>1.5664785813362954</v>
      </c>
      <c r="S428">
        <f t="shared" si="332"/>
        <v>0.11376235339267808</v>
      </c>
      <c r="T428">
        <f t="shared" si="333"/>
        <v>-1.4567871502342644</v>
      </c>
      <c r="U428">
        <f t="shared" si="334"/>
        <v>0.14523034470542706</v>
      </c>
      <c r="V428">
        <f t="shared" si="335"/>
        <v>-1.4250505452471998</v>
      </c>
      <c r="X428">
        <f t="shared" si="352"/>
        <v>-47.161101614195218</v>
      </c>
      <c r="Y428">
        <f t="shared" si="336"/>
        <v>-171.91088927615243</v>
      </c>
      <c r="Z428">
        <f t="shared" si="353"/>
        <v>8.0891107238475684</v>
      </c>
      <c r="AC428">
        <v>1</v>
      </c>
      <c r="AD428">
        <f t="shared" si="337"/>
        <v>273.63988264624197</v>
      </c>
      <c r="AE428">
        <f t="shared" si="338"/>
        <v>-0.22076198331673857</v>
      </c>
      <c r="AF428">
        <f t="shared" si="339"/>
        <v>3.2404899866219999E-2</v>
      </c>
      <c r="AG428">
        <f t="shared" si="367"/>
        <v>173.67378438031707</v>
      </c>
      <c r="AH428">
        <f t="shared" si="368"/>
        <v>-1214.0314968518819</v>
      </c>
      <c r="AJ428">
        <f t="shared" si="340"/>
        <v>22100</v>
      </c>
      <c r="AK428">
        <f t="shared" si="341"/>
        <v>193003.44914304093</v>
      </c>
      <c r="AL428">
        <v>1</v>
      </c>
      <c r="AM428">
        <f t="shared" si="342"/>
        <v>231.60091192767902</v>
      </c>
      <c r="AN428">
        <f t="shared" si="369"/>
        <v>833.74141491023772</v>
      </c>
      <c r="AO428">
        <f t="shared" si="370"/>
        <v>-91.822862043524609</v>
      </c>
      <c r="AQ428">
        <f t="shared" si="343"/>
        <v>2.1835963438736256E-3</v>
      </c>
      <c r="AR428">
        <f t="shared" si="344"/>
        <v>-4.6728961758895586</v>
      </c>
      <c r="AT428">
        <f t="shared" si="365"/>
        <v>-5672.6639056080357</v>
      </c>
      <c r="AU428">
        <f t="shared" si="366"/>
        <v>-814.21051762092463</v>
      </c>
      <c r="AV428">
        <f t="shared" si="354"/>
        <v>-2.9990340041415164</v>
      </c>
      <c r="AW428">
        <f t="shared" si="355"/>
        <v>588.26167268066217</v>
      </c>
      <c r="AX428">
        <f t="shared" si="356"/>
        <v>-5452.0975271758698</v>
      </c>
      <c r="AY428">
        <f t="shared" si="364"/>
        <v>-1.4633157272369768</v>
      </c>
      <c r="BA428">
        <f t="shared" si="345"/>
        <v>1.0450527113929666</v>
      </c>
      <c r="BB428">
        <f t="shared" si="357"/>
        <v>0.38276392740572085</v>
      </c>
      <c r="BC428">
        <f t="shared" si="358"/>
        <v>-1.5357182769045397</v>
      </c>
      <c r="BD428">
        <f t="shared" si="346"/>
        <v>-267.99017588827667</v>
      </c>
      <c r="BF428">
        <f t="shared" si="347"/>
        <v>-50.077929431076413</v>
      </c>
      <c r="BG428">
        <f t="shared" si="348"/>
        <v>-184.32715645148531</v>
      </c>
      <c r="BH428">
        <f t="shared" si="359"/>
        <v>-4.3271564514853083</v>
      </c>
      <c r="BI428">
        <f t="shared" si="360"/>
        <v>-4.3271564514853083</v>
      </c>
      <c r="BJ428">
        <f t="shared" si="349"/>
        <v>0</v>
      </c>
      <c r="BK428">
        <f t="shared" si="361"/>
        <v>0</v>
      </c>
      <c r="BM428">
        <f t="shared" si="362"/>
        <v>-50.460693358482132</v>
      </c>
      <c r="BN428">
        <f t="shared" si="350"/>
        <v>-96.336980563208698</v>
      </c>
      <c r="BQ428" s="56">
        <f t="shared" si="363"/>
        <v>17.284724727690858</v>
      </c>
    </row>
    <row r="429" spans="1:69" x14ac:dyDescent="0.25">
      <c r="A429">
        <f t="shared" si="371"/>
        <v>1075000</v>
      </c>
      <c r="B429">
        <f t="shared" si="351"/>
        <v>1075</v>
      </c>
      <c r="C429">
        <f t="shared" si="320"/>
        <v>8.9717446379275305</v>
      </c>
      <c r="D429">
        <f t="shared" si="321"/>
        <v>1.4591031950127127</v>
      </c>
      <c r="F429">
        <f t="shared" si="322"/>
        <v>2.2179263835075924E-5</v>
      </c>
      <c r="G429">
        <f t="shared" si="323"/>
        <v>1.6020385667874996E-3</v>
      </c>
      <c r="H429">
        <f t="shared" si="324"/>
        <v>-3.1399906114332126</v>
      </c>
      <c r="J429">
        <f t="shared" si="325"/>
        <v>15</v>
      </c>
      <c r="M429">
        <f t="shared" si="326"/>
        <v>1.3898641597238032E-3</v>
      </c>
      <c r="N429">
        <f t="shared" si="327"/>
        <v>-1.5707963250000001</v>
      </c>
      <c r="O429">
        <f t="shared" si="328"/>
        <v>274.92039240096256</v>
      </c>
      <c r="P429">
        <f t="shared" si="329"/>
        <v>1.567158902170215</v>
      </c>
      <c r="Q429">
        <f t="shared" si="330"/>
        <v>232.68530801456967</v>
      </c>
      <c r="R429">
        <f t="shared" si="331"/>
        <v>1.5664986636254534</v>
      </c>
      <c r="S429">
        <f t="shared" si="332"/>
        <v>0.11324002697565061</v>
      </c>
      <c r="T429">
        <f t="shared" si="333"/>
        <v>-1.457312873957693</v>
      </c>
      <c r="U429">
        <f t="shared" si="334"/>
        <v>0.14456900489685062</v>
      </c>
      <c r="V429">
        <f t="shared" si="335"/>
        <v>-1.4257189390616667</v>
      </c>
      <c r="X429">
        <f t="shared" si="352"/>
        <v>-47.241225615010698</v>
      </c>
      <c r="Y429">
        <f t="shared" si="336"/>
        <v>-171.94795701981107</v>
      </c>
      <c r="Z429">
        <f t="shared" si="353"/>
        <v>8.0520429801889293</v>
      </c>
      <c r="AC429">
        <v>1</v>
      </c>
      <c r="AD429">
        <f t="shared" si="337"/>
        <v>274.918573686645</v>
      </c>
      <c r="AE429">
        <f t="shared" si="338"/>
        <v>-0.22282999997415145</v>
      </c>
      <c r="AF429">
        <f t="shared" si="339"/>
        <v>3.2556324631949997E-2</v>
      </c>
      <c r="AG429">
        <f t="shared" si="367"/>
        <v>172.09565864121157</v>
      </c>
      <c r="AH429">
        <f t="shared" si="368"/>
        <v>-1208.615408999746</v>
      </c>
      <c r="AJ429">
        <f t="shared" si="340"/>
        <v>22100</v>
      </c>
      <c r="AK429">
        <f t="shared" si="341"/>
        <v>193905.33441941027</v>
      </c>
      <c r="AL429">
        <v>1</v>
      </c>
      <c r="AM429">
        <f t="shared" si="342"/>
        <v>232.68315917967755</v>
      </c>
      <c r="AN429">
        <f t="shared" si="369"/>
        <v>833.73773546019163</v>
      </c>
      <c r="AO429">
        <f t="shared" si="370"/>
        <v>-91.395794777386698</v>
      </c>
      <c r="AQ429">
        <f t="shared" si="343"/>
        <v>2.1633310625568279E-3</v>
      </c>
      <c r="AR429">
        <f t="shared" si="344"/>
        <v>-4.6511617844971802</v>
      </c>
      <c r="AT429">
        <f t="shared" si="365"/>
        <v>-5621.0935026099787</v>
      </c>
      <c r="AU429">
        <f t="shared" si="366"/>
        <v>-803.05938600684919</v>
      </c>
      <c r="AV429">
        <f t="shared" si="354"/>
        <v>-2.9996875742357152</v>
      </c>
      <c r="AW429">
        <f t="shared" si="355"/>
        <v>590.57136707871769</v>
      </c>
      <c r="AX429">
        <f t="shared" si="356"/>
        <v>-5426.9611558951374</v>
      </c>
      <c r="AY429">
        <f t="shared" si="364"/>
        <v>-1.4624011200612435</v>
      </c>
      <c r="BA429">
        <f t="shared" si="345"/>
        <v>1.0401480721904328</v>
      </c>
      <c r="BB429">
        <f t="shared" si="357"/>
        <v>0.34190336977839764</v>
      </c>
      <c r="BC429">
        <f t="shared" si="358"/>
        <v>-1.5372864541744717</v>
      </c>
      <c r="BD429">
        <f t="shared" si="346"/>
        <v>-268.08002582747474</v>
      </c>
      <c r="BF429">
        <f t="shared" si="347"/>
        <v>-50.159790830573044</v>
      </c>
      <c r="BG429">
        <f t="shared" si="348"/>
        <v>-184.38778073506595</v>
      </c>
      <c r="BH429">
        <f t="shared" si="359"/>
        <v>-4.3877807350659452</v>
      </c>
      <c r="BI429">
        <f t="shared" si="360"/>
        <v>-4.3877807350659452</v>
      </c>
      <c r="BJ429">
        <f t="shared" si="349"/>
        <v>0</v>
      </c>
      <c r="BK429">
        <f t="shared" si="361"/>
        <v>0</v>
      </c>
      <c r="BM429">
        <f t="shared" si="362"/>
        <v>-50.501694200351452</v>
      </c>
      <c r="BN429">
        <f t="shared" si="350"/>
        <v>-96.307754907591203</v>
      </c>
      <c r="BQ429" s="56">
        <f t="shared" si="363"/>
        <v>17.243864170063535</v>
      </c>
    </row>
    <row r="430" spans="1:69" x14ac:dyDescent="0.25">
      <c r="A430">
        <f t="shared" si="371"/>
        <v>1080000</v>
      </c>
      <c r="B430">
        <f t="shared" si="351"/>
        <v>1080</v>
      </c>
      <c r="C430">
        <f t="shared" si="320"/>
        <v>9.012956444520416</v>
      </c>
      <c r="D430">
        <f t="shared" si="321"/>
        <v>1.4596160323614622</v>
      </c>
      <c r="F430">
        <f t="shared" si="322"/>
        <v>2.1974371391373157E-5</v>
      </c>
      <c r="G430">
        <f t="shared" si="323"/>
        <v>1.5946214055323775E-3</v>
      </c>
      <c r="H430">
        <f t="shared" si="324"/>
        <v>-3.139998028594468</v>
      </c>
      <c r="J430">
        <f t="shared" si="325"/>
        <v>15</v>
      </c>
      <c r="M430">
        <f t="shared" si="326"/>
        <v>1.3834296034287855E-3</v>
      </c>
      <c r="N430">
        <f t="shared" si="327"/>
        <v>-1.5707963250000001</v>
      </c>
      <c r="O430">
        <f t="shared" si="328"/>
        <v>276.19907502144719</v>
      </c>
      <c r="P430">
        <f t="shared" si="329"/>
        <v>1.5671757419515255</v>
      </c>
      <c r="Q430">
        <f t="shared" si="330"/>
        <v>233.7675453183497</v>
      </c>
      <c r="R430">
        <f t="shared" si="331"/>
        <v>1.5665185599709084</v>
      </c>
      <c r="S430">
        <f t="shared" si="332"/>
        <v>0.11272244430837558</v>
      </c>
      <c r="T430">
        <f t="shared" si="333"/>
        <v>-1.4578337920058766</v>
      </c>
      <c r="U430">
        <f t="shared" si="334"/>
        <v>0.14391359748932589</v>
      </c>
      <c r="V430">
        <f t="shared" si="335"/>
        <v>-1.4263812728077261</v>
      </c>
      <c r="X430">
        <f t="shared" si="352"/>
        <v>-47.320985600530648</v>
      </c>
      <c r="Y430">
        <f t="shared" si="336"/>
        <v>-171.984689085121</v>
      </c>
      <c r="Z430">
        <f t="shared" si="353"/>
        <v>8.0153109148789952</v>
      </c>
      <c r="AC430">
        <v>1</v>
      </c>
      <c r="AD430">
        <f t="shared" si="337"/>
        <v>276.19726472704804</v>
      </c>
      <c r="AE430">
        <f t="shared" si="338"/>
        <v>-0.22490765773486229</v>
      </c>
      <c r="AF430">
        <f t="shared" si="339"/>
        <v>3.2707749397680001E-2</v>
      </c>
      <c r="AG430">
        <f t="shared" si="367"/>
        <v>170.53879525884685</v>
      </c>
      <c r="AH430">
        <f t="shared" si="368"/>
        <v>-1203.2463779786697</v>
      </c>
      <c r="AJ430">
        <f t="shared" si="340"/>
        <v>22100</v>
      </c>
      <c r="AK430">
        <f t="shared" si="341"/>
        <v>194807.21969577964</v>
      </c>
      <c r="AL430">
        <v>1</v>
      </c>
      <c r="AM430">
        <f t="shared" si="342"/>
        <v>233.76540643167601</v>
      </c>
      <c r="AN430">
        <f t="shared" si="369"/>
        <v>833.73410699398482</v>
      </c>
      <c r="AO430">
        <f t="shared" si="370"/>
        <v>-90.9726816196888</v>
      </c>
      <c r="AQ430">
        <f t="shared" si="343"/>
        <v>2.1433465913608986E-3</v>
      </c>
      <c r="AR430">
        <f t="shared" si="344"/>
        <v>-4.6296286373395414</v>
      </c>
      <c r="AT430">
        <f t="shared" si="365"/>
        <v>-5570.2183655196141</v>
      </c>
      <c r="AU430">
        <f t="shared" si="366"/>
        <v>-792.11026433055019</v>
      </c>
      <c r="AV430">
        <f t="shared" si="354"/>
        <v>-3.000335221516107</v>
      </c>
      <c r="AW430">
        <f t="shared" si="355"/>
        <v>592.84842513585249</v>
      </c>
      <c r="AX430">
        <f t="shared" si="356"/>
        <v>-5402.05455584421</v>
      </c>
      <c r="AY430">
        <f t="shared" si="364"/>
        <v>-1.4614887679156003</v>
      </c>
      <c r="BA430">
        <f t="shared" si="345"/>
        <v>1.0352874156921512</v>
      </c>
      <c r="BB430">
        <f t="shared" si="357"/>
        <v>0.30121870060985856</v>
      </c>
      <c r="BC430">
        <f t="shared" si="358"/>
        <v>-1.5388464536005066</v>
      </c>
      <c r="BD430">
        <f t="shared" si="346"/>
        <v>-268.16940721073155</v>
      </c>
      <c r="BF430">
        <f t="shared" si="347"/>
        <v>-50.241281465707743</v>
      </c>
      <c r="BG430">
        <f t="shared" si="348"/>
        <v>-184.44820367466551</v>
      </c>
      <c r="BH430">
        <f t="shared" si="359"/>
        <v>-4.4482036746655069</v>
      </c>
      <c r="BI430">
        <f t="shared" si="360"/>
        <v>-4.4482036746655069</v>
      </c>
      <c r="BJ430">
        <f t="shared" si="349"/>
        <v>0</v>
      </c>
      <c r="BK430">
        <f t="shared" si="361"/>
        <v>0</v>
      </c>
      <c r="BM430">
        <f t="shared" si="362"/>
        <v>-50.542500166317609</v>
      </c>
      <c r="BN430">
        <f t="shared" si="350"/>
        <v>-96.278796463933986</v>
      </c>
      <c r="BQ430" s="56">
        <f t="shared" si="363"/>
        <v>17.203179500894997</v>
      </c>
    </row>
    <row r="431" spans="1:69" x14ac:dyDescent="0.25">
      <c r="A431">
        <f t="shared" si="371"/>
        <v>1085000</v>
      </c>
      <c r="B431">
        <f t="shared" si="351"/>
        <v>1085</v>
      </c>
      <c r="C431">
        <f t="shared" si="320"/>
        <v>9.0541705999609157</v>
      </c>
      <c r="D431">
        <f t="shared" si="321"/>
        <v>1.4601242010202389</v>
      </c>
      <c r="F431">
        <f t="shared" si="322"/>
        <v>2.1772305108247031E-5</v>
      </c>
      <c r="G431">
        <f t="shared" si="323"/>
        <v>1.5872726095496322E-3</v>
      </c>
      <c r="H431">
        <f t="shared" si="324"/>
        <v>-3.1400053773904504</v>
      </c>
      <c r="J431">
        <f t="shared" si="325"/>
        <v>15</v>
      </c>
      <c r="M431">
        <f t="shared" si="326"/>
        <v>1.3770543518000814E-3</v>
      </c>
      <c r="N431">
        <f t="shared" si="327"/>
        <v>-1.5707963250000001</v>
      </c>
      <c r="O431">
        <f t="shared" si="328"/>
        <v>277.477757719534</v>
      </c>
      <c r="P431">
        <f t="shared" si="329"/>
        <v>1.5671924265295034</v>
      </c>
      <c r="Q431">
        <f t="shared" si="330"/>
        <v>234.84978271381715</v>
      </c>
      <c r="R431">
        <f t="shared" si="331"/>
        <v>1.5665382729432475</v>
      </c>
      <c r="S431">
        <f t="shared" si="332"/>
        <v>0.11220954147748949</v>
      </c>
      <c r="T431">
        <f t="shared" si="333"/>
        <v>-1.4583499696936362</v>
      </c>
      <c r="U431">
        <f t="shared" si="334"/>
        <v>0.14326404387646346</v>
      </c>
      <c r="V431">
        <f t="shared" si="335"/>
        <v>-1.4270376279566002</v>
      </c>
      <c r="X431">
        <f t="shared" si="352"/>
        <v>-47.400384829263075</v>
      </c>
      <c r="Y431">
        <f t="shared" si="336"/>
        <v>-172.02108997758998</v>
      </c>
      <c r="Z431">
        <f t="shared" si="353"/>
        <v>7.9789100224100196</v>
      </c>
      <c r="AC431">
        <v>1</v>
      </c>
      <c r="AD431">
        <f t="shared" si="337"/>
        <v>277.47595576745101</v>
      </c>
      <c r="AE431">
        <f t="shared" si="338"/>
        <v>-0.22699495659887112</v>
      </c>
      <c r="AF431">
        <f t="shared" si="339"/>
        <v>3.2859174163409999E-2</v>
      </c>
      <c r="AG431">
        <f t="shared" si="367"/>
        <v>169.00281668211224</v>
      </c>
      <c r="AH431">
        <f t="shared" si="368"/>
        <v>-1197.9238078866592</v>
      </c>
      <c r="AJ431">
        <f t="shared" si="340"/>
        <v>22100</v>
      </c>
      <c r="AK431">
        <f t="shared" si="341"/>
        <v>195709.10497214898</v>
      </c>
      <c r="AL431">
        <v>1</v>
      </c>
      <c r="AM431">
        <f t="shared" si="342"/>
        <v>234.84765368367454</v>
      </c>
      <c r="AN431">
        <f t="shared" si="369"/>
        <v>833.73052857401979</v>
      </c>
      <c r="AO431">
        <f t="shared" si="370"/>
        <v>-90.553467909329612</v>
      </c>
      <c r="AQ431">
        <f t="shared" si="343"/>
        <v>2.1236377660095213E-3</v>
      </c>
      <c r="AR431">
        <f t="shared" si="344"/>
        <v>-4.6082939522406612</v>
      </c>
      <c r="AT431">
        <f t="shared" si="365"/>
        <v>-5520.0261383651268</v>
      </c>
      <c r="AU431">
        <f t="shared" si="366"/>
        <v>-781.35861426704503</v>
      </c>
      <c r="AV431">
        <f t="shared" si="354"/>
        <v>-3.0009770255564234</v>
      </c>
      <c r="AW431">
        <f t="shared" si="355"/>
        <v>595.09346111702359</v>
      </c>
      <c r="AX431">
        <f t="shared" si="356"/>
        <v>-5377.3746028444011</v>
      </c>
      <c r="AY431">
        <f t="shared" si="364"/>
        <v>-1.4605786403737235</v>
      </c>
      <c r="BA431">
        <f t="shared" si="345"/>
        <v>1.0304701516132042</v>
      </c>
      <c r="BB431">
        <f t="shared" si="357"/>
        <v>0.26070833225283413</v>
      </c>
      <c r="BC431">
        <f t="shared" si="358"/>
        <v>-1.5403983851826999</v>
      </c>
      <c r="BD431">
        <f t="shared" si="346"/>
        <v>-268.25832634058588</v>
      </c>
      <c r="BF431">
        <f t="shared" si="347"/>
        <v>-50.322404786862329</v>
      </c>
      <c r="BG431">
        <f t="shared" si="348"/>
        <v>-184.50842794005263</v>
      </c>
      <c r="BH431">
        <f t="shared" si="359"/>
        <v>-4.508427940052627</v>
      </c>
      <c r="BI431">
        <f t="shared" si="360"/>
        <v>-4.508427940052627</v>
      </c>
      <c r="BJ431">
        <f t="shared" si="349"/>
        <v>0</v>
      </c>
      <c r="BK431">
        <f t="shared" si="361"/>
        <v>0</v>
      </c>
      <c r="BM431">
        <f t="shared" si="362"/>
        <v>-50.583113119115161</v>
      </c>
      <c r="BN431">
        <f t="shared" si="350"/>
        <v>-96.25010159946676</v>
      </c>
      <c r="BQ431" s="56">
        <f t="shared" si="363"/>
        <v>17.162669132537971</v>
      </c>
    </row>
    <row r="432" spans="1:69" x14ac:dyDescent="0.25">
      <c r="A432">
        <f t="shared" si="371"/>
        <v>1090000</v>
      </c>
      <c r="B432">
        <f t="shared" si="351"/>
        <v>1090</v>
      </c>
      <c r="C432">
        <f t="shared" si="320"/>
        <v>9.0953870723188572</v>
      </c>
      <c r="D432">
        <f t="shared" si="321"/>
        <v>1.4606277641944116</v>
      </c>
      <c r="F432">
        <f t="shared" si="322"/>
        <v>2.157301324688817E-5</v>
      </c>
      <c r="G432">
        <f t="shared" si="323"/>
        <v>1.5799912379536906E-3</v>
      </c>
      <c r="H432">
        <f t="shared" si="324"/>
        <v>-3.1400126587620467</v>
      </c>
      <c r="J432">
        <f t="shared" si="325"/>
        <v>15</v>
      </c>
      <c r="M432">
        <f t="shared" si="326"/>
        <v>1.3707375887184296E-3</v>
      </c>
      <c r="N432">
        <f t="shared" si="327"/>
        <v>-1.5707963250000001</v>
      </c>
      <c r="O432">
        <f t="shared" si="328"/>
        <v>278.75644049415507</v>
      </c>
      <c r="P432">
        <f t="shared" si="329"/>
        <v>1.5672089580399375</v>
      </c>
      <c r="Q432">
        <f t="shared" si="330"/>
        <v>235.93202019971025</v>
      </c>
      <c r="R432">
        <f t="shared" si="331"/>
        <v>1.5665578050658937</v>
      </c>
      <c r="S432">
        <f t="shared" si="332"/>
        <v>0.11170125570506449</v>
      </c>
      <c r="T432">
        <f t="shared" si="333"/>
        <v>-1.458861471162552</v>
      </c>
      <c r="U432">
        <f t="shared" si="334"/>
        <v>0.14262026681894635</v>
      </c>
      <c r="V432">
        <f t="shared" si="335"/>
        <v>-1.4276880845359172</v>
      </c>
      <c r="X432">
        <f t="shared" si="352"/>
        <v>-47.47942651660874</v>
      </c>
      <c r="Y432">
        <f t="shared" si="336"/>
        <v>-172.05716412306003</v>
      </c>
      <c r="Z432">
        <f t="shared" si="353"/>
        <v>7.9428358769399665</v>
      </c>
      <c r="AC432">
        <v>1</v>
      </c>
      <c r="AD432">
        <f t="shared" si="337"/>
        <v>278.75464680785399</v>
      </c>
      <c r="AE432">
        <f t="shared" si="338"/>
        <v>-0.22909189656617793</v>
      </c>
      <c r="AF432">
        <f t="shared" si="339"/>
        <v>3.3010598929139996E-2</v>
      </c>
      <c r="AG432">
        <f t="shared" si="367"/>
        <v>167.48735364240744</v>
      </c>
      <c r="AH432">
        <f t="shared" si="368"/>
        <v>-1192.6471125622488</v>
      </c>
      <c r="AJ432">
        <f t="shared" si="340"/>
        <v>22100</v>
      </c>
      <c r="AK432">
        <f t="shared" si="341"/>
        <v>196610.99024851833</v>
      </c>
      <c r="AL432">
        <v>1</v>
      </c>
      <c r="AM432">
        <f t="shared" si="342"/>
        <v>235.92990093567303</v>
      </c>
      <c r="AN432">
        <f t="shared" si="369"/>
        <v>833.72699928415409</v>
      </c>
      <c r="AO432">
        <f t="shared" si="370"/>
        <v>-90.138099988072966</v>
      </c>
      <c r="AQ432">
        <f t="shared" si="343"/>
        <v>2.1041995404007365E-3</v>
      </c>
      <c r="AR432">
        <f t="shared" si="344"/>
        <v>-4.5871549980736051</v>
      </c>
      <c r="AT432">
        <f t="shared" si="365"/>
        <v>-5470.504736515416</v>
      </c>
      <c r="AU432">
        <f t="shared" si="366"/>
        <v>-770.80001888100446</v>
      </c>
      <c r="AV432">
        <f t="shared" si="354"/>
        <v>-3.0016130645216168</v>
      </c>
      <c r="AW432">
        <f t="shared" si="355"/>
        <v>597.30707485846335</v>
      </c>
      <c r="AX432">
        <f t="shared" si="356"/>
        <v>-5352.9182289020473</v>
      </c>
      <c r="AY432">
        <f t="shared" si="364"/>
        <v>-1.4596707076213926</v>
      </c>
      <c r="BA432">
        <f t="shared" si="345"/>
        <v>1.025695700108076</v>
      </c>
      <c r="BB432">
        <f t="shared" si="357"/>
        <v>0.22037069766550132</v>
      </c>
      <c r="BC432">
        <f t="shared" si="358"/>
        <v>-1.5419423569002242</v>
      </c>
      <c r="BD432">
        <f t="shared" si="346"/>
        <v>-268.34678940378865</v>
      </c>
      <c r="BF432">
        <f t="shared" si="347"/>
        <v>-50.403164197002013</v>
      </c>
      <c r="BG432">
        <f t="shared" si="348"/>
        <v>-184.56845615048616</v>
      </c>
      <c r="BH432">
        <f t="shared" si="359"/>
        <v>-4.5684561504861563</v>
      </c>
      <c r="BI432">
        <f t="shared" si="360"/>
        <v>-4.5684561504861563</v>
      </c>
      <c r="BJ432">
        <f t="shared" si="349"/>
        <v>0</v>
      </c>
      <c r="BK432">
        <f t="shared" si="361"/>
        <v>0</v>
      </c>
      <c r="BM432">
        <f t="shared" si="362"/>
        <v>-50.623534894667522</v>
      </c>
      <c r="BN432">
        <f t="shared" si="350"/>
        <v>-96.221666746697494</v>
      </c>
      <c r="BQ432" s="56">
        <f t="shared" si="363"/>
        <v>17.12233149795064</v>
      </c>
    </row>
    <row r="433" spans="1:69" x14ac:dyDescent="0.25">
      <c r="A433">
        <f t="shared" si="371"/>
        <v>1095000</v>
      </c>
      <c r="B433">
        <f t="shared" si="351"/>
        <v>1095</v>
      </c>
      <c r="C433">
        <f t="shared" si="320"/>
        <v>9.1366058302384463</v>
      </c>
      <c r="D433">
        <f t="shared" si="321"/>
        <v>1.4611267839582136</v>
      </c>
      <c r="F433">
        <f t="shared" si="322"/>
        <v>2.1376445247083509E-5</v>
      </c>
      <c r="G433">
        <f t="shared" si="323"/>
        <v>1.5727763670458971E-3</v>
      </c>
      <c r="H433">
        <f t="shared" si="324"/>
        <v>-3.1400198736329541</v>
      </c>
      <c r="J433">
        <f t="shared" si="325"/>
        <v>15</v>
      </c>
      <c r="M433">
        <f t="shared" si="326"/>
        <v>1.3644785129708569E-3</v>
      </c>
      <c r="N433">
        <f t="shared" si="327"/>
        <v>-1.5707963250000001</v>
      </c>
      <c r="O433">
        <f t="shared" si="328"/>
        <v>280.03512334426199</v>
      </c>
      <c r="P433">
        <f t="shared" si="329"/>
        <v>1.5672253385796078</v>
      </c>
      <c r="Q433">
        <f t="shared" si="330"/>
        <v>237.01425777479037</v>
      </c>
      <c r="R433">
        <f t="shared" si="331"/>
        <v>1.5665771588161805</v>
      </c>
      <c r="S433">
        <f t="shared" si="332"/>
        <v>0.11119752532367747</v>
      </c>
      <c r="T433">
        <f t="shared" si="333"/>
        <v>-1.4593683594070757</v>
      </c>
      <c r="U433">
        <f t="shared" si="334"/>
        <v>0.14198219041529223</v>
      </c>
      <c r="V433">
        <f t="shared" si="335"/>
        <v>-1.4283327211613159</v>
      </c>
      <c r="X433">
        <f t="shared" si="352"/>
        <v>-47.558113835610257</v>
      </c>
      <c r="Y433">
        <f t="shared" si="336"/>
        <v>-172.09291586944661</v>
      </c>
      <c r="Z433">
        <f t="shared" si="353"/>
        <v>7.9070841305533861</v>
      </c>
      <c r="AC433">
        <v>1</v>
      </c>
      <c r="AD433">
        <f t="shared" si="337"/>
        <v>280.03333784825702</v>
      </c>
      <c r="AE433">
        <f t="shared" si="338"/>
        <v>-0.23119847763678258</v>
      </c>
      <c r="AF433">
        <f t="shared" si="339"/>
        <v>3.3162023694870001E-2</v>
      </c>
      <c r="AG433">
        <f t="shared" si="367"/>
        <v>165.99204493818297</v>
      </c>
      <c r="AH433">
        <f t="shared" si="368"/>
        <v>-1187.4157153930187</v>
      </c>
      <c r="AJ433">
        <f t="shared" si="340"/>
        <v>22100</v>
      </c>
      <c r="AK433">
        <f t="shared" si="341"/>
        <v>197512.8755248877</v>
      </c>
      <c r="AL433">
        <v>1</v>
      </c>
      <c r="AM433">
        <f t="shared" si="342"/>
        <v>237.0121481876715</v>
      </c>
      <c r="AN433">
        <f t="shared" si="369"/>
        <v>833.72351822911287</v>
      </c>
      <c r="AO433">
        <f t="shared" si="370"/>
        <v>-89.726525177653656</v>
      </c>
      <c r="AQ433">
        <f t="shared" si="343"/>
        <v>2.0850269833767054E-3</v>
      </c>
      <c r="AR433">
        <f t="shared" si="344"/>
        <v>-4.5662090935949848</v>
      </c>
      <c r="AT433">
        <f t="shared" si="365"/>
        <v>-5421.6423396124737</v>
      </c>
      <c r="AU433">
        <f t="shared" si="366"/>
        <v>-760.43017886823839</v>
      </c>
      <c r="AV433">
        <f t="shared" si="354"/>
        <v>-3.0022434151986706</v>
      </c>
      <c r="AW433">
        <f t="shared" si="355"/>
        <v>599.48985217349377</v>
      </c>
      <c r="AX433">
        <f t="shared" si="356"/>
        <v>-5328.6824209550996</v>
      </c>
      <c r="AY433">
        <f t="shared" si="364"/>
        <v>-1.4587649404413729</v>
      </c>
      <c r="BA433">
        <f t="shared" si="345"/>
        <v>1.0209634915429908</v>
      </c>
      <c r="BB433">
        <f t="shared" si="357"/>
        <v>0.18020425006525398</v>
      </c>
      <c r="BC433">
        <f t="shared" si="358"/>
        <v>-1.5434784747572976</v>
      </c>
      <c r="BD433">
        <f t="shared" si="346"/>
        <v>-268.43480247393421</v>
      </c>
      <c r="BF433">
        <f t="shared" si="347"/>
        <v>-50.483563052537278</v>
      </c>
      <c r="BG433">
        <f t="shared" si="348"/>
        <v>-184.62829087589276</v>
      </c>
      <c r="BH433">
        <f t="shared" si="359"/>
        <v>-4.628290875892759</v>
      </c>
      <c r="BI433">
        <f t="shared" si="360"/>
        <v>-4.628290875892759</v>
      </c>
      <c r="BJ433">
        <f t="shared" si="349"/>
        <v>0</v>
      </c>
      <c r="BK433">
        <f t="shared" si="361"/>
        <v>0</v>
      </c>
      <c r="BM433">
        <f t="shared" si="362"/>
        <v>-50.66376730260253</v>
      </c>
      <c r="BN433">
        <f t="shared" si="350"/>
        <v>-96.193488401958561</v>
      </c>
      <c r="BQ433" s="56">
        <f t="shared" si="363"/>
        <v>17.08216505035039</v>
      </c>
    </row>
    <row r="434" spans="1:69" x14ac:dyDescent="0.25">
      <c r="A434">
        <f>A433+5000</f>
        <v>1100000</v>
      </c>
      <c r="B434">
        <f t="shared" si="351"/>
        <v>1100</v>
      </c>
      <c r="C434">
        <f t="shared" si="320"/>
        <v>9.1778268429254641</v>
      </c>
      <c r="D434">
        <f t="shared" si="321"/>
        <v>1.4616213212798288</v>
      </c>
      <c r="F434">
        <f t="shared" si="322"/>
        <v>2.1182551695144519E-5</v>
      </c>
      <c r="G434">
        <f t="shared" si="323"/>
        <v>1.5656270899238526E-3</v>
      </c>
      <c r="H434">
        <f t="shared" si="324"/>
        <v>-3.1400270229100764</v>
      </c>
      <c r="J434">
        <f t="shared" si="325"/>
        <v>15</v>
      </c>
      <c r="M434">
        <f t="shared" si="326"/>
        <v>1.3582763379118986E-3</v>
      </c>
      <c r="N434">
        <f t="shared" si="327"/>
        <v>-1.5707963250000001</v>
      </c>
      <c r="O434">
        <f t="shared" si="328"/>
        <v>281.31380626882549</v>
      </c>
      <c r="P434">
        <f t="shared" si="329"/>
        <v>1.5672415702071714</v>
      </c>
      <c r="Q434">
        <f t="shared" si="330"/>
        <v>238.0964954378413</v>
      </c>
      <c r="R434">
        <f t="shared" si="331"/>
        <v>1.5665963366264006</v>
      </c>
      <c r="S434">
        <f t="shared" si="332"/>
        <v>0.11069828975212853</v>
      </c>
      <c r="T434">
        <f t="shared" si="333"/>
        <v>-1.4598706962999519</v>
      </c>
      <c r="U434">
        <f t="shared" si="334"/>
        <v>0.14134974007335363</v>
      </c>
      <c r="V434">
        <f t="shared" si="335"/>
        <v>-1.428971615067226</v>
      </c>
      <c r="X434">
        <f t="shared" si="352"/>
        <v>-47.636449917685198</v>
      </c>
      <c r="Y434">
        <f t="shared" si="336"/>
        <v>-172.1283494884334</v>
      </c>
      <c r="Z434">
        <f t="shared" si="353"/>
        <v>7.8716505115665996</v>
      </c>
      <c r="AC434">
        <v>1</v>
      </c>
      <c r="AD434">
        <f t="shared" si="337"/>
        <v>281.31202888866</v>
      </c>
      <c r="AE434">
        <f t="shared" si="338"/>
        <v>-0.23331469981068531</v>
      </c>
      <c r="AF434">
        <f t="shared" si="339"/>
        <v>3.3313448460599998E-2</v>
      </c>
      <c r="AG434">
        <f t="shared" si="367"/>
        <v>164.51653722593937</v>
      </c>
      <c r="AH434">
        <f t="shared" si="368"/>
        <v>-1182.2290491284116</v>
      </c>
      <c r="AJ434">
        <f t="shared" si="340"/>
        <v>22100</v>
      </c>
      <c r="AK434">
        <f t="shared" si="341"/>
        <v>198414.76080125704</v>
      </c>
      <c r="AL434">
        <v>1</v>
      </c>
      <c r="AM434">
        <f t="shared" si="342"/>
        <v>238.09439543967002</v>
      </c>
      <c r="AN434">
        <f t="shared" si="369"/>
        <v>833.72008453392118</v>
      </c>
      <c r="AO434">
        <f t="shared" si="370"/>
        <v>-89.318691757507878</v>
      </c>
      <c r="AQ434">
        <f t="shared" si="343"/>
        <v>2.0661152755960172E-3</v>
      </c>
      <c r="AR434">
        <f t="shared" si="344"/>
        <v>-4.5454536063112387</v>
      </c>
      <c r="AT434">
        <f t="shared" si="365"/>
        <v>-5373.4273847159948</v>
      </c>
      <c r="AU434">
        <f t="shared" si="366"/>
        <v>-750.24490892914082</v>
      </c>
      <c r="AV434">
        <f t="shared" si="354"/>
        <v>-3.0028681530266073</v>
      </c>
      <c r="AW434">
        <f t="shared" si="355"/>
        <v>601.64236524505884</v>
      </c>
      <c r="AX434">
        <f t="shared" si="356"/>
        <v>-5304.6642196530292</v>
      </c>
      <c r="AY434">
        <f t="shared" si="364"/>
        <v>-1.4578613101987485</v>
      </c>
      <c r="BA434">
        <f t="shared" si="345"/>
        <v>1.0162729662741226</v>
      </c>
      <c r="BB434">
        <f t="shared" si="357"/>
        <v>0.14020746258950595</v>
      </c>
      <c r="BC434">
        <f t="shared" si="358"/>
        <v>-1.5450068428278587</v>
      </c>
      <c r="BD434">
        <f t="shared" si="346"/>
        <v>-268.52237151401999</v>
      </c>
      <c r="BF434">
        <f t="shared" si="347"/>
        <v>-50.563604664166213</v>
      </c>
      <c r="BG434">
        <f t="shared" si="348"/>
        <v>-184.68793463801205</v>
      </c>
      <c r="BH434">
        <f t="shared" si="359"/>
        <v>-4.6879346380120523</v>
      </c>
      <c r="BI434">
        <f t="shared" si="360"/>
        <v>-4.6879346380120523</v>
      </c>
      <c r="BJ434">
        <f t="shared" si="349"/>
        <v>0</v>
      </c>
      <c r="BK434">
        <f t="shared" si="361"/>
        <v>0</v>
      </c>
      <c r="BM434">
        <f t="shared" si="362"/>
        <v>-50.703812126755722</v>
      </c>
      <c r="BN434">
        <f t="shared" si="350"/>
        <v>-96.165563123992087</v>
      </c>
      <c r="BQ434" s="56">
        <f t="shared" si="363"/>
        <v>17.042168262874643</v>
      </c>
    </row>
    <row r="435" spans="1:69" x14ac:dyDescent="0.25">
      <c r="A435">
        <f t="shared" ref="A435:A472" si="372">A434+5000</f>
        <v>1105000</v>
      </c>
      <c r="B435">
        <f t="shared" si="351"/>
        <v>1105</v>
      </c>
      <c r="C435">
        <f t="shared" si="320"/>
        <v>9.2190500801347781</v>
      </c>
      <c r="D435">
        <f t="shared" si="321"/>
        <v>1.4621114360458169</v>
      </c>
      <c r="F435">
        <f t="shared" si="322"/>
        <v>2.0991284292849014E-5</v>
      </c>
      <c r="G435">
        <f t="shared" si="323"/>
        <v>1.5585425161013639E-3</v>
      </c>
      <c r="H435">
        <f t="shared" si="324"/>
        <v>-3.1400341074838987</v>
      </c>
      <c r="J435">
        <f t="shared" si="325"/>
        <v>15</v>
      </c>
      <c r="M435">
        <f t="shared" si="326"/>
        <v>1.3521302911340166E-3</v>
      </c>
      <c r="N435">
        <f t="shared" si="327"/>
        <v>-1.5707963250000001</v>
      </c>
      <c r="O435">
        <f t="shared" si="328"/>
        <v>282.59248926683472</v>
      </c>
      <c r="P435">
        <f t="shared" si="329"/>
        <v>1.5672576549440256</v>
      </c>
      <c r="Q435">
        <f t="shared" si="330"/>
        <v>239.17873318766885</v>
      </c>
      <c r="R435">
        <f t="shared" si="331"/>
        <v>1.5666153408848249</v>
      </c>
      <c r="S435">
        <f t="shared" si="332"/>
        <v>0.1102034894717895</v>
      </c>
      <c r="T435">
        <f t="shared" si="333"/>
        <v>-1.4603685426169704</v>
      </c>
      <c r="U435">
        <f t="shared" si="334"/>
        <v>0.14072284248253411</v>
      </c>
      <c r="V435">
        <f t="shared" si="335"/>
        <v>-1.4296048421368568</v>
      </c>
      <c r="X435">
        <f t="shared" si="352"/>
        <v>-47.714437853343547</v>
      </c>
      <c r="Y435">
        <f t="shared" si="336"/>
        <v>-172.16346917712275</v>
      </c>
      <c r="Z435">
        <f t="shared" si="353"/>
        <v>7.8365308228772506</v>
      </c>
      <c r="AC435">
        <v>1</v>
      </c>
      <c r="AD435">
        <f t="shared" si="337"/>
        <v>282.59071992906303</v>
      </c>
      <c r="AE435">
        <f t="shared" si="338"/>
        <v>-0.235440563087886</v>
      </c>
      <c r="AF435">
        <f t="shared" si="339"/>
        <v>3.3464873226329996E-2</v>
      </c>
      <c r="AG435">
        <f t="shared" si="367"/>
        <v>163.06048481747104</v>
      </c>
      <c r="AH435">
        <f t="shared" si="368"/>
        <v>-1177.0865556967472</v>
      </c>
      <c r="AJ435">
        <f t="shared" si="340"/>
        <v>22100</v>
      </c>
      <c r="AK435">
        <f t="shared" si="341"/>
        <v>199316.64607762638</v>
      </c>
      <c r="AL435">
        <v>1</v>
      </c>
      <c r="AM435">
        <f t="shared" si="342"/>
        <v>239.17664269166852</v>
      </c>
      <c r="AN435">
        <f t="shared" si="369"/>
        <v>833.71669734335467</v>
      </c>
      <c r="AO435">
        <f t="shared" si="370"/>
        <v>-88.914548943108116</v>
      </c>
      <c r="AQ435">
        <f t="shared" si="343"/>
        <v>2.0474597065048409E-3</v>
      </c>
      <c r="AR435">
        <f t="shared" si="344"/>
        <v>-4.5248859513756985</v>
      </c>
      <c r="AT435">
        <f t="shared" si="365"/>
        <v>-5325.8485596530327</v>
      </c>
      <c r="AU435">
        <f t="shared" si="366"/>
        <v>-740.24013426894271</v>
      </c>
      <c r="AV435">
        <f t="shared" si="354"/>
        <v>-3.0034873521257235</v>
      </c>
      <c r="AW435">
        <f t="shared" si="355"/>
        <v>603.76517300547778</v>
      </c>
      <c r="AX435">
        <f t="shared" si="356"/>
        <v>-5280.8607181690359</v>
      </c>
      <c r="AY435">
        <f t="shared" si="364"/>
        <v>-1.4569597888266805</v>
      </c>
      <c r="BA435">
        <f t="shared" si="345"/>
        <v>1.0116235744314979</v>
      </c>
      <c r="BB435">
        <f t="shared" si="357"/>
        <v>0.10037882796333393</v>
      </c>
      <c r="BC435">
        <f t="shared" si="358"/>
        <v>-1.546527563299043</v>
      </c>
      <c r="BD435">
        <f t="shared" si="346"/>
        <v>-268.60950237893758</v>
      </c>
      <c r="BF435">
        <f t="shared" si="347"/>
        <v>-50.643292297698139</v>
      </c>
      <c r="BG435">
        <f t="shared" si="348"/>
        <v>-184.74738991150952</v>
      </c>
      <c r="BH435">
        <f t="shared" si="359"/>
        <v>-4.7473899115095151</v>
      </c>
      <c r="BI435">
        <f t="shared" si="360"/>
        <v>-4.7473899115095151</v>
      </c>
      <c r="BJ435">
        <f t="shared" si="349"/>
        <v>0</v>
      </c>
      <c r="BK435">
        <f t="shared" si="361"/>
        <v>0</v>
      </c>
      <c r="BM435">
        <f t="shared" si="362"/>
        <v>-50.743671125661471</v>
      </c>
      <c r="BN435">
        <f t="shared" si="350"/>
        <v>-96.137887532571952</v>
      </c>
      <c r="BQ435" s="56">
        <f t="shared" si="363"/>
        <v>17.002339628248471</v>
      </c>
    </row>
    <row r="436" spans="1:69" x14ac:dyDescent="0.25">
      <c r="A436">
        <f t="shared" si="372"/>
        <v>1110000</v>
      </c>
      <c r="B436">
        <f t="shared" si="351"/>
        <v>1110</v>
      </c>
      <c r="C436">
        <f t="shared" si="320"/>
        <v>9.260275512158195</v>
      </c>
      <c r="D436">
        <f t="shared" si="321"/>
        <v>1.4625971870848982</v>
      </c>
      <c r="F436">
        <f t="shared" si="322"/>
        <v>2.0802595827360135E-5</v>
      </c>
      <c r="G436">
        <f t="shared" si="323"/>
        <v>1.5515217711386622E-3</v>
      </c>
      <c r="H436">
        <f t="shared" si="324"/>
        <v>-3.1400411282288614</v>
      </c>
      <c r="J436">
        <f t="shared" si="325"/>
        <v>15</v>
      </c>
      <c r="M436">
        <f t="shared" si="326"/>
        <v>1.3460396141469263E-3</v>
      </c>
      <c r="N436">
        <f t="shared" si="327"/>
        <v>-1.5707963250000001</v>
      </c>
      <c r="O436">
        <f t="shared" si="328"/>
        <v>283.87117233729731</v>
      </c>
      <c r="P436">
        <f t="shared" si="329"/>
        <v>1.567273594775147</v>
      </c>
      <c r="Q436">
        <f t="shared" si="330"/>
        <v>240.26097102310044</v>
      </c>
      <c r="R436">
        <f t="shared" si="331"/>
        <v>1.5666341739366929</v>
      </c>
      <c r="S436">
        <f t="shared" si="332"/>
        <v>0.10971306600356302</v>
      </c>
      <c r="T436">
        <f t="shared" si="333"/>
        <v>-1.460861958061066</v>
      </c>
      <c r="U436">
        <f t="shared" si="334"/>
        <v>0.14010142558670011</v>
      </c>
      <c r="V436">
        <f t="shared" si="335"/>
        <v>-1.4302324769314101</v>
      </c>
      <c r="X436">
        <f t="shared" si="352"/>
        <v>-47.792080692889897</v>
      </c>
      <c r="Y436">
        <f t="shared" si="336"/>
        <v>-172.19827905964445</v>
      </c>
      <c r="Z436">
        <f t="shared" si="353"/>
        <v>7.8017209403555512</v>
      </c>
      <c r="AC436">
        <v>1</v>
      </c>
      <c r="AD436">
        <f t="shared" si="337"/>
        <v>283.869410969466</v>
      </c>
      <c r="AE436">
        <f t="shared" si="338"/>
        <v>-0.23757606746838461</v>
      </c>
      <c r="AF436">
        <f t="shared" si="339"/>
        <v>3.361629799206E-2</v>
      </c>
      <c r="AG436">
        <f t="shared" si="367"/>
        <v>161.62354948313816</v>
      </c>
      <c r="AH436">
        <f t="shared" si="368"/>
        <v>-1171.9876860263259</v>
      </c>
      <c r="AJ436">
        <f t="shared" si="340"/>
        <v>22100</v>
      </c>
      <c r="AK436">
        <f t="shared" si="341"/>
        <v>200218.53135399573</v>
      </c>
      <c r="AL436">
        <v>1</v>
      </c>
      <c r="AM436">
        <f t="shared" si="342"/>
        <v>240.25888994366704</v>
      </c>
      <c r="AN436">
        <f t="shared" si="369"/>
        <v>833.71335582140637</v>
      </c>
      <c r="AO436">
        <f t="shared" si="370"/>
        <v>-88.514046864883341</v>
      </c>
      <c r="AQ436">
        <f t="shared" si="343"/>
        <v>2.0290556714033618E-3</v>
      </c>
      <c r="AR436">
        <f t="shared" si="344"/>
        <v>-4.5045035905154629</v>
      </c>
      <c r="AT436">
        <f t="shared" si="365"/>
        <v>-5278.8947965657835</v>
      </c>
      <c r="AU436">
        <f t="shared" si="366"/>
        <v>-730.41188721979609</v>
      </c>
      <c r="AV436">
        <f t="shared" si="354"/>
        <v>-3.0041010853260723</v>
      </c>
      <c r="AW436">
        <f t="shared" si="355"/>
        <v>605.85882150388431</v>
      </c>
      <c r="AX436">
        <f t="shared" si="356"/>
        <v>-5257.2690610435311</v>
      </c>
      <c r="AY436">
        <f t="shared" si="364"/>
        <v>-1.4560603488125854</v>
      </c>
      <c r="BA436">
        <f t="shared" si="345"/>
        <v>1.0070147757084387</v>
      </c>
      <c r="BB436">
        <f t="shared" si="357"/>
        <v>6.0716858173913479E-2</v>
      </c>
      <c r="BC436">
        <f t="shared" si="358"/>
        <v>-1.5480407365134869</v>
      </c>
      <c r="BD436">
        <f t="shared" si="346"/>
        <v>-268.69620081789651</v>
      </c>
      <c r="BF436">
        <f t="shared" si="347"/>
        <v>-50.722629174858575</v>
      </c>
      <c r="BG436">
        <f t="shared" si="348"/>
        <v>-184.80665912505904</v>
      </c>
      <c r="BH436">
        <f t="shared" si="359"/>
        <v>-4.806659125059042</v>
      </c>
      <c r="BI436">
        <f t="shared" si="360"/>
        <v>-4.806659125059042</v>
      </c>
      <c r="BJ436">
        <f t="shared" si="349"/>
        <v>0</v>
      </c>
      <c r="BK436">
        <f t="shared" si="361"/>
        <v>0</v>
      </c>
      <c r="BM436">
        <f t="shared" si="362"/>
        <v>-50.78334603303248</v>
      </c>
      <c r="BN436">
        <f t="shared" si="350"/>
        <v>-96.110458307162574</v>
      </c>
      <c r="BQ436" s="56">
        <f t="shared" si="363"/>
        <v>16.96267765845905</v>
      </c>
    </row>
    <row r="437" spans="1:69" x14ac:dyDescent="0.25">
      <c r="A437">
        <f t="shared" si="372"/>
        <v>1115000</v>
      </c>
      <c r="B437">
        <f t="shared" si="351"/>
        <v>1115</v>
      </c>
      <c r="C437">
        <f t="shared" si="320"/>
        <v>9.3015031098126411</v>
      </c>
      <c r="D437">
        <f t="shared" si="321"/>
        <v>1.4630786321911127</v>
      </c>
      <c r="F437">
        <f t="shared" si="322"/>
        <v>2.0616440142087487E-5</v>
      </c>
      <c r="G437">
        <f t="shared" si="323"/>
        <v>1.5445639962825759E-3</v>
      </c>
      <c r="H437">
        <f t="shared" si="324"/>
        <v>-3.1400480860037177</v>
      </c>
      <c r="J437">
        <f t="shared" si="325"/>
        <v>15</v>
      </c>
      <c r="M437">
        <f t="shared" si="326"/>
        <v>1.3400035620655501E-3</v>
      </c>
      <c r="N437">
        <f t="shared" si="327"/>
        <v>-1.5707963250000001</v>
      </c>
      <c r="O437">
        <f t="shared" si="328"/>
        <v>285.14985547923857</v>
      </c>
      <c r="P437">
        <f t="shared" si="329"/>
        <v>1.5672893916499078</v>
      </c>
      <c r="Q437">
        <f t="shared" si="330"/>
        <v>241.34320894298446</v>
      </c>
      <c r="R437">
        <f t="shared" si="331"/>
        <v>1.5666528380851794</v>
      </c>
      <c r="S437">
        <f t="shared" si="332"/>
        <v>0.10922696188543501</v>
      </c>
      <c r="T437">
        <f t="shared" si="333"/>
        <v>-1.461351001285792</v>
      </c>
      <c r="U437">
        <f t="shared" si="334"/>
        <v>0.13948541855776855</v>
      </c>
      <c r="V437">
        <f t="shared" si="335"/>
        <v>-1.4308545927185461</v>
      </c>
      <c r="X437">
        <f t="shared" si="352"/>
        <v>-47.869381447110875</v>
      </c>
      <c r="Y437">
        <f t="shared" si="336"/>
        <v>-172.23278318872244</v>
      </c>
      <c r="Z437">
        <f t="shared" si="353"/>
        <v>7.7672168112775637</v>
      </c>
      <c r="AC437">
        <v>1</v>
      </c>
      <c r="AD437">
        <f t="shared" si="337"/>
        <v>285.14810200986898</v>
      </c>
      <c r="AE437">
        <f t="shared" si="338"/>
        <v>-0.23972121295218121</v>
      </c>
      <c r="AF437">
        <f t="shared" si="339"/>
        <v>3.3767722757789997E-2</v>
      </c>
      <c r="AG437">
        <f t="shared" si="367"/>
        <v>160.20540026096864</v>
      </c>
      <c r="AH437">
        <f t="shared" si="368"/>
        <v>-1166.9318998705264</v>
      </c>
      <c r="AJ437">
        <f t="shared" si="340"/>
        <v>22100</v>
      </c>
      <c r="AK437">
        <f t="shared" si="341"/>
        <v>201120.41663036507</v>
      </c>
      <c r="AL437">
        <v>1</v>
      </c>
      <c r="AM437">
        <f t="shared" si="342"/>
        <v>241.34113719566551</v>
      </c>
      <c r="AN437">
        <f t="shared" si="369"/>
        <v>833.7100591507716</v>
      </c>
      <c r="AO437">
        <f t="shared" si="370"/>
        <v>-88.117136547706508</v>
      </c>
      <c r="AQ437">
        <f t="shared" si="343"/>
        <v>2.0108986686041006E-3</v>
      </c>
      <c r="AR437">
        <f t="shared" si="344"/>
        <v>-4.4843040309871443</v>
      </c>
      <c r="AT437">
        <f t="shared" si="365"/>
        <v>-5232.5552656508007</v>
      </c>
      <c r="AU437">
        <f t="shared" si="366"/>
        <v>-720.7563039799719</v>
      </c>
      <c r="AV437">
        <f t="shared" si="354"/>
        <v>-3.0047094241952164</v>
      </c>
      <c r="AW437">
        <f t="shared" si="355"/>
        <v>607.92384426181331</v>
      </c>
      <c r="AX437">
        <f t="shared" si="356"/>
        <v>-5233.8864430579815</v>
      </c>
      <c r="AY437">
        <f t="shared" si="364"/>
        <v>-1.4551629631847123</v>
      </c>
      <c r="BA437">
        <f t="shared" si="345"/>
        <v>1.0024460391563617</v>
      </c>
      <c r="BB437">
        <f t="shared" si="357"/>
        <v>2.1220084151425959E-2</v>
      </c>
      <c r="BC437">
        <f t="shared" si="358"/>
        <v>-1.5495464610105041</v>
      </c>
      <c r="BD437">
        <f t="shared" si="346"/>
        <v>-268.7824724767836</v>
      </c>
      <c r="BF437">
        <f t="shared" si="347"/>
        <v>-50.801618474076513</v>
      </c>
      <c r="BG437">
        <f t="shared" si="348"/>
        <v>-184.86574466239585</v>
      </c>
      <c r="BH437">
        <f t="shared" si="359"/>
        <v>-4.8657446623958549</v>
      </c>
      <c r="BI437">
        <f t="shared" si="360"/>
        <v>-4.8657446623958549</v>
      </c>
      <c r="BJ437">
        <f t="shared" si="349"/>
        <v>0</v>
      </c>
      <c r="BK437">
        <f t="shared" si="361"/>
        <v>0</v>
      </c>
      <c r="BM437">
        <f t="shared" si="362"/>
        <v>-50.822838558227936</v>
      </c>
      <c r="BN437">
        <f t="shared" si="350"/>
        <v>-96.083272185612259</v>
      </c>
      <c r="BQ437" s="56">
        <f t="shared" si="363"/>
        <v>16.923180884436562</v>
      </c>
    </row>
    <row r="438" spans="1:69" x14ac:dyDescent="0.25">
      <c r="A438">
        <f t="shared" si="372"/>
        <v>1120000</v>
      </c>
      <c r="B438">
        <f t="shared" si="351"/>
        <v>1120</v>
      </c>
      <c r="C438">
        <f t="shared" si="320"/>
        <v>9.3427328444286371</v>
      </c>
      <c r="D438">
        <f t="shared" si="321"/>
        <v>1.4635558281463796</v>
      </c>
      <c r="F438">
        <f t="shared" si="322"/>
        <v>2.0432772108456875E-5</v>
      </c>
      <c r="G438">
        <f t="shared" si="323"/>
        <v>1.537668348116339E-3</v>
      </c>
      <c r="H438">
        <f t="shared" si="324"/>
        <v>-3.1400549816518839</v>
      </c>
      <c r="J438">
        <f t="shared" si="325"/>
        <v>15</v>
      </c>
      <c r="M438">
        <f t="shared" si="326"/>
        <v>1.3340214033063288E-3</v>
      </c>
      <c r="N438">
        <f t="shared" si="327"/>
        <v>-1.5707963250000001</v>
      </c>
      <c r="O438">
        <f t="shared" si="328"/>
        <v>286.42853869170114</v>
      </c>
      <c r="P438">
        <f t="shared" si="329"/>
        <v>1.5673050474828709</v>
      </c>
      <c r="Q438">
        <f t="shared" si="330"/>
        <v>242.42544694618985</v>
      </c>
      <c r="R438">
        <f t="shared" si="331"/>
        <v>1.5666713355923312</v>
      </c>
      <c r="S438">
        <f t="shared" si="332"/>
        <v>0.10874512065060191</v>
      </c>
      <c r="T438">
        <f t="shared" si="333"/>
        <v>-1.4618357299181794</v>
      </c>
      <c r="U438">
        <f t="shared" si="334"/>
        <v>0.13887475176995057</v>
      </c>
      <c r="V438">
        <f t="shared" si="335"/>
        <v>-1.4314712615001215</v>
      </c>
      <c r="X438">
        <f t="shared" si="352"/>
        <v>-47.946343087948044</v>
      </c>
      <c r="Y438">
        <f t="shared" si="336"/>
        <v>-172.26698554720278</v>
      </c>
      <c r="Z438">
        <f t="shared" si="353"/>
        <v>7.7330144527972209</v>
      </c>
      <c r="AC438">
        <v>1</v>
      </c>
      <c r="AD438">
        <f t="shared" si="337"/>
        <v>286.42679305027201</v>
      </c>
      <c r="AE438">
        <f t="shared" si="338"/>
        <v>-0.24187599953927574</v>
      </c>
      <c r="AF438">
        <f t="shared" si="339"/>
        <v>3.3919147523519995E-2</v>
      </c>
      <c r="AG438">
        <f t="shared" si="367"/>
        <v>158.80571327139384</v>
      </c>
      <c r="AH438">
        <f t="shared" si="368"/>
        <v>-1161.918665636797</v>
      </c>
      <c r="AJ438">
        <f t="shared" si="340"/>
        <v>22100</v>
      </c>
      <c r="AK438">
        <f t="shared" si="341"/>
        <v>202022.30190673441</v>
      </c>
      <c r="AL438">
        <v>1</v>
      </c>
      <c r="AM438">
        <f t="shared" si="342"/>
        <v>242.42338444766403</v>
      </c>
      <c r="AN438">
        <f t="shared" si="369"/>
        <v>833.70680653234672</v>
      </c>
      <c r="AO438">
        <f t="shared" si="370"/>
        <v>-87.723769890931308</v>
      </c>
      <c r="AQ438">
        <f t="shared" si="343"/>
        <v>1.992984296678831E-3</v>
      </c>
      <c r="AR438">
        <f t="shared" si="344"/>
        <v>-4.4642848245605817</v>
      </c>
      <c r="AT438">
        <f t="shared" si="365"/>
        <v>-5186.8193690832604</v>
      </c>
      <c r="AU438">
        <f t="shared" si="366"/>
        <v>-711.2696214656346</v>
      </c>
      <c r="AV438">
        <f t="shared" si="354"/>
        <v>-3.0053124390652726</v>
      </c>
      <c r="AW438">
        <f t="shared" si="355"/>
        <v>609.96076261736607</v>
      </c>
      <c r="AX438">
        <f t="shared" si="356"/>
        <v>-5210.710108138147</v>
      </c>
      <c r="AY438">
        <f t="shared" si="364"/>
        <v>-1.4542676054991082</v>
      </c>
      <c r="BA438">
        <f t="shared" si="345"/>
        <v>0.99791684298479577</v>
      </c>
      <c r="BB438">
        <f t="shared" si="357"/>
        <v>-1.8112944543561084E-2</v>
      </c>
      <c r="BC438">
        <f t="shared" si="358"/>
        <v>-1.5510448335661644</v>
      </c>
      <c r="BD438">
        <f t="shared" si="346"/>
        <v>-268.8683229004593</v>
      </c>
      <c r="BF438">
        <f t="shared" si="347"/>
        <v>-50.880263331254071</v>
      </c>
      <c r="BG438">
        <f t="shared" si="348"/>
        <v>-184.92464886334017</v>
      </c>
      <c r="BH438">
        <f t="shared" si="359"/>
        <v>-4.9246488633401668</v>
      </c>
      <c r="BI438">
        <f t="shared" si="360"/>
        <v>-4.9246488633401668</v>
      </c>
      <c r="BJ438">
        <f t="shared" si="349"/>
        <v>0</v>
      </c>
      <c r="BK438">
        <f t="shared" si="361"/>
        <v>0</v>
      </c>
      <c r="BM438">
        <f t="shared" si="362"/>
        <v>-50.86215038671051</v>
      </c>
      <c r="BN438">
        <f t="shared" si="350"/>
        <v>-96.056325962880891</v>
      </c>
      <c r="BQ438" s="56">
        <f t="shared" si="363"/>
        <v>16.883847855741575</v>
      </c>
    </row>
    <row r="439" spans="1:69" x14ac:dyDescent="0.25">
      <c r="A439">
        <f t="shared" si="372"/>
        <v>1125000</v>
      </c>
      <c r="B439">
        <f t="shared" si="351"/>
        <v>1125</v>
      </c>
      <c r="C439">
        <f t="shared" si="320"/>
        <v>9.3839646878390788</v>
      </c>
      <c r="D439">
        <f t="shared" si="321"/>
        <v>1.4640288307424687</v>
      </c>
      <c r="F439">
        <f t="shared" si="322"/>
        <v>2.0251547598556424E-5</v>
      </c>
      <c r="G439">
        <f t="shared" si="323"/>
        <v>1.5308339982187441E-3</v>
      </c>
      <c r="H439">
        <f t="shared" si="324"/>
        <v>-3.1400618160017815</v>
      </c>
      <c r="J439">
        <f t="shared" si="325"/>
        <v>15</v>
      </c>
      <c r="M439">
        <f t="shared" si="326"/>
        <v>1.3280924192916341E-3</v>
      </c>
      <c r="N439">
        <f t="shared" si="327"/>
        <v>-1.5707963250000001</v>
      </c>
      <c r="O439">
        <f t="shared" si="328"/>
        <v>287.70722197374477</v>
      </c>
      <c r="P439">
        <f t="shared" si="329"/>
        <v>1.5673205641545631</v>
      </c>
      <c r="Q439">
        <f t="shared" si="330"/>
        <v>243.50768503160572</v>
      </c>
      <c r="R439">
        <f t="shared" si="331"/>
        <v>1.5666896686799825</v>
      </c>
      <c r="S439">
        <f t="shared" si="332"/>
        <v>0.10826748680615639</v>
      </c>
      <c r="T439">
        <f t="shared" si="333"/>
        <v>-1.4623162005810062</v>
      </c>
      <c r="U439">
        <f t="shared" si="334"/>
        <v>0.13826935677463334</v>
      </c>
      <c r="V439">
        <f t="shared" si="335"/>
        <v>-1.4320825540392217</v>
      </c>
      <c r="X439">
        <f t="shared" si="352"/>
        <v>-48.022968549156658</v>
      </c>
      <c r="Y439">
        <f t="shared" si="336"/>
        <v>-172.30089004954195</v>
      </c>
      <c r="Z439">
        <f t="shared" si="353"/>
        <v>7.6991099504580518</v>
      </c>
      <c r="AC439">
        <v>1</v>
      </c>
      <c r="AD439">
        <f t="shared" si="337"/>
        <v>287.70548409067499</v>
      </c>
      <c r="AE439">
        <f t="shared" si="338"/>
        <v>-0.24404042722966826</v>
      </c>
      <c r="AF439">
        <f t="shared" si="339"/>
        <v>3.4070572289249999E-2</v>
      </c>
      <c r="AG439">
        <f t="shared" si="367"/>
        <v>157.42417153742954</v>
      </c>
      <c r="AH439">
        <f t="shared" si="368"/>
        <v>-1156.947460219448</v>
      </c>
      <c r="AJ439">
        <f t="shared" si="340"/>
        <v>22100</v>
      </c>
      <c r="AK439">
        <f t="shared" si="341"/>
        <v>202924.18718310376</v>
      </c>
      <c r="AL439">
        <v>1</v>
      </c>
      <c r="AM439">
        <f t="shared" si="342"/>
        <v>243.5056316996625</v>
      </c>
      <c r="AN439">
        <f t="shared" si="369"/>
        <v>833.70359718474674</v>
      </c>
      <c r="AO439">
        <f t="shared" si="370"/>
        <v>-87.333899648961292</v>
      </c>
      <c r="AQ439">
        <f t="shared" si="343"/>
        <v>1.9753082517909625E-3</v>
      </c>
      <c r="AR439">
        <f t="shared" si="344"/>
        <v>-4.4444435665296655</v>
      </c>
      <c r="AT439">
        <f t="shared" si="365"/>
        <v>-5141.6767351200924</v>
      </c>
      <c r="AU439">
        <f t="shared" si="366"/>
        <v>-701.94817427085127</v>
      </c>
      <c r="AV439">
        <f t="shared" si="354"/>
        <v>-3.0059101990592709</v>
      </c>
      <c r="AW439">
        <f t="shared" si="355"/>
        <v>611.9700860583763</v>
      </c>
      <c r="AX439">
        <f t="shared" si="356"/>
        <v>-5187.7373482858766</v>
      </c>
      <c r="AY439">
        <f t="shared" si="364"/>
        <v>-1.4533742498269615</v>
      </c>
      <c r="BA439">
        <f t="shared" si="345"/>
        <v>0.9934266743664546</v>
      </c>
      <c r="BB439">
        <f t="shared" si="357"/>
        <v>-5.7283660026483593E-2</v>
      </c>
      <c r="BC439">
        <f t="shared" si="358"/>
        <v>-1.5525359492323094</v>
      </c>
      <c r="BD439">
        <f t="shared" si="346"/>
        <v>-268.95375753499286</v>
      </c>
      <c r="BF439">
        <f t="shared" si="347"/>
        <v>-50.958566840519303</v>
      </c>
      <c r="BG439">
        <f t="shared" si="348"/>
        <v>-184.98337402479342</v>
      </c>
      <c r="BH439">
        <f t="shared" si="359"/>
        <v>-4.9833740247934202</v>
      </c>
      <c r="BI439">
        <f t="shared" si="360"/>
        <v>-4.9833740247934202</v>
      </c>
      <c r="BJ439">
        <f t="shared" si="349"/>
        <v>0</v>
      </c>
      <c r="BK439">
        <f t="shared" si="361"/>
        <v>0</v>
      </c>
      <c r="BM439">
        <f t="shared" si="362"/>
        <v>-50.901283180492811</v>
      </c>
      <c r="BN439">
        <f t="shared" si="350"/>
        <v>-96.029616489800574</v>
      </c>
      <c r="BQ439" s="56">
        <f t="shared" si="363"/>
        <v>16.844677140258653</v>
      </c>
    </row>
    <row r="440" spans="1:69" x14ac:dyDescent="0.25">
      <c r="A440">
        <f t="shared" si="372"/>
        <v>1130000</v>
      </c>
      <c r="B440">
        <f t="shared" si="351"/>
        <v>1130</v>
      </c>
      <c r="C440">
        <f t="shared" si="320"/>
        <v>9.4251986123683249</v>
      </c>
      <c r="D440">
        <f t="shared" si="321"/>
        <v>1.4644976948024062</v>
      </c>
      <c r="F440">
        <f t="shared" si="322"/>
        <v>2.0072723458628061E-5</v>
      </c>
      <c r="G440">
        <f t="shared" si="323"/>
        <v>1.5240601328323428E-3</v>
      </c>
      <c r="H440">
        <f t="shared" si="324"/>
        <v>-3.1400685898671679</v>
      </c>
      <c r="J440">
        <f t="shared" si="325"/>
        <v>15</v>
      </c>
      <c r="M440">
        <f t="shared" si="326"/>
        <v>1.322215904162025E-3</v>
      </c>
      <c r="N440">
        <f t="shared" si="327"/>
        <v>-1.5707963250000001</v>
      </c>
      <c r="O440">
        <f t="shared" si="328"/>
        <v>288.98590532444581</v>
      </c>
      <c r="P440">
        <f t="shared" si="329"/>
        <v>1.567335943512228</v>
      </c>
      <c r="Q440">
        <f t="shared" si="330"/>
        <v>244.58992319814078</v>
      </c>
      <c r="R440">
        <f t="shared" si="331"/>
        <v>1.566707839530644</v>
      </c>
      <c r="S440">
        <f t="shared" si="332"/>
        <v>0.10779400581231485</v>
      </c>
      <c r="T440">
        <f t="shared" si="333"/>
        <v>-1.4627924689144891</v>
      </c>
      <c r="U440">
        <f t="shared" si="334"/>
        <v>0.13766916627588094</v>
      </c>
      <c r="V440">
        <f t="shared" si="335"/>
        <v>-1.4326885398865077</v>
      </c>
      <c r="X440">
        <f t="shared" si="352"/>
        <v>-48.099260726950718</v>
      </c>
      <c r="Y440">
        <f t="shared" si="336"/>
        <v>-172.33450054325772</v>
      </c>
      <c r="Z440">
        <f t="shared" si="353"/>
        <v>7.6654994567422818</v>
      </c>
      <c r="AC440">
        <v>1</v>
      </c>
      <c r="AD440">
        <f t="shared" si="337"/>
        <v>288.98417513107802</v>
      </c>
      <c r="AE440">
        <f t="shared" si="338"/>
        <v>-0.24621449602335876</v>
      </c>
      <c r="AF440">
        <f t="shared" si="339"/>
        <v>3.4221997054979997E-2</v>
      </c>
      <c r="AG440">
        <f t="shared" si="367"/>
        <v>156.06046481012237</v>
      </c>
      <c r="AH440">
        <f t="shared" si="368"/>
        <v>-1152.0177688361509</v>
      </c>
      <c r="AJ440">
        <f t="shared" si="340"/>
        <v>22100</v>
      </c>
      <c r="AK440">
        <f t="shared" si="341"/>
        <v>203826.07245947313</v>
      </c>
      <c r="AL440">
        <v>1</v>
      </c>
      <c r="AM440">
        <f t="shared" si="342"/>
        <v>244.58787895166103</v>
      </c>
      <c r="AN440">
        <f t="shared" si="369"/>
        <v>833.70043034383434</v>
      </c>
      <c r="AO440">
        <f t="shared" si="370"/>
        <v>-86.947479412334729</v>
      </c>
      <c r="AQ440">
        <f t="shared" si="343"/>
        <v>1.95786632511036E-3</v>
      </c>
      <c r="AR440">
        <f t="shared" si="344"/>
        <v>-4.4247778947494139</v>
      </c>
      <c r="AT440">
        <f t="shared" si="365"/>
        <v>-5097.117212376008</v>
      </c>
      <c r="AU440">
        <f t="shared" si="366"/>
        <v>-692.78839173168137</v>
      </c>
      <c r="AV440">
        <f t="shared" si="354"/>
        <v>-3.0065027721168436</v>
      </c>
      <c r="AW440">
        <f t="shared" si="355"/>
        <v>613.95231254497185</v>
      </c>
      <c r="AX440">
        <f t="shared" si="356"/>
        <v>-5164.9655025385491</v>
      </c>
      <c r="AY440">
        <f t="shared" si="364"/>
        <v>-1.4524828707423034</v>
      </c>
      <c r="BA440">
        <f t="shared" si="345"/>
        <v>0.98897502924721925</v>
      </c>
      <c r="BB440">
        <f t="shared" si="357"/>
        <v>-9.6293476389062646E-2</v>
      </c>
      <c r="BC440">
        <f t="shared" si="358"/>
        <v>-1.5540199013745402</v>
      </c>
      <c r="BD440">
        <f t="shared" si="346"/>
        <v>-269.03878172983923</v>
      </c>
      <c r="BF440">
        <f t="shared" si="347"/>
        <v>-51.036532054962279</v>
      </c>
      <c r="BG440">
        <f t="shared" si="348"/>
        <v>-185.04192240170738</v>
      </c>
      <c r="BH440">
        <f t="shared" si="359"/>
        <v>-5.0419224017073816</v>
      </c>
      <c r="BI440">
        <f t="shared" si="360"/>
        <v>-5.0419224017073816</v>
      </c>
      <c r="BJ440">
        <f t="shared" si="349"/>
        <v>0</v>
      </c>
      <c r="BK440">
        <f t="shared" si="361"/>
        <v>0</v>
      </c>
      <c r="BM440">
        <f t="shared" si="362"/>
        <v>-50.940238578573215</v>
      </c>
      <c r="BN440">
        <f t="shared" si="350"/>
        <v>-96.003140671868167</v>
      </c>
      <c r="BQ440" s="56">
        <f t="shared" si="363"/>
        <v>16.805667323896074</v>
      </c>
    </row>
    <row r="441" spans="1:69" x14ac:dyDescent="0.25">
      <c r="A441">
        <f t="shared" si="372"/>
        <v>1135000</v>
      </c>
      <c r="B441">
        <f t="shared" si="351"/>
        <v>1135</v>
      </c>
      <c r="C441">
        <f t="shared" si="320"/>
        <v>9.4664345908215441</v>
      </c>
      <c r="D441">
        <f t="shared" si="321"/>
        <v>1.4649624742013279</v>
      </c>
      <c r="F441">
        <f t="shared" si="322"/>
        <v>1.98962574833747E-5</v>
      </c>
      <c r="G441">
        <f t="shared" si="323"/>
        <v>1.5173459525404157E-3</v>
      </c>
      <c r="H441">
        <f t="shared" si="324"/>
        <v>-3.1400753040474596</v>
      </c>
      <c r="J441">
        <f t="shared" si="325"/>
        <v>15</v>
      </c>
      <c r="M441">
        <f t="shared" si="326"/>
        <v>1.316391164496113E-3</v>
      </c>
      <c r="N441">
        <f t="shared" si="327"/>
        <v>-1.5707963250000001</v>
      </c>
      <c r="O441">
        <f t="shared" si="328"/>
        <v>290.26458874289693</v>
      </c>
      <c r="P441">
        <f t="shared" si="329"/>
        <v>1.5673511873705599</v>
      </c>
      <c r="Q441">
        <f t="shared" si="330"/>
        <v>245.67216144472295</v>
      </c>
      <c r="R441">
        <f t="shared" si="331"/>
        <v>1.5667258502883694</v>
      </c>
      <c r="S441">
        <f t="shared" si="332"/>
        <v>0.10732462406217062</v>
      </c>
      <c r="T441">
        <f t="shared" si="333"/>
        <v>-1.4632645895974215</v>
      </c>
      <c r="U441">
        <f t="shared" si="334"/>
        <v>0.13707411410653761</v>
      </c>
      <c r="V441">
        <f t="shared" si="335"/>
        <v>-1.4332892874059</v>
      </c>
      <c r="X441">
        <f t="shared" si="352"/>
        <v>-48.175222480634552</v>
      </c>
      <c r="Y441">
        <f t="shared" si="336"/>
        <v>-172.36782081034414</v>
      </c>
      <c r="Z441">
        <f t="shared" si="353"/>
        <v>7.632179189655858</v>
      </c>
      <c r="AC441">
        <v>1</v>
      </c>
      <c r="AD441">
        <f t="shared" si="337"/>
        <v>290.26286617148105</v>
      </c>
      <c r="AE441">
        <f t="shared" si="338"/>
        <v>-0.2483982059203472</v>
      </c>
      <c r="AF441">
        <f t="shared" si="339"/>
        <v>3.4373421820710001E-2</v>
      </c>
      <c r="AG441">
        <f t="shared" si="367"/>
        <v>154.71428939908751</v>
      </c>
      <c r="AH441">
        <f t="shared" si="368"/>
        <v>-1147.129084868056</v>
      </c>
      <c r="AJ441">
        <f t="shared" si="340"/>
        <v>22100</v>
      </c>
      <c r="AK441">
        <f t="shared" si="341"/>
        <v>204727.95773584247</v>
      </c>
      <c r="AL441">
        <v>1</v>
      </c>
      <c r="AM441">
        <f t="shared" si="342"/>
        <v>245.67012620365952</v>
      </c>
      <c r="AN441">
        <f t="shared" si="369"/>
        <v>833.69730526226624</v>
      </c>
      <c r="AO441">
        <f t="shared" si="370"/>
        <v>-86.564463589309412</v>
      </c>
      <c r="AQ441">
        <f t="shared" si="343"/>
        <v>1.9406544003077101E-3</v>
      </c>
      <c r="AR441">
        <f t="shared" si="344"/>
        <v>-4.4052854886985022</v>
      </c>
      <c r="AT441">
        <f t="shared" si="365"/>
        <v>-5053.1308642667273</v>
      </c>
      <c r="AU441">
        <f t="shared" si="366"/>
        <v>-683.78679509037079</v>
      </c>
      <c r="AV441">
        <f t="shared" si="354"/>
        <v>-3.0070902250192693</v>
      </c>
      <c r="AW441">
        <f t="shared" si="355"/>
        <v>615.90792882192352</v>
      </c>
      <c r="AX441">
        <f t="shared" si="356"/>
        <v>-5142.3919559553569</v>
      </c>
      <c r="AY441">
        <f t="shared" si="364"/>
        <v>-1.4515934433100632</v>
      </c>
      <c r="BA441">
        <f t="shared" si="345"/>
        <v>0.98456141216089377</v>
      </c>
      <c r="BB441">
        <f t="shared" si="357"/>
        <v>-0.13514378999358184</v>
      </c>
      <c r="BC441">
        <f t="shared" si="358"/>
        <v>-1.555496781709206</v>
      </c>
      <c r="BD441">
        <f t="shared" si="346"/>
        <v>-269.12340073995813</v>
      </c>
      <c r="BF441">
        <f t="shared" si="347"/>
        <v>-51.114161987355274</v>
      </c>
      <c r="BG441">
        <f t="shared" si="348"/>
        <v>-185.10029620802706</v>
      </c>
      <c r="BH441">
        <f t="shared" si="359"/>
        <v>-5.1002962080270606</v>
      </c>
      <c r="BI441">
        <f t="shared" si="360"/>
        <v>-5.1002962080270606</v>
      </c>
      <c r="BJ441">
        <f t="shared" si="349"/>
        <v>0</v>
      </c>
      <c r="BK441">
        <f t="shared" si="361"/>
        <v>0</v>
      </c>
      <c r="BM441">
        <f t="shared" si="362"/>
        <v>-50.979018197361697</v>
      </c>
      <c r="BN441">
        <f t="shared" si="350"/>
        <v>-95.976895468068932</v>
      </c>
      <c r="BQ441" s="56">
        <f t="shared" si="363"/>
        <v>16.766817010291554</v>
      </c>
    </row>
    <row r="442" spans="1:69" x14ac:dyDescent="0.25">
      <c r="A442">
        <f t="shared" si="372"/>
        <v>1140000</v>
      </c>
      <c r="B442">
        <f t="shared" si="351"/>
        <v>1140</v>
      </c>
      <c r="C442">
        <f t="shared" si="320"/>
        <v>9.5076725964743503</v>
      </c>
      <c r="D442">
        <f t="shared" si="321"/>
        <v>1.4654232218867995</v>
      </c>
      <c r="F442">
        <f t="shared" si="322"/>
        <v>1.9722108391054577E-5</v>
      </c>
      <c r="G442">
        <f t="shared" si="323"/>
        <v>1.5106906719524484E-3</v>
      </c>
      <c r="H442">
        <f t="shared" si="324"/>
        <v>-3.1400819593280476</v>
      </c>
      <c r="J442">
        <f t="shared" si="325"/>
        <v>15</v>
      </c>
      <c r="M442">
        <f t="shared" si="326"/>
        <v>1.3106175190377967E-3</v>
      </c>
      <c r="N442">
        <f t="shared" si="327"/>
        <v>-1.5707963250000001</v>
      </c>
      <c r="O442">
        <f t="shared" si="328"/>
        <v>291.54327222820666</v>
      </c>
      <c r="P442">
        <f t="shared" si="329"/>
        <v>1.5673662975124165</v>
      </c>
      <c r="Q442">
        <f t="shared" si="330"/>
        <v>246.75439977029899</v>
      </c>
      <c r="R442">
        <f t="shared" si="331"/>
        <v>1.5667437030595981</v>
      </c>
      <c r="S442">
        <f t="shared" si="332"/>
        <v>0.10685928886195792</v>
      </c>
      <c r="T442">
        <f t="shared" si="333"/>
        <v>-1.4637326163677655</v>
      </c>
      <c r="U442">
        <f t="shared" si="334"/>
        <v>0.1364841352049159</v>
      </c>
      <c r="V442">
        <f t="shared" si="335"/>
        <v>-1.4338848637996142</v>
      </c>
      <c r="X442">
        <f t="shared" si="352"/>
        <v>-48.250856633221311</v>
      </c>
      <c r="Y442">
        <f t="shared" si="336"/>
        <v>-172.40085456865017</v>
      </c>
      <c r="Z442">
        <f t="shared" si="353"/>
        <v>7.5991454313498252</v>
      </c>
      <c r="AC442">
        <v>1</v>
      </c>
      <c r="AD442">
        <f t="shared" si="337"/>
        <v>291.54155721188397</v>
      </c>
      <c r="AE442">
        <f t="shared" si="338"/>
        <v>-0.25059155692063362</v>
      </c>
      <c r="AF442">
        <f t="shared" si="339"/>
        <v>3.4524846586439999E-2</v>
      </c>
      <c r="AG442">
        <f t="shared" si="367"/>
        <v>153.38534800796901</v>
      </c>
      <c r="AH442">
        <f t="shared" si="368"/>
        <v>-1142.2809097034335</v>
      </c>
      <c r="AJ442">
        <f t="shared" si="340"/>
        <v>22100</v>
      </c>
      <c r="AK442">
        <f t="shared" si="341"/>
        <v>205629.84301221182</v>
      </c>
      <c r="AL442">
        <v>1</v>
      </c>
      <c r="AM442">
        <f t="shared" si="342"/>
        <v>246.75237345565805</v>
      </c>
      <c r="AN442">
        <f t="shared" si="369"/>
        <v>833.69422120905108</v>
      </c>
      <c r="AO442">
        <f t="shared" si="370"/>
        <v>-86.184807387931997</v>
      </c>
      <c r="AQ442">
        <f t="shared" si="343"/>
        <v>1.9236684511256441E-3</v>
      </c>
      <c r="AR442">
        <f t="shared" si="344"/>
        <v>-4.3859640685664685</v>
      </c>
      <c r="AT442">
        <f t="shared" si="365"/>
        <v>-5009.7079636138496</v>
      </c>
      <c r="AU442">
        <f t="shared" si="366"/>
        <v>-674.93999475583507</v>
      </c>
      <c r="AV442">
        <f t="shared" si="354"/>
        <v>-3.0076726234138866</v>
      </c>
      <c r="AW442">
        <f t="shared" si="355"/>
        <v>617.83741072114231</v>
      </c>
      <c r="AX442">
        <f t="shared" si="356"/>
        <v>-5120.0141386296254</v>
      </c>
      <c r="AY442">
        <f t="shared" si="364"/>
        <v>-1.4507059430744615</v>
      </c>
      <c r="BA442">
        <f t="shared" si="345"/>
        <v>0.98018533604858582</v>
      </c>
      <c r="BB442">
        <f t="shared" si="357"/>
        <v>-0.17383597976138176</v>
      </c>
      <c r="BC442">
        <f t="shared" si="358"/>
        <v>-1.5569666803394251</v>
      </c>
      <c r="BD442">
        <f t="shared" si="346"/>
        <v>-269.20761972787795</v>
      </c>
      <c r="BF442">
        <f t="shared" si="347"/>
        <v>-51.191459610857173</v>
      </c>
      <c r="BG442">
        <f t="shared" si="348"/>
        <v>-185.15849761760842</v>
      </c>
      <c r="BH442">
        <f t="shared" si="359"/>
        <v>-5.1584976176084183</v>
      </c>
      <c r="BI442">
        <f t="shared" si="360"/>
        <v>-5.1584976176084183</v>
      </c>
      <c r="BJ442">
        <f t="shared" si="349"/>
        <v>0</v>
      </c>
      <c r="BK442">
        <f t="shared" si="361"/>
        <v>0</v>
      </c>
      <c r="BM442">
        <f t="shared" si="362"/>
        <v>-51.017623631095788</v>
      </c>
      <c r="BN442">
        <f t="shared" si="350"/>
        <v>-95.950877889730435</v>
      </c>
      <c r="BQ442" s="56">
        <f t="shared" si="363"/>
        <v>16.728124820523757</v>
      </c>
    </row>
    <row r="443" spans="1:69" x14ac:dyDescent="0.25">
      <c r="A443">
        <f t="shared" si="372"/>
        <v>1145000</v>
      </c>
      <c r="B443">
        <f t="shared" si="351"/>
        <v>1145</v>
      </c>
      <c r="C443">
        <f t="shared" si="320"/>
        <v>9.5489126030627069</v>
      </c>
      <c r="D443">
        <f t="shared" si="321"/>
        <v>1.4658799898986188</v>
      </c>
      <c r="F443">
        <f t="shared" si="322"/>
        <v>1.9550235799335187E-5</v>
      </c>
      <c r="G443">
        <f t="shared" si="323"/>
        <v>1.5040935193978465E-3</v>
      </c>
      <c r="H443">
        <f t="shared" si="324"/>
        <v>-3.1400885564806025</v>
      </c>
      <c r="J443">
        <f t="shared" si="325"/>
        <v>15</v>
      </c>
      <c r="M443">
        <f t="shared" si="326"/>
        <v>1.3048942984306448E-3</v>
      </c>
      <c r="N443">
        <f t="shared" si="327"/>
        <v>-1.5707963250000001</v>
      </c>
      <c r="O443">
        <f t="shared" si="328"/>
        <v>292.82195577949915</v>
      </c>
      <c r="P443">
        <f t="shared" si="329"/>
        <v>1.5673812756895142</v>
      </c>
      <c r="Q443">
        <f t="shared" si="330"/>
        <v>247.83663817383413</v>
      </c>
      <c r="R443">
        <f t="shared" si="331"/>
        <v>1.5667613999139771</v>
      </c>
      <c r="S443">
        <f t="shared" si="332"/>
        <v>0.10639794841181142</v>
      </c>
      <c r="T443">
        <f t="shared" si="333"/>
        <v>-1.4641966020427242</v>
      </c>
      <c r="U443">
        <f t="shared" si="334"/>
        <v>0.13589916559205378</v>
      </c>
      <c r="V443">
        <f t="shared" si="335"/>
        <v>-1.4344753351325712</v>
      </c>
      <c r="X443">
        <f t="shared" si="352"/>
        <v>-48.32616597203868</v>
      </c>
      <c r="Y443">
        <f t="shared" si="336"/>
        <v>-172.43360547322447</v>
      </c>
      <c r="Z443">
        <f t="shared" si="353"/>
        <v>7.5663945267755253</v>
      </c>
      <c r="AC443">
        <v>1</v>
      </c>
      <c r="AD443">
        <f t="shared" si="337"/>
        <v>292.820248252287</v>
      </c>
      <c r="AE443">
        <f t="shared" si="338"/>
        <v>-0.25279454902421794</v>
      </c>
      <c r="AF443">
        <f t="shared" si="339"/>
        <v>3.4676271352169996E-2</v>
      </c>
      <c r="AG443">
        <f t="shared" si="367"/>
        <v>152.07334957466304</v>
      </c>
      <c r="AH443">
        <f t="shared" si="368"/>
        <v>-1137.4727525847693</v>
      </c>
      <c r="AJ443">
        <f t="shared" si="340"/>
        <v>22100</v>
      </c>
      <c r="AK443">
        <f t="shared" si="341"/>
        <v>206531.72828858116</v>
      </c>
      <c r="AL443">
        <v>1</v>
      </c>
      <c r="AM443">
        <f t="shared" si="342"/>
        <v>247.83462070765651</v>
      </c>
      <c r="AN443">
        <f t="shared" si="369"/>
        <v>833.69117746912332</v>
      </c>
      <c r="AO443">
        <f t="shared" si="370"/>
        <v>-85.808466798577044</v>
      </c>
      <c r="AQ443">
        <f t="shared" si="343"/>
        <v>1.9069045390239434E-3</v>
      </c>
      <c r="AR443">
        <f t="shared" si="344"/>
        <v>-4.3668113943648299</v>
      </c>
      <c r="AT443">
        <f t="shared" si="365"/>
        <v>-4966.8389874061295</v>
      </c>
      <c r="AU443">
        <f t="shared" si="366"/>
        <v>-666.24468765678444</v>
      </c>
      <c r="AV443">
        <f t="shared" si="354"/>
        <v>-3.0082500318378997</v>
      </c>
      <c r="AW443">
        <f t="shared" si="355"/>
        <v>619.74122345468447</v>
      </c>
      <c r="AX443">
        <f t="shared" si="356"/>
        <v>-5097.8295247264014</v>
      </c>
      <c r="AY443">
        <f t="shared" si="364"/>
        <v>-1.4498203460477306</v>
      </c>
      <c r="BA443">
        <f t="shared" si="345"/>
        <v>0.9758463220825947</v>
      </c>
      <c r="BB443">
        <f t="shared" si="357"/>
        <v>-0.21237140745557273</v>
      </c>
      <c r="BC443">
        <f t="shared" si="358"/>
        <v>-1.5584296857901692</v>
      </c>
      <c r="BD443">
        <f t="shared" si="346"/>
        <v>-269.29144376570605</v>
      </c>
      <c r="BF443">
        <f t="shared" si="347"/>
        <v>-51.268427859702477</v>
      </c>
      <c r="BG443">
        <f t="shared" si="348"/>
        <v>-185.21652876511138</v>
      </c>
      <c r="BH443">
        <f t="shared" si="359"/>
        <v>-5.2165287651113772</v>
      </c>
      <c r="BI443">
        <f t="shared" si="360"/>
        <v>-5.2165287651113772</v>
      </c>
      <c r="BJ443">
        <f t="shared" si="349"/>
        <v>0</v>
      </c>
      <c r="BK443">
        <f t="shared" si="361"/>
        <v>0</v>
      </c>
      <c r="BM443">
        <f t="shared" si="362"/>
        <v>-51.056056452246906</v>
      </c>
      <c r="BN443">
        <f t="shared" si="350"/>
        <v>-95.925084999405328</v>
      </c>
      <c r="BQ443" s="56">
        <f t="shared" si="363"/>
        <v>16.689589392829561</v>
      </c>
    </row>
    <row r="444" spans="1:69" x14ac:dyDescent="0.25">
      <c r="A444">
        <f t="shared" si="372"/>
        <v>1150000</v>
      </c>
      <c r="B444">
        <f t="shared" si="351"/>
        <v>1150</v>
      </c>
      <c r="C444">
        <f t="shared" si="320"/>
        <v>9.5901545847730816</v>
      </c>
      <c r="D444">
        <f t="shared" si="321"/>
        <v>1.4663328293881124</v>
      </c>
      <c r="F444">
        <f t="shared" si="322"/>
        <v>1.9380600201880612E-5</v>
      </c>
      <c r="G444">
        <f t="shared" si="323"/>
        <v>1.4975537366276426E-3</v>
      </c>
      <c r="H444">
        <f t="shared" si="324"/>
        <v>-3.1400950962633725</v>
      </c>
      <c r="J444">
        <f t="shared" si="325"/>
        <v>15</v>
      </c>
      <c r="M444">
        <f t="shared" si="326"/>
        <v>1.2992208449592072E-3</v>
      </c>
      <c r="N444">
        <f t="shared" si="327"/>
        <v>-1.5707963250000001</v>
      </c>
      <c r="O444">
        <f t="shared" si="328"/>
        <v>294.10063939591384</v>
      </c>
      <c r="P444">
        <f t="shared" si="329"/>
        <v>1.5673961236231064</v>
      </c>
      <c r="Q444">
        <f t="shared" si="330"/>
        <v>248.9188766543115</v>
      </c>
      <c r="R444">
        <f t="shared" si="331"/>
        <v>1.5667789428851604</v>
      </c>
      <c r="S444">
        <f t="shared" si="332"/>
        <v>0.10594055178700722</v>
      </c>
      <c r="T444">
        <f t="shared" si="333"/>
        <v>-1.4646565985382995</v>
      </c>
      <c r="U444">
        <f t="shared" si="334"/>
        <v>0.13531914234952394</v>
      </c>
      <c r="V444">
        <f t="shared" si="335"/>
        <v>-1.4350607663561989</v>
      </c>
      <c r="X444">
        <f t="shared" si="352"/>
        <v>-48.401153249322171</v>
      </c>
      <c r="Y444">
        <f t="shared" si="336"/>
        <v>-172.46607711762647</v>
      </c>
      <c r="Z444">
        <f t="shared" si="353"/>
        <v>7.5339228823735311</v>
      </c>
      <c r="AC444">
        <v>1</v>
      </c>
      <c r="AD444">
        <f t="shared" si="337"/>
        <v>294.09893929269003</v>
      </c>
      <c r="AE444">
        <f t="shared" si="338"/>
        <v>-0.2550071822311003</v>
      </c>
      <c r="AF444">
        <f t="shared" si="339"/>
        <v>3.4827696117900001E-2</v>
      </c>
      <c r="AG444">
        <f t="shared" si="367"/>
        <v>150.77800911614548</v>
      </c>
      <c r="AH444">
        <f t="shared" si="368"/>
        <v>-1132.7041304592067</v>
      </c>
      <c r="AJ444">
        <f t="shared" si="340"/>
        <v>22100</v>
      </c>
      <c r="AK444">
        <f t="shared" si="341"/>
        <v>207433.6135649505</v>
      </c>
      <c r="AL444">
        <v>1</v>
      </c>
      <c r="AM444">
        <f t="shared" si="342"/>
        <v>248.91686795965504</v>
      </c>
      <c r="AN444">
        <f t="shared" si="369"/>
        <v>833.68817334292726</v>
      </c>
      <c r="AO444">
        <f t="shared" si="370"/>
        <v>-85.435398576941594</v>
      </c>
      <c r="AQ444">
        <f t="shared" si="343"/>
        <v>1.8903588108962551E-3</v>
      </c>
      <c r="AR444">
        <f t="shared" si="344"/>
        <v>-4.3478252650613864</v>
      </c>
      <c r="AT444">
        <f t="shared" si="365"/>
        <v>-4924.5146117119057</v>
      </c>
      <c r="AU444">
        <f t="shared" si="366"/>
        <v>-657.69765468398555</v>
      </c>
      <c r="AV444">
        <f t="shared" si="354"/>
        <v>-3.0088225137415865</v>
      </c>
      <c r="AW444">
        <f t="shared" si="355"/>
        <v>621.61982189860089</v>
      </c>
      <c r="AX444">
        <f t="shared" si="356"/>
        <v>-5075.8356315445299</v>
      </c>
      <c r="AY444">
        <f t="shared" si="364"/>
        <v>-1.4489366286991516</v>
      </c>
      <c r="BA444">
        <f t="shared" si="345"/>
        <v>0.97154389949465769</v>
      </c>
      <c r="BB444">
        <f t="shared" si="357"/>
        <v>-0.25075141795827238</v>
      </c>
      <c r="BC444">
        <f t="shared" si="358"/>
        <v>-1.5598858850424349</v>
      </c>
      <c r="BD444">
        <f t="shared" si="346"/>
        <v>-269.37487783708627</v>
      </c>
      <c r="BF444">
        <f t="shared" si="347"/>
        <v>-51.345069629875667</v>
      </c>
      <c r="BG444">
        <f t="shared" si="348"/>
        <v>-185.27439174686921</v>
      </c>
      <c r="BH444">
        <f t="shared" si="359"/>
        <v>-5.2743917468692132</v>
      </c>
      <c r="BI444">
        <f t="shared" si="360"/>
        <v>-5.2743917468692132</v>
      </c>
      <c r="BJ444">
        <f t="shared" si="349"/>
        <v>0</v>
      </c>
      <c r="BK444">
        <f t="shared" si="361"/>
        <v>0</v>
      </c>
      <c r="BM444">
        <f t="shared" si="362"/>
        <v>-51.094318211917397</v>
      </c>
      <c r="BN444">
        <f t="shared" si="350"/>
        <v>-95.899513909782925</v>
      </c>
      <c r="BQ444" s="56">
        <f t="shared" si="363"/>
        <v>16.651209382326865</v>
      </c>
    </row>
    <row r="445" spans="1:69" x14ac:dyDescent="0.25">
      <c r="A445">
        <f t="shared" si="372"/>
        <v>1155000</v>
      </c>
      <c r="B445">
        <f t="shared" si="351"/>
        <v>1155</v>
      </c>
      <c r="C445">
        <f t="shared" si="320"/>
        <v>9.6313985162328493</v>
      </c>
      <c r="D445">
        <f t="shared" si="321"/>
        <v>1.4667817906369469</v>
      </c>
      <c r="F445">
        <f t="shared" si="322"/>
        <v>1.9213162945646753E-5</v>
      </c>
      <c r="G445">
        <f t="shared" si="323"/>
        <v>1.4910705785239529E-3</v>
      </c>
      <c r="H445">
        <f t="shared" si="324"/>
        <v>-3.1401015794214762</v>
      </c>
      <c r="J445">
        <f t="shared" si="325"/>
        <v>15</v>
      </c>
      <c r="M445">
        <f t="shared" si="326"/>
        <v>1.2935965122970461E-3</v>
      </c>
      <c r="N445">
        <f t="shared" si="327"/>
        <v>-1.5707963250000001</v>
      </c>
      <c r="O445">
        <f t="shared" si="328"/>
        <v>295.37932307660486</v>
      </c>
      <c r="P445">
        <f t="shared" si="329"/>
        <v>1.5674108430046405</v>
      </c>
      <c r="Q445">
        <f t="shared" si="330"/>
        <v>250.00111521073185</v>
      </c>
      <c r="R445">
        <f t="shared" si="331"/>
        <v>1.566796333971588</v>
      </c>
      <c r="S445">
        <f t="shared" si="332"/>
        <v>0.10548704891967105</v>
      </c>
      <c r="T445">
        <f t="shared" si="333"/>
        <v>-1.4651126568883597</v>
      </c>
      <c r="U445">
        <f t="shared" si="334"/>
        <v>0.13474400359778091</v>
      </c>
      <c r="V445">
        <f t="shared" si="335"/>
        <v>-1.4356412213316423</v>
      </c>
      <c r="X445">
        <f t="shared" si="352"/>
        <v>-48.47582118279621</v>
      </c>
      <c r="Y445">
        <f t="shared" si="336"/>
        <v>-172.49827303520539</v>
      </c>
      <c r="Z445">
        <f t="shared" si="353"/>
        <v>7.5017269647946137</v>
      </c>
      <c r="AC445">
        <v>1</v>
      </c>
      <c r="AD445">
        <f t="shared" si="337"/>
        <v>295.37763033309301</v>
      </c>
      <c r="AE445">
        <f t="shared" si="338"/>
        <v>-0.2572294565412806</v>
      </c>
      <c r="AF445">
        <f t="shared" si="339"/>
        <v>3.4979120883629998E-2</v>
      </c>
      <c r="AG445">
        <f t="shared" si="367"/>
        <v>149.49904757775744</v>
      </c>
      <c r="AH445">
        <f t="shared" si="368"/>
        <v>-1127.9745678322795</v>
      </c>
      <c r="AJ445">
        <f t="shared" si="340"/>
        <v>22100</v>
      </c>
      <c r="AK445">
        <f t="shared" si="341"/>
        <v>208335.49884131984</v>
      </c>
      <c r="AL445">
        <v>1</v>
      </c>
      <c r="AM445">
        <f t="shared" si="342"/>
        <v>249.99911521165353</v>
      </c>
      <c r="AN445">
        <f t="shared" si="369"/>
        <v>833.68520814601641</v>
      </c>
      <c r="AO445">
        <f t="shared" si="370"/>
        <v>-85.065560227481427</v>
      </c>
      <c r="AQ445">
        <f t="shared" si="343"/>
        <v>1.8740274968558504E-3</v>
      </c>
      <c r="AR445">
        <f t="shared" si="344"/>
        <v>-4.3290035177370143</v>
      </c>
      <c r="AT445">
        <f t="shared" si="365"/>
        <v>-4882.7257067379114</v>
      </c>
      <c r="AU445">
        <f t="shared" si="366"/>
        <v>-649.29575821831702</v>
      </c>
      <c r="AV445">
        <f t="shared" si="354"/>
        <v>-3.0093901315109366</v>
      </c>
      <c r="AW445">
        <f t="shared" si="355"/>
        <v>623.47365086795799</v>
      </c>
      <c r="AX445">
        <f t="shared" si="356"/>
        <v>-5054.0300186025443</v>
      </c>
      <c r="AY445">
        <f t="shared" si="364"/>
        <v>-1.4480547679444005</v>
      </c>
      <c r="BA445">
        <f t="shared" si="345"/>
        <v>0.96727760540845109</v>
      </c>
      <c r="BB445">
        <f t="shared" si="357"/>
        <v>-0.28897733954231164</v>
      </c>
      <c r="BC445">
        <f t="shared" si="358"/>
        <v>-1.5613353635665361</v>
      </c>
      <c r="BD445">
        <f t="shared" si="346"/>
        <v>-269.45792683910707</v>
      </c>
      <c r="BF445">
        <f t="shared" si="347"/>
        <v>-51.421387779770868</v>
      </c>
      <c r="BG445">
        <f t="shared" si="348"/>
        <v>-185.33208862173512</v>
      </c>
      <c r="BH445">
        <f t="shared" si="359"/>
        <v>-5.3320886217351244</v>
      </c>
      <c r="BI445">
        <f t="shared" si="360"/>
        <v>-5.3320886217351244</v>
      </c>
      <c r="BJ445">
        <f t="shared" si="349"/>
        <v>0</v>
      </c>
      <c r="BK445">
        <f t="shared" si="361"/>
        <v>0</v>
      </c>
      <c r="BM445">
        <f t="shared" si="362"/>
        <v>-51.132410440228554</v>
      </c>
      <c r="BN445">
        <f t="shared" si="350"/>
        <v>-95.874161782628065</v>
      </c>
      <c r="BQ445" s="56">
        <f t="shared" si="363"/>
        <v>16.612983460742825</v>
      </c>
    </row>
    <row r="446" spans="1:69" x14ac:dyDescent="0.25">
      <c r="A446">
        <f t="shared" si="372"/>
        <v>1160000</v>
      </c>
      <c r="B446">
        <f t="shared" si="351"/>
        <v>1160</v>
      </c>
      <c r="C446">
        <f t="shared" si="320"/>
        <v>9.672644372500951</v>
      </c>
      <c r="D446">
        <f t="shared" si="321"/>
        <v>1.4672269230754638</v>
      </c>
      <c r="F446">
        <f t="shared" si="322"/>
        <v>1.9047886208860225E-5</v>
      </c>
      <c r="G446">
        <f t="shared" si="323"/>
        <v>1.4846433128169465E-3</v>
      </c>
      <c r="H446">
        <f t="shared" si="324"/>
        <v>-3.1401080066871834</v>
      </c>
      <c r="J446">
        <f t="shared" si="325"/>
        <v>15</v>
      </c>
      <c r="M446">
        <f t="shared" si="326"/>
        <v>1.2880206652612831E-3</v>
      </c>
      <c r="N446">
        <f t="shared" si="327"/>
        <v>-1.5707963250000001</v>
      </c>
      <c r="O446">
        <f t="shared" si="328"/>
        <v>296.65800682074121</v>
      </c>
      <c r="P446">
        <f t="shared" si="329"/>
        <v>1.5674254354964028</v>
      </c>
      <c r="Q446">
        <f t="shared" si="330"/>
        <v>251.08335384211321</v>
      </c>
      <c r="R446">
        <f t="shared" si="331"/>
        <v>1.5668135751372452</v>
      </c>
      <c r="S446">
        <f t="shared" si="332"/>
        <v>0.10503739058094066</v>
      </c>
      <c r="T446">
        <f t="shared" si="333"/>
        <v>-1.4655648272632229</v>
      </c>
      <c r="U446">
        <f t="shared" si="334"/>
        <v>0.13417368847503039</v>
      </c>
      <c r="V446">
        <f t="shared" si="335"/>
        <v>-1.4362167628523976</v>
      </c>
      <c r="X446">
        <f t="shared" si="352"/>
        <v>-48.550172456243345</v>
      </c>
      <c r="Y446">
        <f t="shared" si="336"/>
        <v>-172.53019670034703</v>
      </c>
      <c r="Z446">
        <f t="shared" si="353"/>
        <v>7.4698032996529662</v>
      </c>
      <c r="AC446">
        <v>1</v>
      </c>
      <c r="AD446">
        <f t="shared" si="337"/>
        <v>296.65632137349604</v>
      </c>
      <c r="AE446">
        <f t="shared" si="338"/>
        <v>-0.25946137195475882</v>
      </c>
      <c r="AF446">
        <f t="shared" si="339"/>
        <v>3.5130545649359995E-2</v>
      </c>
      <c r="AG446">
        <f t="shared" si="367"/>
        <v>148.23619168680116</v>
      </c>
      <c r="AH446">
        <f t="shared" si="368"/>
        <v>-1123.2835966248351</v>
      </c>
      <c r="AJ446">
        <f t="shared" si="340"/>
        <v>22100</v>
      </c>
      <c r="AK446">
        <f t="shared" si="341"/>
        <v>209237.38411768925</v>
      </c>
      <c r="AL446">
        <v>1</v>
      </c>
      <c r="AM446">
        <f t="shared" si="342"/>
        <v>251.08136246365206</v>
      </c>
      <c r="AN446">
        <f t="shared" si="369"/>
        <v>833.68228120866263</v>
      </c>
      <c r="AO446">
        <f t="shared" si="370"/>
        <v>-84.698909987275414</v>
      </c>
      <c r="AQ446">
        <f t="shared" si="343"/>
        <v>1.8579069080880447E-3</v>
      </c>
      <c r="AR446">
        <f t="shared" si="344"/>
        <v>-4.3103440267642634</v>
      </c>
      <c r="AT446">
        <f t="shared" si="365"/>
        <v>-4841.4633320295734</v>
      </c>
      <c r="AU446">
        <f t="shared" si="366"/>
        <v>-641.0359397413971</v>
      </c>
      <c r="AV446">
        <f t="shared" si="354"/>
        <v>-3.0099529464897237</v>
      </c>
      <c r="AW446">
        <f t="shared" si="355"/>
        <v>625.30314538334301</v>
      </c>
      <c r="AX446">
        <f t="shared" si="356"/>
        <v>-5032.4102867476277</v>
      </c>
      <c r="AY446">
        <f t="shared" si="364"/>
        <v>-1.4471747411351872</v>
      </c>
      <c r="BA446">
        <f t="shared" si="345"/>
        <v>0.96304698467620953</v>
      </c>
      <c r="BB446">
        <f t="shared" si="357"/>
        <v>-0.32705048413766918</v>
      </c>
      <c r="BC446">
        <f t="shared" si="358"/>
        <v>-1.5627782053545365</v>
      </c>
      <c r="BD446">
        <f t="shared" si="346"/>
        <v>-269.54059558415906</v>
      </c>
      <c r="BF446">
        <f t="shared" si="347"/>
        <v>-51.497385130837429</v>
      </c>
      <c r="BG446">
        <f t="shared" si="348"/>
        <v>-185.38962141190586</v>
      </c>
      <c r="BH446">
        <f t="shared" si="359"/>
        <v>-5.3896214119058641</v>
      </c>
      <c r="BI446">
        <f t="shared" si="360"/>
        <v>-5.3896214119058641</v>
      </c>
      <c r="BJ446">
        <f t="shared" si="349"/>
        <v>0</v>
      </c>
      <c r="BK446">
        <f t="shared" si="361"/>
        <v>0</v>
      </c>
      <c r="BM446">
        <f t="shared" si="362"/>
        <v>-51.170334646699757</v>
      </c>
      <c r="BN446">
        <f t="shared" si="350"/>
        <v>-95.8490258277468</v>
      </c>
      <c r="BQ446" s="56">
        <f t="shared" si="363"/>
        <v>16.57491031614747</v>
      </c>
    </row>
    <row r="447" spans="1:69" x14ac:dyDescent="0.25">
      <c r="A447">
        <f t="shared" si="372"/>
        <v>1165000</v>
      </c>
      <c r="B447">
        <f t="shared" si="351"/>
        <v>1165</v>
      </c>
      <c r="C447">
        <f t="shared" si="320"/>
        <v>9.713892129058781</v>
      </c>
      <c r="D447">
        <f t="shared" si="321"/>
        <v>1.4676682753005559</v>
      </c>
      <c r="F447">
        <f t="shared" si="322"/>
        <v>1.8884732979657412E-5</v>
      </c>
      <c r="G447">
        <f t="shared" si="323"/>
        <v>1.4782712198091073E-3</v>
      </c>
      <c r="H447">
        <f t="shared" si="324"/>
        <v>-3.1401143787801913</v>
      </c>
      <c r="J447">
        <f t="shared" si="325"/>
        <v>15</v>
      </c>
      <c r="M447">
        <f t="shared" si="326"/>
        <v>1.2824926795734664E-3</v>
      </c>
      <c r="N447">
        <f t="shared" si="327"/>
        <v>-1.5707963250000001</v>
      </c>
      <c r="O447">
        <f t="shared" si="328"/>
        <v>297.93669062750581</v>
      </c>
      <c r="P447">
        <f t="shared" si="329"/>
        <v>1.5674399027321424</v>
      </c>
      <c r="Q447">
        <f t="shared" si="330"/>
        <v>252.16559254749038</v>
      </c>
      <c r="R447">
        <f t="shared" si="331"/>
        <v>1.5668306683124016</v>
      </c>
      <c r="S447">
        <f t="shared" si="332"/>
        <v>0.10459152836356921</v>
      </c>
      <c r="T447">
        <f t="shared" si="333"/>
        <v>-1.4660131589877787</v>
      </c>
      <c r="U447">
        <f t="shared" si="334"/>
        <v>0.13360813711660635</v>
      </c>
      <c r="V447">
        <f t="shared" si="335"/>
        <v>-1.4367874526663924</v>
      </c>
      <c r="X447">
        <f t="shared" si="352"/>
        <v>-48.62420972006197</v>
      </c>
      <c r="Y447">
        <f t="shared" si="336"/>
        <v>-172.56185152969056</v>
      </c>
      <c r="Z447">
        <f t="shared" si="353"/>
        <v>7.4381484703094429</v>
      </c>
      <c r="AC447">
        <v>1</v>
      </c>
      <c r="AD447">
        <f t="shared" si="337"/>
        <v>297.93501241389902</v>
      </c>
      <c r="AE447">
        <f t="shared" si="338"/>
        <v>-0.26170292847153509</v>
      </c>
      <c r="AF447">
        <f t="shared" si="339"/>
        <v>3.528197041509E-2</v>
      </c>
      <c r="AG447">
        <f t="shared" si="367"/>
        <v>146.98917381030773</v>
      </c>
      <c r="AH447">
        <f t="shared" si="368"/>
        <v>-1118.6307560330833</v>
      </c>
      <c r="AJ447">
        <f t="shared" si="340"/>
        <v>22100</v>
      </c>
      <c r="AK447">
        <f t="shared" si="341"/>
        <v>210139.26939405859</v>
      </c>
      <c r="AL447">
        <v>1</v>
      </c>
      <c r="AM447">
        <f t="shared" si="342"/>
        <v>252.16360971565052</v>
      </c>
      <c r="AN447">
        <f t="shared" si="369"/>
        <v>833.67939187547802</v>
      </c>
      <c r="AO447">
        <f t="shared" si="370"/>
        <v>-84.335406810305628</v>
      </c>
      <c r="AQ447">
        <f t="shared" si="343"/>
        <v>1.8419934347669998E-3</v>
      </c>
      <c r="AR447">
        <f t="shared" si="344"/>
        <v>-4.2918447030071096</v>
      </c>
      <c r="AT447">
        <f t="shared" si="365"/>
        <v>-4800.718731808287</v>
      </c>
      <c r="AU447">
        <f t="shared" si="366"/>
        <v>-632.91521752570202</v>
      </c>
      <c r="AV447">
        <f t="shared" si="354"/>
        <v>-3.0105110190010391</v>
      </c>
      <c r="AW447">
        <f t="shared" si="355"/>
        <v>627.10873092915108</v>
      </c>
      <c r="AX447">
        <f t="shared" si="356"/>
        <v>-5010.9740772869918</v>
      </c>
      <c r="AY447">
        <f t="shared" si="364"/>
        <v>-1.4462965260491851</v>
      </c>
      <c r="BA447">
        <f t="shared" si="345"/>
        <v>0.9588515897193528</v>
      </c>
      <c r="BB447">
        <f t="shared" si="357"/>
        <v>-0.36497214759270469</v>
      </c>
      <c r="BC447">
        <f t="shared" si="358"/>
        <v>-1.564214492951854</v>
      </c>
      <c r="BD447">
        <f t="shared" si="346"/>
        <v>-269.6228888017464</v>
      </c>
      <c r="BF447">
        <f t="shared" si="347"/>
        <v>-51.573064468211804</v>
      </c>
      <c r="BG447">
        <f t="shared" si="348"/>
        <v>-185.44699210372423</v>
      </c>
      <c r="BH447">
        <f t="shared" si="359"/>
        <v>-5.4469921037242273</v>
      </c>
      <c r="BI447">
        <f t="shared" si="360"/>
        <v>-5.4469921037242273</v>
      </c>
      <c r="BJ447">
        <f t="shared" si="349"/>
        <v>0</v>
      </c>
      <c r="BK447">
        <f t="shared" si="361"/>
        <v>0</v>
      </c>
      <c r="BM447">
        <f t="shared" si="362"/>
        <v>-51.208092320619095</v>
      </c>
      <c r="BN447">
        <f t="shared" si="350"/>
        <v>-95.824103301977857</v>
      </c>
      <c r="BQ447" s="56">
        <f t="shared" si="363"/>
        <v>16.536988652692433</v>
      </c>
    </row>
    <row r="448" spans="1:69" x14ac:dyDescent="0.25">
      <c r="A448">
        <f t="shared" si="372"/>
        <v>1170000</v>
      </c>
      <c r="B448">
        <f t="shared" si="351"/>
        <v>1170</v>
      </c>
      <c r="C448">
        <f t="shared" si="320"/>
        <v>9.755141761801303</v>
      </c>
      <c r="D448">
        <f t="shared" si="321"/>
        <v>1.4681058950930952</v>
      </c>
      <c r="F448">
        <f t="shared" si="322"/>
        <v>1.8723667035361157E-5</v>
      </c>
      <c r="G448">
        <f t="shared" si="323"/>
        <v>1.4719535921065639E-3</v>
      </c>
      <c r="H448">
        <f t="shared" si="324"/>
        <v>-3.1401206964078936</v>
      </c>
      <c r="J448">
        <f t="shared" si="325"/>
        <v>15</v>
      </c>
      <c r="M448">
        <f t="shared" si="326"/>
        <v>1.2770119416265712E-3</v>
      </c>
      <c r="N448">
        <f t="shared" si="327"/>
        <v>-1.5707963250000001</v>
      </c>
      <c r="O448">
        <f t="shared" si="328"/>
        <v>299.21537449609599</v>
      </c>
      <c r="P448">
        <f t="shared" si="329"/>
        <v>1.5674542463176813</v>
      </c>
      <c r="Q448">
        <f t="shared" si="330"/>
        <v>253.24783132591475</v>
      </c>
      <c r="R448">
        <f t="shared" si="331"/>
        <v>1.5668476153943316</v>
      </c>
      <c r="S448">
        <f t="shared" si="332"/>
        <v>0.10414941466495678</v>
      </c>
      <c r="T448">
        <f t="shared" si="333"/>
        <v>-1.4664577005591526</v>
      </c>
      <c r="U448">
        <f t="shared" si="334"/>
        <v>0.13304729063484233</v>
      </c>
      <c r="V448">
        <f t="shared" si="335"/>
        <v>-1.4373533514975192</v>
      </c>
      <c r="X448">
        <f t="shared" si="352"/>
        <v>-48.697935591812609</v>
      </c>
      <c r="Y448">
        <f t="shared" si="336"/>
        <v>-172.5932408833151</v>
      </c>
      <c r="Z448">
        <f t="shared" si="353"/>
        <v>7.4067591166848956</v>
      </c>
      <c r="AC448">
        <v>1</v>
      </c>
      <c r="AD448">
        <f t="shared" si="337"/>
        <v>299.21370345430199</v>
      </c>
      <c r="AE448">
        <f t="shared" si="338"/>
        <v>-0.26395412609160923</v>
      </c>
      <c r="AF448">
        <f t="shared" si="339"/>
        <v>3.5433395180819997E-2</v>
      </c>
      <c r="AG448">
        <f t="shared" si="367"/>
        <v>145.75773181684386</v>
      </c>
      <c r="AH448">
        <f t="shared" si="368"/>
        <v>-1114.0155923916936</v>
      </c>
      <c r="AJ448">
        <f t="shared" si="340"/>
        <v>22100</v>
      </c>
      <c r="AK448">
        <f t="shared" si="341"/>
        <v>211041.15467042793</v>
      </c>
      <c r="AL448">
        <v>1</v>
      </c>
      <c r="AM448">
        <f t="shared" si="342"/>
        <v>253.24585696764905</v>
      </c>
      <c r="AN448">
        <f t="shared" si="369"/>
        <v>833.67653950504814</v>
      </c>
      <c r="AO448">
        <f t="shared" si="370"/>
        <v>-83.975010352140231</v>
      </c>
      <c r="AQ448">
        <f t="shared" si="343"/>
        <v>1.8262835440347096E-3</v>
      </c>
      <c r="AR448">
        <f t="shared" si="344"/>
        <v>-4.2735034930412201</v>
      </c>
      <c r="AT448">
        <f t="shared" si="365"/>
        <v>-4760.4833304412541</v>
      </c>
      <c r="AU448">
        <f t="shared" si="366"/>
        <v>-624.93068440123056</v>
      </c>
      <c r="AV448">
        <f t="shared" si="354"/>
        <v>-3.0110644083682963</v>
      </c>
      <c r="AW448">
        <f t="shared" si="355"/>
        <v>628.89082370394999</v>
      </c>
      <c r="AX448">
        <f t="shared" si="356"/>
        <v>-4989.719071141013</v>
      </c>
      <c r="AY448">
        <f t="shared" si="364"/>
        <v>-1.4454201008802363</v>
      </c>
      <c r="BA448">
        <f t="shared" si="345"/>
        <v>0.95469098037301181</v>
      </c>
      <c r="BB448">
        <f t="shared" si="357"/>
        <v>-0.40274360993026381</v>
      </c>
      <c r="BC448">
        <f t="shared" si="358"/>
        <v>-1.5656443074880599</v>
      </c>
      <c r="BD448">
        <f t="shared" si="346"/>
        <v>-269.70481114025102</v>
      </c>
      <c r="BF448">
        <f t="shared" si="347"/>
        <v>-51.648428541335932</v>
      </c>
      <c r="BG448">
        <f t="shared" si="348"/>
        <v>-185.50420264846062</v>
      </c>
      <c r="BH448">
        <f t="shared" si="359"/>
        <v>-5.5042026484606197</v>
      </c>
      <c r="BI448">
        <f t="shared" si="360"/>
        <v>-5.5042026484606197</v>
      </c>
      <c r="BJ448">
        <f t="shared" si="349"/>
        <v>0</v>
      </c>
      <c r="BK448">
        <f t="shared" si="361"/>
        <v>0</v>
      </c>
      <c r="BM448">
        <f t="shared" si="362"/>
        <v>-51.245684931405663</v>
      </c>
      <c r="BN448">
        <f t="shared" si="350"/>
        <v>-95.799391508209609</v>
      </c>
      <c r="BQ448" s="56">
        <f t="shared" si="363"/>
        <v>16.499217190354873</v>
      </c>
    </row>
    <row r="449" spans="1:69" x14ac:dyDescent="0.25">
      <c r="A449">
        <f t="shared" si="372"/>
        <v>1175000</v>
      </c>
      <c r="B449">
        <f t="shared" si="351"/>
        <v>1175</v>
      </c>
      <c r="C449">
        <f t="shared" si="320"/>
        <v>9.7963932470283837</v>
      </c>
      <c r="D449">
        <f t="shared" si="321"/>
        <v>1.468539829434929</v>
      </c>
      <c r="F449">
        <f t="shared" si="322"/>
        <v>1.8564652922373523E-5</v>
      </c>
      <c r="G449">
        <f t="shared" si="323"/>
        <v>1.4656897343572819E-3</v>
      </c>
      <c r="H449">
        <f t="shared" si="324"/>
        <v>-3.140126960265643</v>
      </c>
      <c r="J449">
        <f t="shared" si="325"/>
        <v>15</v>
      </c>
      <c r="M449">
        <f t="shared" si="326"/>
        <v>1.2715778482579477E-3</v>
      </c>
      <c r="N449">
        <f t="shared" si="327"/>
        <v>-1.5707963250000001</v>
      </c>
      <c r="O449">
        <f t="shared" si="328"/>
        <v>300.4940584257223</v>
      </c>
      <c r="P449">
        <f t="shared" si="329"/>
        <v>1.5674684678315096</v>
      </c>
      <c r="Q449">
        <f t="shared" si="330"/>
        <v>254.33007017645377</v>
      </c>
      <c r="R449">
        <f t="shared" si="331"/>
        <v>1.5668644182480165</v>
      </c>
      <c r="S449">
        <f t="shared" si="332"/>
        <v>0.10371100267059849</v>
      </c>
      <c r="T449">
        <f t="shared" si="333"/>
        <v>-1.4668984996639352</v>
      </c>
      <c r="U449">
        <f t="shared" si="334"/>
        <v>0.13249109109942289</v>
      </c>
      <c r="V449">
        <f t="shared" si="335"/>
        <v>-1.4379145190666458</v>
      </c>
      <c r="X449">
        <f t="shared" si="352"/>
        <v>-48.771352656753336</v>
      </c>
      <c r="Y449">
        <f t="shared" si="336"/>
        <v>-172.6243680658975</v>
      </c>
      <c r="Z449">
        <f t="shared" si="353"/>
        <v>7.3756319341025005</v>
      </c>
      <c r="AC449">
        <v>1</v>
      </c>
      <c r="AD449">
        <f t="shared" si="337"/>
        <v>300.49239449470502</v>
      </c>
      <c r="AE449">
        <f t="shared" si="338"/>
        <v>-0.2662149648149813</v>
      </c>
      <c r="AF449">
        <f t="shared" si="339"/>
        <v>3.5584819946549995E-2</v>
      </c>
      <c r="AG449">
        <f t="shared" si="367"/>
        <v>144.54160894222534</v>
      </c>
      <c r="AH449">
        <f t="shared" si="368"/>
        <v>-1109.437659039859</v>
      </c>
      <c r="AJ449">
        <f t="shared" si="340"/>
        <v>22100</v>
      </c>
      <c r="AK449">
        <f t="shared" si="341"/>
        <v>211943.03994679727</v>
      </c>
      <c r="AL449">
        <v>1</v>
      </c>
      <c r="AM449">
        <f t="shared" si="342"/>
        <v>254.32810421964751</v>
      </c>
      <c r="AN449">
        <f t="shared" si="369"/>
        <v>833.67372346957745</v>
      </c>
      <c r="AO449">
        <f t="shared" si="370"/>
        <v>-83.617680955007671</v>
      </c>
      <c r="AQ449">
        <f t="shared" si="343"/>
        <v>1.8107737780400583E-3</v>
      </c>
      <c r="AR449">
        <f t="shared" si="344"/>
        <v>-4.2553183783941373</v>
      </c>
      <c r="AT449">
        <f t="shared" si="365"/>
        <v>-4720.7487280395726</v>
      </c>
      <c r="AU449">
        <f t="shared" si="366"/>
        <v>-617.07950559586936</v>
      </c>
      <c r="AV449">
        <f t="shared" si="354"/>
        <v>-3.0116131729357205</v>
      </c>
      <c r="AW449">
        <f t="shared" si="355"/>
        <v>630.64983086319239</v>
      </c>
      <c r="AX449">
        <f t="shared" si="356"/>
        <v>-4968.6429880175074</v>
      </c>
      <c r="AY449">
        <f t="shared" si="364"/>
        <v>-1.4445454442288266</v>
      </c>
      <c r="BA449">
        <f t="shared" si="345"/>
        <v>0.95056472373432888</v>
      </c>
      <c r="BB449">
        <f t="shared" si="357"/>
        <v>-0.44036613559890792</v>
      </c>
      <c r="BC449">
        <f t="shared" si="358"/>
        <v>-1.5670677287068939</v>
      </c>
      <c r="BD449">
        <f t="shared" si="346"/>
        <v>-269.78636716865276</v>
      </c>
      <c r="BF449">
        <f t="shared" si="347"/>
        <v>-51.723480064562573</v>
      </c>
      <c r="BG449">
        <f t="shared" si="348"/>
        <v>-185.56125496307399</v>
      </c>
      <c r="BH449">
        <f t="shared" si="359"/>
        <v>-5.561254963073992</v>
      </c>
      <c r="BI449">
        <f t="shared" si="360"/>
        <v>-5.561254963073992</v>
      </c>
      <c r="BJ449">
        <f t="shared" si="349"/>
        <v>0</v>
      </c>
      <c r="BK449">
        <f t="shared" si="361"/>
        <v>0</v>
      </c>
      <c r="BM449">
        <f t="shared" si="362"/>
        <v>-51.283113928963658</v>
      </c>
      <c r="BN449">
        <f t="shared" si="350"/>
        <v>-95.774887794421232</v>
      </c>
      <c r="BQ449" s="56">
        <f t="shared" si="363"/>
        <v>16.461594664686228</v>
      </c>
    </row>
    <row r="450" spans="1:69" x14ac:dyDescent="0.25">
      <c r="A450">
        <f t="shared" si="372"/>
        <v>1180000</v>
      </c>
      <c r="B450">
        <f t="shared" si="351"/>
        <v>1180</v>
      </c>
      <c r="C450">
        <f t="shared" si="320"/>
        <v>9.83764656143636</v>
      </c>
      <c r="D450">
        <f t="shared" si="321"/>
        <v>1.4689701245254518</v>
      </c>
      <c r="F450">
        <f t="shared" si="322"/>
        <v>1.8407655936663643E-5</v>
      </c>
      <c r="G450">
        <f t="shared" si="323"/>
        <v>1.4594789629959139E-3</v>
      </c>
      <c r="H450">
        <f t="shared" si="324"/>
        <v>-3.1401331710370042</v>
      </c>
      <c r="J450">
        <f t="shared" si="325"/>
        <v>15</v>
      </c>
      <c r="M450">
        <f t="shared" si="326"/>
        <v>1.266189806528041E-3</v>
      </c>
      <c r="N450">
        <f t="shared" si="327"/>
        <v>-1.5707963250000001</v>
      </c>
      <c r="O450">
        <f t="shared" si="328"/>
        <v>301.77274241560889</v>
      </c>
      <c r="P450">
        <f t="shared" si="329"/>
        <v>1.5674825688253633</v>
      </c>
      <c r="Q450">
        <f t="shared" si="330"/>
        <v>255.4123090981908</v>
      </c>
      <c r="R450">
        <f t="shared" si="331"/>
        <v>1.5668810787068281</v>
      </c>
      <c r="S450">
        <f t="shared" si="332"/>
        <v>0.10327624633793683</v>
      </c>
      <c r="T450">
        <f t="shared" si="333"/>
        <v>-1.4673356031949811</v>
      </c>
      <c r="U450">
        <f t="shared" si="334"/>
        <v>0.13193948151820223</v>
      </c>
      <c r="V450">
        <f t="shared" si="335"/>
        <v>-1.4384710141121115</v>
      </c>
      <c r="X450">
        <f t="shared" si="352"/>
        <v>-48.844463468364232</v>
      </c>
      <c r="Y450">
        <f t="shared" si="336"/>
        <v>-172.65523632784206</v>
      </c>
      <c r="Z450">
        <f t="shared" si="353"/>
        <v>7.3447636721579386</v>
      </c>
      <c r="AC450">
        <v>1</v>
      </c>
      <c r="AD450">
        <f t="shared" si="337"/>
        <v>301.771085535108</v>
      </c>
      <c r="AE450">
        <f t="shared" si="338"/>
        <v>-0.26848544464165142</v>
      </c>
      <c r="AF450">
        <f t="shared" si="339"/>
        <v>3.5736244712279999E-2</v>
      </c>
      <c r="AG450">
        <f t="shared" si="367"/>
        <v>143.34055365901474</v>
      </c>
      <c r="AH450">
        <f t="shared" si="368"/>
        <v>-1104.8965161902681</v>
      </c>
      <c r="AJ450">
        <f t="shared" si="340"/>
        <v>22100</v>
      </c>
      <c r="AK450">
        <f t="shared" si="341"/>
        <v>212844.92522316662</v>
      </c>
      <c r="AL450">
        <v>1</v>
      </c>
      <c r="AM450">
        <f t="shared" si="342"/>
        <v>255.41035147164604</v>
      </c>
      <c r="AN450">
        <f t="shared" si="369"/>
        <v>833.67094315454062</v>
      </c>
      <c r="AO450">
        <f t="shared" si="370"/>
        <v>-83.263379633249926</v>
      </c>
      <c r="AQ450">
        <f t="shared" si="343"/>
        <v>1.7954607520359179E-3</v>
      </c>
      <c r="AR450">
        <f t="shared" si="344"/>
        <v>-4.2372873748047661</v>
      </c>
      <c r="AT450">
        <f t="shared" si="365"/>
        <v>-4681.5066961805232</v>
      </c>
      <c r="AU450">
        <f t="shared" si="366"/>
        <v>-609.35891664674921</v>
      </c>
      <c r="AV450">
        <f t="shared" si="354"/>
        <v>-3.0121573700883415</v>
      </c>
      <c r="AW450">
        <f t="shared" si="355"/>
        <v>632.38615075454322</v>
      </c>
      <c r="AX450">
        <f t="shared" si="356"/>
        <v>-4947.7435856064931</v>
      </c>
      <c r="AY450">
        <f t="shared" si="364"/>
        <v>-1.4436725350928203</v>
      </c>
      <c r="BA450">
        <f t="shared" si="345"/>
        <v>0.94647239401445016</v>
      </c>
      <c r="BB450">
        <f t="shared" si="357"/>
        <v>-0.47784097371916612</v>
      </c>
      <c r="BC450">
        <f t="shared" si="358"/>
        <v>-1.5684848349955212</v>
      </c>
      <c r="BD450">
        <f t="shared" si="346"/>
        <v>-269.86756137820532</v>
      </c>
      <c r="BF450">
        <f t="shared" si="347"/>
        <v>-51.79822171774785</v>
      </c>
      <c r="BG450">
        <f t="shared" si="348"/>
        <v>-185.61815093095316</v>
      </c>
      <c r="BH450">
        <f t="shared" si="359"/>
        <v>-5.6181509309531634</v>
      </c>
      <c r="BI450">
        <f t="shared" si="360"/>
        <v>-5.6181509309531634</v>
      </c>
      <c r="BJ450">
        <f t="shared" si="349"/>
        <v>0</v>
      </c>
      <c r="BK450">
        <f t="shared" si="361"/>
        <v>0</v>
      </c>
      <c r="BM450">
        <f t="shared" si="362"/>
        <v>-51.320380744028697</v>
      </c>
      <c r="BN450">
        <f t="shared" si="350"/>
        <v>-95.750589552747826</v>
      </c>
      <c r="BQ450" s="56">
        <f t="shared" si="363"/>
        <v>16.42411982656597</v>
      </c>
    </row>
    <row r="451" spans="1:69" x14ac:dyDescent="0.25">
      <c r="A451">
        <f t="shared" si="372"/>
        <v>1185000</v>
      </c>
      <c r="B451">
        <f t="shared" si="351"/>
        <v>1185</v>
      </c>
      <c r="C451">
        <f t="shared" si="320"/>
        <v>9.8789016821097988</v>
      </c>
      <c r="D451">
        <f t="shared" si="321"/>
        <v>1.4693968257977699</v>
      </c>
      <c r="F451">
        <f t="shared" si="322"/>
        <v>1.8252642104830732E-5</v>
      </c>
      <c r="G451">
        <f t="shared" si="323"/>
        <v>1.4533206059951064E-3</v>
      </c>
      <c r="H451">
        <f t="shared" si="324"/>
        <v>-3.140139329394005</v>
      </c>
      <c r="J451">
        <f t="shared" si="325"/>
        <v>15</v>
      </c>
      <c r="M451">
        <f t="shared" si="326"/>
        <v>1.2608472335047158E-3</v>
      </c>
      <c r="N451">
        <f t="shared" si="327"/>
        <v>-1.5707963250000001</v>
      </c>
      <c r="O451">
        <f t="shared" si="328"/>
        <v>303.05142646499309</v>
      </c>
      <c r="P451">
        <f t="shared" si="329"/>
        <v>1.5674965508247896</v>
      </c>
      <c r="Q451">
        <f t="shared" si="330"/>
        <v>256.49454809022461</v>
      </c>
      <c r="R451">
        <f t="shared" si="331"/>
        <v>1.566897598573197</v>
      </c>
      <c r="S451">
        <f t="shared" si="332"/>
        <v>0.10284510038060693</v>
      </c>
      <c r="T451">
        <f t="shared" si="333"/>
        <v>-1.4677690572677968</v>
      </c>
      <c r="U451">
        <f t="shared" si="334"/>
        <v>0.1313924058184773</v>
      </c>
      <c r="V451">
        <f t="shared" si="335"/>
        <v>-1.4390228944097281</v>
      </c>
      <c r="X451">
        <f t="shared" si="352"/>
        <v>-48.917270548861545</v>
      </c>
      <c r="Y451">
        <f t="shared" si="336"/>
        <v>-172.68584886638288</v>
      </c>
      <c r="Z451">
        <f t="shared" si="353"/>
        <v>7.3141511336171163</v>
      </c>
      <c r="AC451">
        <v>1</v>
      </c>
      <c r="AD451">
        <f t="shared" si="337"/>
        <v>303.04977657551098</v>
      </c>
      <c r="AE451">
        <f t="shared" si="338"/>
        <v>-0.27076556557161946</v>
      </c>
      <c r="AF451">
        <f t="shared" si="339"/>
        <v>3.5887669478009997E-2</v>
      </c>
      <c r="AG451">
        <f t="shared" si="367"/>
        <v>142.15431954968167</v>
      </c>
      <c r="AH451">
        <f t="shared" si="368"/>
        <v>-1100.3917308009063</v>
      </c>
      <c r="AJ451">
        <f t="shared" si="340"/>
        <v>22100</v>
      </c>
      <c r="AK451">
        <f t="shared" si="341"/>
        <v>213746.81049953596</v>
      </c>
      <c r="AL451">
        <v>1</v>
      </c>
      <c r="AM451">
        <f t="shared" si="342"/>
        <v>256.49259872364451</v>
      </c>
      <c r="AN451">
        <f t="shared" si="369"/>
        <v>833.66819795835079</v>
      </c>
      <c r="AO451">
        <f t="shared" si="370"/>
        <v>-82.912068059144488</v>
      </c>
      <c r="AQ451">
        <f t="shared" si="343"/>
        <v>1.7803411525323305E-3</v>
      </c>
      <c r="AR451">
        <f t="shared" si="344"/>
        <v>-4.2194085315016236</v>
      </c>
      <c r="AT451">
        <f t="shared" si="365"/>
        <v>-4642.7491737500777</v>
      </c>
      <c r="AU451">
        <f t="shared" si="366"/>
        <v>-601.76622137998595</v>
      </c>
      <c r="AV451">
        <f t="shared" si="354"/>
        <v>-3.0126970562715014</v>
      </c>
      <c r="AW451">
        <f t="shared" si="355"/>
        <v>634.10017314608319</v>
      </c>
      <c r="AX451">
        <f t="shared" si="356"/>
        <v>-4927.0186587949147</v>
      </c>
      <c r="AY451">
        <f t="shared" si="364"/>
        <v>-1.4428013528584478</v>
      </c>
      <c r="BA451">
        <f t="shared" si="345"/>
        <v>0.94241357239408186</v>
      </c>
      <c r="BB451">
        <f t="shared" si="357"/>
        <v>-0.51516935832514976</v>
      </c>
      <c r="BC451">
        <f t="shared" si="358"/>
        <v>-1.5698957034130536</v>
      </c>
      <c r="BD451">
        <f t="shared" si="346"/>
        <v>-269.94839818407064</v>
      </c>
      <c r="BF451">
        <f t="shared" si="347"/>
        <v>-51.87265614683146</v>
      </c>
      <c r="BG451">
        <f t="shared" si="348"/>
        <v>-185.6748924026391</v>
      </c>
      <c r="BH451">
        <f t="shared" si="359"/>
        <v>-5.6748924026391023</v>
      </c>
      <c r="BI451">
        <f t="shared" si="360"/>
        <v>-5.6748924026391023</v>
      </c>
      <c r="BJ451">
        <f t="shared" si="349"/>
        <v>0</v>
      </c>
      <c r="BK451">
        <f t="shared" si="361"/>
        <v>0</v>
      </c>
      <c r="BM451">
        <f t="shared" si="362"/>
        <v>-51.357486788506314</v>
      </c>
      <c r="BN451">
        <f t="shared" si="350"/>
        <v>-95.72649421856849</v>
      </c>
      <c r="BQ451" s="56">
        <f t="shared" si="363"/>
        <v>16.386791441959986</v>
      </c>
    </row>
    <row r="452" spans="1:69" x14ac:dyDescent="0.25">
      <c r="A452">
        <f t="shared" si="372"/>
        <v>1190000</v>
      </c>
      <c r="B452">
        <f t="shared" si="351"/>
        <v>1190</v>
      </c>
      <c r="C452">
        <f t="shared" si="320"/>
        <v>9.9201585865134625</v>
      </c>
      <c r="D452">
        <f t="shared" si="321"/>
        <v>1.4698199779344685</v>
      </c>
      <c r="F452">
        <f t="shared" si="322"/>
        <v>1.8099578165722896E-5</v>
      </c>
      <c r="G452">
        <f t="shared" si="323"/>
        <v>1.4472140026230804E-3</v>
      </c>
      <c r="H452">
        <f t="shared" si="324"/>
        <v>-3.1401454359973773</v>
      </c>
      <c r="J452">
        <f t="shared" si="325"/>
        <v>15</v>
      </c>
      <c r="M452">
        <f t="shared" si="326"/>
        <v>1.2555495560530154E-3</v>
      </c>
      <c r="N452">
        <f t="shared" si="327"/>
        <v>-1.5707963250000001</v>
      </c>
      <c r="O452">
        <f t="shared" si="328"/>
        <v>304.33011057312484</v>
      </c>
      <c r="P452">
        <f t="shared" si="329"/>
        <v>1.5675104153296961</v>
      </c>
      <c r="Q452">
        <f t="shared" si="330"/>
        <v>257.57678715166907</v>
      </c>
      <c r="R452">
        <f t="shared" si="331"/>
        <v>1.5669139796192606</v>
      </c>
      <c r="S452">
        <f t="shared" si="332"/>
        <v>0.10241752025306403</v>
      </c>
      <c r="T452">
        <f t="shared" si="333"/>
        <v>-1.4681989072365211</v>
      </c>
      <c r="U452">
        <f t="shared" si="334"/>
        <v>0.13084980882870292</v>
      </c>
      <c r="V452">
        <f t="shared" si="335"/>
        <v>-1.4395702167922946</v>
      </c>
      <c r="X452">
        <f t="shared" si="352"/>
        <v>-48.989776389701461</v>
      </c>
      <c r="Y452">
        <f t="shared" si="336"/>
        <v>-172.71620882665934</v>
      </c>
      <c r="Z452">
        <f t="shared" si="353"/>
        <v>7.28379117334066</v>
      </c>
      <c r="AC452">
        <v>1</v>
      </c>
      <c r="AD452">
        <f t="shared" si="337"/>
        <v>304.32846761591401</v>
      </c>
      <c r="AE452">
        <f t="shared" si="338"/>
        <v>-0.27305532760488549</v>
      </c>
      <c r="AF452">
        <f t="shared" si="339"/>
        <v>3.6039094243739994E-2</v>
      </c>
      <c r="AG452">
        <f t="shared" si="367"/>
        <v>140.98266518330939</v>
      </c>
      <c r="AH452">
        <f t="shared" si="368"/>
        <v>-1095.9228764496188</v>
      </c>
      <c r="AJ452">
        <f t="shared" si="340"/>
        <v>22100</v>
      </c>
      <c r="AK452">
        <f t="shared" si="341"/>
        <v>214648.69577590533</v>
      </c>
      <c r="AL452">
        <v>1</v>
      </c>
      <c r="AM452">
        <f t="shared" si="342"/>
        <v>257.57484597564303</v>
      </c>
      <c r="AN452">
        <f t="shared" si="369"/>
        <v>833.66548729203157</v>
      </c>
      <c r="AO452">
        <f t="shared" si="370"/>
        <v>-82.563708549083131</v>
      </c>
      <c r="AQ452">
        <f t="shared" si="343"/>
        <v>1.7654117355038954E-3</v>
      </c>
      <c r="AR452">
        <f t="shared" si="344"/>
        <v>-4.2016799304992709</v>
      </c>
      <c r="AT452">
        <f t="shared" si="365"/>
        <v>-4604.468262901778</v>
      </c>
      <c r="AU452">
        <f t="shared" si="366"/>
        <v>-594.29878995630077</v>
      </c>
      <c r="AV452">
        <f t="shared" si="354"/>
        <v>-3.0132322870098904</v>
      </c>
      <c r="AW452">
        <f t="shared" si="355"/>
        <v>635.79227944762886</v>
      </c>
      <c r="AX452">
        <f t="shared" si="356"/>
        <v>-4906.4660389006895</v>
      </c>
      <c r="AY452">
        <f t="shared" si="364"/>
        <v>-1.4419318772915366</v>
      </c>
      <c r="BA452">
        <f t="shared" si="345"/>
        <v>0.93838784688252952</v>
      </c>
      <c r="BB452">
        <f t="shared" si="357"/>
        <v>-0.55235250860146534</v>
      </c>
      <c r="BC452">
        <f t="shared" si="358"/>
        <v>-1.5713004097183538</v>
      </c>
      <c r="BD452">
        <f t="shared" si="346"/>
        <v>-270.02888192691171</v>
      </c>
      <c r="BF452">
        <f t="shared" si="347"/>
        <v>-51.946785964404619</v>
      </c>
      <c r="BG452">
        <f t="shared" si="348"/>
        <v>-185.73148119652853</v>
      </c>
      <c r="BH452">
        <f t="shared" si="359"/>
        <v>-5.7314811965285344</v>
      </c>
      <c r="BI452">
        <f t="shared" si="360"/>
        <v>-5.7314811965285344</v>
      </c>
      <c r="BJ452">
        <f t="shared" si="349"/>
        <v>0</v>
      </c>
      <c r="BK452">
        <f t="shared" si="361"/>
        <v>0</v>
      </c>
      <c r="BM452">
        <f t="shared" si="362"/>
        <v>-51.394433455803153</v>
      </c>
      <c r="BN452">
        <f t="shared" si="350"/>
        <v>-95.702599269616812</v>
      </c>
      <c r="BQ452" s="56">
        <f t="shared" si="363"/>
        <v>16.349608291683673</v>
      </c>
    </row>
    <row r="453" spans="1:69" x14ac:dyDescent="0.25">
      <c r="A453">
        <f t="shared" si="372"/>
        <v>1195000</v>
      </c>
      <c r="B453">
        <f t="shared" si="351"/>
        <v>1195</v>
      </c>
      <c r="C453">
        <f t="shared" si="320"/>
        <v>9.9614172524844875</v>
      </c>
      <c r="D453">
        <f t="shared" si="321"/>
        <v>1.4702396248829905</v>
      </c>
      <c r="F453">
        <f t="shared" si="322"/>
        <v>1.7948431552593213E-5</v>
      </c>
      <c r="G453">
        <f t="shared" si="323"/>
        <v>1.441158503207298E-3</v>
      </c>
      <c r="H453">
        <f t="shared" si="324"/>
        <v>-3.140151491496793</v>
      </c>
      <c r="J453">
        <f t="shared" si="325"/>
        <v>15</v>
      </c>
      <c r="M453">
        <f t="shared" si="326"/>
        <v>1.2502962106301994E-3</v>
      </c>
      <c r="N453">
        <f t="shared" si="327"/>
        <v>-1.5707963250000001</v>
      </c>
      <c r="O453">
        <f t="shared" si="328"/>
        <v>305.60879473926678</v>
      </c>
      <c r="P453">
        <f t="shared" si="329"/>
        <v>1.5675241638148887</v>
      </c>
      <c r="Q453">
        <f t="shared" si="330"/>
        <v>258.65902628165298</v>
      </c>
      <c r="R453">
        <f t="shared" si="331"/>
        <v>1.5669302235874984</v>
      </c>
      <c r="S453">
        <f t="shared" si="332"/>
        <v>0.10199346213558219</v>
      </c>
      <c r="T453">
        <f t="shared" si="333"/>
        <v>-1.4686251977095195</v>
      </c>
      <c r="U453">
        <f t="shared" si="334"/>
        <v>0.13031163626063699</v>
      </c>
      <c r="V453">
        <f t="shared" si="335"/>
        <v>-1.440113037168645</v>
      </c>
      <c r="X453">
        <f t="shared" si="352"/>
        <v>-49.061983452073868</v>
      </c>
      <c r="Y453">
        <f t="shared" si="336"/>
        <v>-172.74631930276649</v>
      </c>
      <c r="Z453">
        <f t="shared" si="353"/>
        <v>7.2536806972335057</v>
      </c>
      <c r="AC453">
        <v>1</v>
      </c>
      <c r="AD453">
        <f t="shared" si="337"/>
        <v>305.60715865631698</v>
      </c>
      <c r="AE453">
        <f t="shared" si="338"/>
        <v>-0.2753547307414495</v>
      </c>
      <c r="AF453">
        <f t="shared" si="339"/>
        <v>3.6190519009469999E-2</v>
      </c>
      <c r="AG453">
        <f t="shared" si="367"/>
        <v>139.82535399573615</v>
      </c>
      <c r="AH453">
        <f t="shared" si="368"/>
        <v>-1091.4895332113745</v>
      </c>
      <c r="AJ453">
        <f t="shared" si="340"/>
        <v>22100</v>
      </c>
      <c r="AK453">
        <f t="shared" si="341"/>
        <v>215550.58105227471</v>
      </c>
      <c r="AL453">
        <v>1</v>
      </c>
      <c r="AM453">
        <f t="shared" si="342"/>
        <v>258.65709322764155</v>
      </c>
      <c r="AN453">
        <f t="shared" si="369"/>
        <v>833.66281057890228</v>
      </c>
      <c r="AO453">
        <f t="shared" si="370"/>
        <v>-82.218264050098185</v>
      </c>
      <c r="AQ453">
        <f t="shared" si="343"/>
        <v>1.7506693246495467E-3</v>
      </c>
      <c r="AR453">
        <f t="shared" si="344"/>
        <v>-4.1840996859124164</v>
      </c>
      <c r="AT453">
        <f t="shared" si="365"/>
        <v>-4566.6562251283531</v>
      </c>
      <c r="AU453">
        <f t="shared" si="366"/>
        <v>-586.95405698012132</v>
      </c>
      <c r="AV453">
        <f t="shared" si="354"/>
        <v>-3.0137631169261252</v>
      </c>
      <c r="AW453">
        <f t="shared" si="355"/>
        <v>637.46284292540679</v>
      </c>
      <c r="AX453">
        <f t="shared" si="356"/>
        <v>-4886.08359292557</v>
      </c>
      <c r="AY453">
        <f t="shared" si="364"/>
        <v>-1.4410640885289796</v>
      </c>
      <c r="BA453">
        <f t="shared" si="345"/>
        <v>0.93439481218011655</v>
      </c>
      <c r="BB453">
        <f t="shared" si="357"/>
        <v>-0.58939162911559928</v>
      </c>
      <c r="BC453">
        <f t="shared" si="358"/>
        <v>-1.5726990283971456</v>
      </c>
      <c r="BD453">
        <f t="shared" si="346"/>
        <v>-270.10901687444618</v>
      </c>
      <c r="BF453">
        <f t="shared" si="347"/>
        <v>-52.020613750266314</v>
      </c>
      <c r="BG453">
        <f t="shared" si="348"/>
        <v>-185.78791909955945</v>
      </c>
      <c r="BH453">
        <f t="shared" si="359"/>
        <v>-5.7879190995594456</v>
      </c>
      <c r="BI453">
        <f t="shared" si="360"/>
        <v>-5.7879190995594456</v>
      </c>
      <c r="BJ453">
        <f t="shared" si="349"/>
        <v>0</v>
      </c>
      <c r="BK453">
        <f t="shared" si="361"/>
        <v>0</v>
      </c>
      <c r="BM453">
        <f t="shared" si="362"/>
        <v>-51.431222121150711</v>
      </c>
      <c r="BN453">
        <f t="shared" si="350"/>
        <v>-95.678902225113234</v>
      </c>
      <c r="BQ453" s="56">
        <f t="shared" si="363"/>
        <v>16.312569171169539</v>
      </c>
    </row>
    <row r="454" spans="1:69" x14ac:dyDescent="0.25">
      <c r="A454">
        <f t="shared" si="372"/>
        <v>1200000</v>
      </c>
      <c r="B454">
        <f t="shared" si="351"/>
        <v>1200</v>
      </c>
      <c r="C454">
        <f t="shared" si="320"/>
        <v>10.002677658224735</v>
      </c>
      <c r="D454">
        <f t="shared" si="321"/>
        <v>1.4706558098706428</v>
      </c>
      <c r="F454">
        <f t="shared" si="322"/>
        <v>1.7799170375775188E-5</v>
      </c>
      <c r="G454">
        <f t="shared" si="323"/>
        <v>1.4351534689040365E-3</v>
      </c>
      <c r="H454">
        <f t="shared" si="324"/>
        <v>-3.1401574965310961</v>
      </c>
      <c r="J454">
        <f t="shared" si="325"/>
        <v>15</v>
      </c>
      <c r="M454">
        <f t="shared" si="326"/>
        <v>1.2450866430859069E-3</v>
      </c>
      <c r="N454">
        <f t="shared" si="327"/>
        <v>-1.5707963250000001</v>
      </c>
      <c r="O454">
        <f t="shared" si="328"/>
        <v>306.88747896269376</v>
      </c>
      <c r="P454">
        <f t="shared" si="329"/>
        <v>1.5675377977305931</v>
      </c>
      <c r="Q454">
        <f t="shared" si="330"/>
        <v>259.74126547931957</v>
      </c>
      <c r="R454">
        <f t="shared" si="331"/>
        <v>1.566946332191349</v>
      </c>
      <c r="S454">
        <f t="shared" si="332"/>
        <v>0.10157288291961375</v>
      </c>
      <c r="T454">
        <f t="shared" si="333"/>
        <v>-1.4690479725645937</v>
      </c>
      <c r="U454">
        <f t="shared" si="334"/>
        <v>0.12977783469190399</v>
      </c>
      <c r="V454">
        <f t="shared" si="335"/>
        <v>-1.440651410542237</v>
      </c>
      <c r="X454">
        <f t="shared" si="352"/>
        <v>-49.133894167386373</v>
      </c>
      <c r="Y454">
        <f t="shared" si="336"/>
        <v>-172.77618333877928</v>
      </c>
      <c r="Z454">
        <f t="shared" si="353"/>
        <v>7.2238166612207237</v>
      </c>
      <c r="AC454">
        <v>1</v>
      </c>
      <c r="AD454">
        <f t="shared" si="337"/>
        <v>306.88584969672002</v>
      </c>
      <c r="AE454">
        <f t="shared" si="338"/>
        <v>-0.27766377498131145</v>
      </c>
      <c r="AF454">
        <f t="shared" si="339"/>
        <v>3.6341943775199996E-2</v>
      </c>
      <c r="AG454">
        <f t="shared" si="367"/>
        <v>138.68215417302252</v>
      </c>
      <c r="AH454">
        <f t="shared" si="368"/>
        <v>-1087.0912875381623</v>
      </c>
      <c r="AJ454">
        <f t="shared" si="340"/>
        <v>22100</v>
      </c>
      <c r="AK454">
        <f t="shared" si="341"/>
        <v>216452.46632864405</v>
      </c>
      <c r="AL454">
        <v>1</v>
      </c>
      <c r="AM454">
        <f t="shared" si="342"/>
        <v>259.73934047964002</v>
      </c>
      <c r="AN454">
        <f t="shared" si="369"/>
        <v>833.66016725427119</v>
      </c>
      <c r="AO454">
        <f t="shared" si="370"/>
        <v>-81.875698126725297</v>
      </c>
      <c r="AQ454">
        <f t="shared" si="343"/>
        <v>1.7361108097029845E-3</v>
      </c>
      <c r="AR454">
        <f t="shared" si="344"/>
        <v>-4.1666659432871622</v>
      </c>
      <c r="AT454">
        <f t="shared" si="365"/>
        <v>-4529.30547744248</v>
      </c>
      <c r="AU454">
        <f t="shared" si="366"/>
        <v>-579.72951966986147</v>
      </c>
      <c r="AV454">
        <f t="shared" si="354"/>
        <v>-3.0142895997588832</v>
      </c>
      <c r="AW454">
        <f t="shared" si="355"/>
        <v>639.11222891031321</v>
      </c>
      <c r="AX454">
        <f t="shared" si="356"/>
        <v>-4865.8692228262771</v>
      </c>
      <c r="AY454">
        <f t="shared" si="364"/>
        <v>-1.4401979670704315</v>
      </c>
      <c r="BA454">
        <f t="shared" si="345"/>
        <v>0.93043406954388674</v>
      </c>
      <c r="BB454">
        <f t="shared" si="357"/>
        <v>-0.62628791004589079</v>
      </c>
      <c r="BC454">
        <f t="shared" si="358"/>
        <v>-1.5740916326884518</v>
      </c>
      <c r="BD454">
        <f t="shared" si="346"/>
        <v>-270.18880722296103</v>
      </c>
      <c r="BF454">
        <f t="shared" si="347"/>
        <v>-52.094142051967992</v>
      </c>
      <c r="BG454">
        <f t="shared" si="348"/>
        <v>-185.84420786787965</v>
      </c>
      <c r="BH454">
        <f t="shared" si="359"/>
        <v>-5.8442078678796463</v>
      </c>
      <c r="BI454">
        <f t="shared" si="360"/>
        <v>-5.8442078678796463</v>
      </c>
      <c r="BJ454">
        <f t="shared" si="349"/>
        <v>0</v>
      </c>
      <c r="BK454">
        <f t="shared" si="361"/>
        <v>0</v>
      </c>
      <c r="BM454">
        <f t="shared" si="362"/>
        <v>-51.467854141922096</v>
      </c>
      <c r="BN454">
        <f t="shared" si="350"/>
        <v>-95.655400644918615</v>
      </c>
      <c r="BQ454" s="56">
        <f t="shared" si="363"/>
        <v>16.275672890239246</v>
      </c>
    </row>
    <row r="455" spans="1:69" x14ac:dyDescent="0.25">
      <c r="A455">
        <f t="shared" si="372"/>
        <v>1205000</v>
      </c>
      <c r="B455">
        <f t="shared" si="351"/>
        <v>1205</v>
      </c>
      <c r="C455">
        <f t="shared" si="320"/>
        <v>10.043939782293338</v>
      </c>
      <c r="D455">
        <f t="shared" si="321"/>
        <v>1.4710685754192352</v>
      </c>
      <c r="F455">
        <f t="shared" si="322"/>
        <v>1.7651763405860378E-5</v>
      </c>
      <c r="G455">
        <f t="shared" si="323"/>
        <v>1.429198271473701E-3</v>
      </c>
      <c r="H455">
        <f t="shared" si="324"/>
        <v>-3.1401634517285264</v>
      </c>
      <c r="J455">
        <f t="shared" si="325"/>
        <v>15</v>
      </c>
      <c r="M455">
        <f t="shared" si="326"/>
        <v>1.2399203084672932E-3</v>
      </c>
      <c r="N455">
        <f t="shared" si="327"/>
        <v>-1.5707963250000001</v>
      </c>
      <c r="O455">
        <f t="shared" si="328"/>
        <v>308.16616324269273</v>
      </c>
      <c r="P455">
        <f t="shared" si="329"/>
        <v>1.567551318502965</v>
      </c>
      <c r="Q455">
        <f t="shared" si="330"/>
        <v>260.82350474382639</v>
      </c>
      <c r="R455">
        <f t="shared" si="331"/>
        <v>1.5669623071158132</v>
      </c>
      <c r="S455">
        <f t="shared" si="332"/>
        <v>0.10115574019349995</v>
      </c>
      <c r="T455">
        <f t="shared" si="333"/>
        <v>-1.4694672749638256</v>
      </c>
      <c r="U455">
        <f t="shared" si="334"/>
        <v>0.129248351548966</v>
      </c>
      <c r="V455">
        <f t="shared" si="335"/>
        <v>-1.4411853910292964</v>
      </c>
      <c r="X455">
        <f t="shared" si="352"/>
        <v>-49.205510937738737</v>
      </c>
      <c r="Y455">
        <f t="shared" si="336"/>
        <v>-172.80580392975332</v>
      </c>
      <c r="Z455">
        <f t="shared" si="353"/>
        <v>7.1941960702466758</v>
      </c>
      <c r="AC455">
        <v>1</v>
      </c>
      <c r="AD455">
        <f t="shared" si="337"/>
        <v>308.16454073712299</v>
      </c>
      <c r="AE455">
        <f t="shared" si="338"/>
        <v>-0.27998246032447138</v>
      </c>
      <c r="AF455">
        <f t="shared" si="339"/>
        <v>3.649336854093E-2</v>
      </c>
      <c r="AG455">
        <f t="shared" si="367"/>
        <v>137.55283853814083</v>
      </c>
      <c r="AH455">
        <f t="shared" si="368"/>
        <v>-1082.7277321414545</v>
      </c>
      <c r="AJ455">
        <f t="shared" si="340"/>
        <v>22100</v>
      </c>
      <c r="AK455">
        <f t="shared" si="341"/>
        <v>217354.35160501339</v>
      </c>
      <c r="AL455">
        <v>1</v>
      </c>
      <c r="AM455">
        <f t="shared" si="342"/>
        <v>260.82158773163854</v>
      </c>
      <c r="AN455">
        <f t="shared" si="369"/>
        <v>833.65755676513697</v>
      </c>
      <c r="AO455">
        <f t="shared" si="370"/>
        <v>-81.535974948193243</v>
      </c>
      <c r="AQ455">
        <f t="shared" si="343"/>
        <v>1.7217331447920757E-3</v>
      </c>
      <c r="AR455">
        <f t="shared" si="344"/>
        <v>-4.1493768789489023</v>
      </c>
      <c r="AT455">
        <f t="shared" si="365"/>
        <v>-4492.4085886632602</v>
      </c>
      <c r="AU455">
        <f t="shared" si="366"/>
        <v>-572.62273608716657</v>
      </c>
      <c r="AV455">
        <f t="shared" si="354"/>
        <v>-3.014811788380602</v>
      </c>
      <c r="AW455">
        <f t="shared" si="355"/>
        <v>640.74079499997094</v>
      </c>
      <c r="AX455">
        <f t="shared" si="356"/>
        <v>-4845.8208648033606</v>
      </c>
      <c r="AY455">
        <f t="shared" si="364"/>
        <v>-1.4393334937702269</v>
      </c>
      <c r="BA455">
        <f t="shared" si="345"/>
        <v>0.92650522665650648</v>
      </c>
      <c r="BB455">
        <f t="shared" si="357"/>
        <v>-0.66304252740513769</v>
      </c>
      <c r="BC455">
        <f t="shared" si="358"/>
        <v>-1.5754782946103751</v>
      </c>
      <c r="BD455">
        <f t="shared" si="346"/>
        <v>-270.26825709878955</v>
      </c>
      <c r="BF455">
        <f t="shared" si="347"/>
        <v>-52.167373385346956</v>
      </c>
      <c r="BG455">
        <f t="shared" si="348"/>
        <v>-185.90034922749768</v>
      </c>
      <c r="BH455">
        <f t="shared" si="359"/>
        <v>-5.900349227497685</v>
      </c>
      <c r="BI455">
        <f t="shared" si="360"/>
        <v>-5.900349227497685</v>
      </c>
      <c r="BJ455">
        <f t="shared" si="349"/>
        <v>0</v>
      </c>
      <c r="BK455">
        <f t="shared" si="361"/>
        <v>0</v>
      </c>
      <c r="BM455">
        <f t="shared" si="362"/>
        <v>-51.504330857941824</v>
      </c>
      <c r="BN455">
        <f t="shared" si="350"/>
        <v>-95.632092128708152</v>
      </c>
      <c r="BQ455" s="56">
        <f t="shared" si="363"/>
        <v>16.238918272879999</v>
      </c>
    </row>
    <row r="456" spans="1:69" x14ac:dyDescent="0.25">
      <c r="A456">
        <f t="shared" si="372"/>
        <v>1210000</v>
      </c>
      <c r="B456">
        <f t="shared" si="351"/>
        <v>1210</v>
      </c>
      <c r="C456">
        <f t="shared" si="320"/>
        <v>10.085203603599435</v>
      </c>
      <c r="D456">
        <f t="shared" si="321"/>
        <v>1.471477963359366</v>
      </c>
      <c r="F456">
        <f t="shared" si="322"/>
        <v>1.7506180057361648E-5</v>
      </c>
      <c r="G456">
        <f t="shared" si="323"/>
        <v>1.4232922930617088E-3</v>
      </c>
      <c r="H456">
        <f t="shared" si="324"/>
        <v>-3.1401693577069385</v>
      </c>
      <c r="J456">
        <f t="shared" si="325"/>
        <v>15</v>
      </c>
      <c r="M456">
        <f t="shared" si="326"/>
        <v>1.2347966708289987E-3</v>
      </c>
      <c r="N456">
        <f t="shared" si="327"/>
        <v>-1.5707963250000001</v>
      </c>
      <c r="O456">
        <f t="shared" si="328"/>
        <v>309.4448475785623</v>
      </c>
      <c r="P456">
        <f t="shared" si="329"/>
        <v>1.5675647275345883</v>
      </c>
      <c r="Q456">
        <f t="shared" si="330"/>
        <v>261.9057440743448</v>
      </c>
      <c r="R456">
        <f t="shared" si="331"/>
        <v>1.5669781500180409</v>
      </c>
      <c r="S456">
        <f t="shared" si="332"/>
        <v>0.10074199222852248</v>
      </c>
      <c r="T456">
        <f t="shared" si="333"/>
        <v>-1.4698831473680585</v>
      </c>
      <c r="U456">
        <f t="shared" si="334"/>
        <v>0.12872313509048947</v>
      </c>
      <c r="V456">
        <f t="shared" si="335"/>
        <v>-1.4417150318765315</v>
      </c>
      <c r="X456">
        <f t="shared" si="352"/>
        <v>-49.276836136388056</v>
      </c>
      <c r="Y456">
        <f t="shared" si="336"/>
        <v>-172.83518402270133</v>
      </c>
      <c r="Z456">
        <f t="shared" si="353"/>
        <v>7.164815977298673</v>
      </c>
      <c r="AC456">
        <v>1</v>
      </c>
      <c r="AD456">
        <f t="shared" si="337"/>
        <v>309.44323177752597</v>
      </c>
      <c r="AE456">
        <f t="shared" si="338"/>
        <v>-0.28231078677092925</v>
      </c>
      <c r="AF456">
        <f t="shared" si="339"/>
        <v>3.6644793306659998E-2</v>
      </c>
      <c r="AG456">
        <f t="shared" si="367"/>
        <v>136.43718444078576</v>
      </c>
      <c r="AH456">
        <f t="shared" si="368"/>
        <v>-1078.3984658771833</v>
      </c>
      <c r="AJ456">
        <f t="shared" si="340"/>
        <v>22100</v>
      </c>
      <c r="AK456">
        <f t="shared" si="341"/>
        <v>218256.23688138273</v>
      </c>
      <c r="AL456">
        <v>1</v>
      </c>
      <c r="AM456">
        <f t="shared" si="342"/>
        <v>261.90383498363701</v>
      </c>
      <c r="AN456">
        <f t="shared" si="369"/>
        <v>833.65497856990055</v>
      </c>
      <c r="AO456">
        <f t="shared" si="370"/>
        <v>-81.199059275931418</v>
      </c>
      <c r="AQ456">
        <f t="shared" si="343"/>
        <v>1.7075333468456139E-3</v>
      </c>
      <c r="AR456">
        <f t="shared" si="344"/>
        <v>-4.132230699366386</v>
      </c>
      <c r="AT456">
        <f t="shared" si="365"/>
        <v>-4455.9582758051283</v>
      </c>
      <c r="AU456">
        <f t="shared" si="366"/>
        <v>-565.63132342300116</v>
      </c>
      <c r="AV456">
        <f t="shared" si="354"/>
        <v>-3.0153297348147601</v>
      </c>
      <c r="AW456">
        <f t="shared" si="355"/>
        <v>642.34889125480174</v>
      </c>
      <c r="AX456">
        <f t="shared" si="356"/>
        <v>-4825.936488607329</v>
      </c>
      <c r="AY456">
        <f t="shared" si="364"/>
        <v>-1.4384706498295146</v>
      </c>
      <c r="BA456">
        <f t="shared" si="345"/>
        <v>0.92260789749827321</v>
      </c>
      <c r="BB456">
        <f t="shared" si="357"/>
        <v>-0.69965664325998067</v>
      </c>
      <c r="BC456">
        <f t="shared" si="358"/>
        <v>-1.5768590849852455</v>
      </c>
      <c r="BD456">
        <f t="shared" si="346"/>
        <v>-270.34737055975228</v>
      </c>
      <c r="BF456">
        <f t="shared" si="347"/>
        <v>-52.240310235048888</v>
      </c>
      <c r="BG456">
        <f t="shared" si="348"/>
        <v>-185.95634487491787</v>
      </c>
      <c r="BH456">
        <f t="shared" si="359"/>
        <v>-5.9563448749178747</v>
      </c>
      <c r="BI456">
        <f t="shared" si="360"/>
        <v>-5.9563448749178747</v>
      </c>
      <c r="BJ456">
        <f t="shared" si="349"/>
        <v>0</v>
      </c>
      <c r="BK456">
        <f t="shared" si="361"/>
        <v>0</v>
      </c>
      <c r="BM456">
        <f t="shared" si="362"/>
        <v>-51.540653591788903</v>
      </c>
      <c r="BN456">
        <f t="shared" si="350"/>
        <v>-95.608974315165597</v>
      </c>
      <c r="BQ456" s="56">
        <f t="shared" si="363"/>
        <v>16.202304157025157</v>
      </c>
    </row>
    <row r="457" spans="1:69" x14ac:dyDescent="0.25">
      <c r="A457">
        <f t="shared" si="372"/>
        <v>1215000</v>
      </c>
      <c r="B457">
        <f t="shared" si="351"/>
        <v>1215</v>
      </c>
      <c r="C457">
        <f t="shared" ref="C457:C520" si="373">SQRT((A457/Fesr)^2+1)</f>
        <v>10.126469101395077</v>
      </c>
      <c r="D457">
        <f t="shared" ref="D457:D520" si="374">ATAN(A457/Fesr)</f>
        <v>1.4718840148443639</v>
      </c>
      <c r="F457">
        <f t="shared" ref="F457:F520" si="375">(Ro/(Ro+Rdcr))/SQRT((A457/(Q*Fo))^2+(1-(A457^2/Fo^2))^2)</f>
        <v>1.7362390372846069E-5</v>
      </c>
      <c r="G457">
        <f t="shared" ref="G457:G520" si="376">-ATAN(A457*Fo/(Q*(Fo^2-A457^2)))</f>
        <v>1.4174349259847847E-3</v>
      </c>
      <c r="H457">
        <f t="shared" ref="H457:H520" si="377">IF(G457&gt;0,G457-Pi,G457)</f>
        <v>-3.1401752150740152</v>
      </c>
      <c r="J457">
        <f t="shared" ref="J457:J520" si="378">Vin/Vramp</f>
        <v>15</v>
      </c>
      <c r="M457">
        <f t="shared" ref="M457:M520" si="379">1/(2*Pi*_Rfb1*(Cc1ea_u+Cc2ea_u)*A457)</f>
        <v>1.2297152030478092E-3</v>
      </c>
      <c r="N457">
        <f t="shared" ref="N457:N520" si="380">-Pi/2</f>
        <v>-1.5707963250000001</v>
      </c>
      <c r="O457">
        <f t="shared" ref="O457:O520" si="381">SQRT(1+(A457/Fz1_u)^2)</f>
        <v>310.72353196961279</v>
      </c>
      <c r="P457">
        <f t="shared" ref="P457:P520" si="382">ATAN2(Fz1_u,A457)</f>
        <v>1.5675780262049592</v>
      </c>
      <c r="Q457">
        <f t="shared" ref="Q457:Q520" si="383">SQRT(1+(A457/Fz2_u)^2)</f>
        <v>262.98798347005982</v>
      </c>
      <c r="R457">
        <f t="shared" ref="R457:R520" si="384">ATAN2(Fz2_u,A457)</f>
        <v>1.5669938625279047</v>
      </c>
      <c r="S457">
        <f t="shared" ref="S457:S520" si="385">1/SQRT(1+(A457/Fp1_u)^2)</f>
        <v>0.10033159796528705</v>
      </c>
      <c r="T457">
        <f t="shared" ref="T457:T520" si="386">-ATAN2(Fp1_u,A457)</f>
        <v>-1.4702956315510323</v>
      </c>
      <c r="U457">
        <f t="shared" ref="U457:U520" si="387">1/SQRT(1+(A457/Fp2_u)^2)</f>
        <v>0.1282021343910982</v>
      </c>
      <c r="V457">
        <f t="shared" ref="V457:V520" si="388">-ATAN2(Fp2_u,A457)</f>
        <v>-1.4422403854784254</v>
      </c>
      <c r="X457">
        <f t="shared" si="352"/>
        <v>-49.347872108204712</v>
      </c>
      <c r="Y457">
        <f t="shared" ref="Y457:Y520" si="389">(180/Pi)*(D457+H457+N457+P457+R457+T457+V457)</f>
        <v>-172.86432651754646</v>
      </c>
      <c r="Z457">
        <f t="shared" si="353"/>
        <v>7.1356734824535408</v>
      </c>
      <c r="AC457">
        <v>1</v>
      </c>
      <c r="AD457">
        <f t="shared" ref="AD457:AD520" si="390">Rcea1_u*Cc1ea_u*A457*2*Pi</f>
        <v>310.721922817929</v>
      </c>
      <c r="AE457">
        <f t="shared" ref="AE457:AE520" si="391">-Rcea1_u*Cc1ea_u*Cc2ea_u*(A457*2*Pi)^2</f>
        <v>-0.28464875432068509</v>
      </c>
      <c r="AF457">
        <f t="shared" ref="AF457:AF520" si="392">(Cc2ea_u+Cc1ea_u)*A457*2*Pi</f>
        <v>3.6796218072389995E-2</v>
      </c>
      <c r="AG457">
        <f t="shared" si="367"/>
        <v>135.33497365020884</v>
      </c>
      <c r="AH457">
        <f t="shared" si="368"/>
        <v>-1074.1030936331654</v>
      </c>
      <c r="AJ457">
        <f t="shared" ref="AJ457:AJ520" si="393">_Rfb1</f>
        <v>22100</v>
      </c>
      <c r="AK457">
        <f t="shared" ref="AK457:AK520" si="394">_Rfb1*Rcea2_u*Cc3ea_u*A457*2*Pi</f>
        <v>219158.12215775208</v>
      </c>
      <c r="AL457">
        <v>1</v>
      </c>
      <c r="AM457">
        <f t="shared" ref="AM457:AM520" si="395">(_Rfb1+Rcea2_u)*Cc3ea_u*A457*2*Pi</f>
        <v>262.98608223563554</v>
      </c>
      <c r="AN457">
        <f t="shared" si="369"/>
        <v>833.6524321380831</v>
      </c>
      <c r="AO457">
        <f t="shared" si="370"/>
        <v>-80.864916451385696</v>
      </c>
      <c r="AQ457">
        <f t="shared" ref="AQ457:AQ520" si="396">Eadcg/(1+(Eadcg*A457/GBP)^2)</f>
        <v>1.6935084940458782E-3</v>
      </c>
      <c r="AR457">
        <f t="shared" ref="AR457:AR520" si="397">-(A457*Eadcg*Eadcg/GBP)/(1+(Eadcg*A457/GBP)^2)</f>
        <v>-4.1152256405314835</v>
      </c>
      <c r="AT457">
        <f t="shared" si="365"/>
        <v>-4419.9474005659731</v>
      </c>
      <c r="AU457">
        <f t="shared" si="366"/>
        <v>-558.7529563385408</v>
      </c>
      <c r="AV457">
        <f t="shared" si="354"/>
        <v>-3.0158434902527449</v>
      </c>
      <c r="AW457">
        <f t="shared" si="355"/>
        <v>643.93686038830867</v>
      </c>
      <c r="AX457">
        <f t="shared" si="356"/>
        <v>-4806.2140968615277</v>
      </c>
      <c r="AY457">
        <f t="shared" si="364"/>
        <v>-1.4376094167885989</v>
      </c>
      <c r="BA457">
        <f t="shared" ref="BA457:BA520" si="398">SQRT(AT457^2+AU457^2)/SQRT(AW457^2+AX457^2)</f>
        <v>0.9187417022221489</v>
      </c>
      <c r="BB457">
        <f t="shared" si="357"/>
        <v>-0.7361314059461328</v>
      </c>
      <c r="BC457">
        <f t="shared" si="358"/>
        <v>-1.578234073464146</v>
      </c>
      <c r="BD457">
        <f t="shared" ref="BD457:BD520" si="399">BC457*180/Pi-180</f>
        <v>-270.42615159656242</v>
      </c>
      <c r="BF457">
        <f t="shared" ref="BF457:BF520" si="400">20*LOG(BA457*J457*F457*C457)</f>
        <v>-52.312955055039573</v>
      </c>
      <c r="BG457">
        <f t="shared" ref="BG457:BG520" si="401">(180/Pi)*(D457+H457+BC457)</f>
        <v>-186.01219647775898</v>
      </c>
      <c r="BH457">
        <f t="shared" si="359"/>
        <v>-6.0121964777589767</v>
      </c>
      <c r="BI457">
        <f t="shared" si="360"/>
        <v>-6.0121964777589767</v>
      </c>
      <c r="BJ457">
        <f t="shared" ref="BJ457:BJ520" si="402">SUM((BF458&lt;0)*(BF457&gt;0))*A457</f>
        <v>0</v>
      </c>
      <c r="BK457">
        <f t="shared" si="361"/>
        <v>0</v>
      </c>
      <c r="BM457">
        <f t="shared" si="362"/>
        <v>-51.576823649093441</v>
      </c>
      <c r="BN457">
        <f t="shared" ref="BN457:BN520" si="403">(H457+D457)*180/Pi</f>
        <v>-95.586044881196543</v>
      </c>
      <c r="BQ457" s="56">
        <f t="shared" si="363"/>
        <v>16.165829394339003</v>
      </c>
    </row>
    <row r="458" spans="1:69" x14ac:dyDescent="0.25">
      <c r="A458">
        <f t="shared" si="372"/>
        <v>1220000</v>
      </c>
      <c r="B458">
        <f t="shared" ref="B458:B521" si="404">A458/1000</f>
        <v>1220</v>
      </c>
      <c r="C458">
        <f t="shared" si="373"/>
        <v>10.167736255268288</v>
      </c>
      <c r="D458">
        <f t="shared" si="374"/>
        <v>1.4722867703638933</v>
      </c>
      <c r="F458">
        <f t="shared" si="375"/>
        <v>1.7220365007522089E-5</v>
      </c>
      <c r="G458">
        <f t="shared" si="376"/>
        <v>1.4116255725225102E-3</v>
      </c>
      <c r="H458">
        <f t="shared" si="377"/>
        <v>-3.1401810244274775</v>
      </c>
      <c r="J458">
        <f t="shared" si="378"/>
        <v>15</v>
      </c>
      <c r="M458">
        <f t="shared" si="379"/>
        <v>1.2246753866418758E-3</v>
      </c>
      <c r="N458">
        <f t="shared" si="380"/>
        <v>-1.5707963250000001</v>
      </c>
      <c r="O458">
        <f t="shared" si="381"/>
        <v>312.00221641516583</v>
      </c>
      <c r="P458">
        <f t="shared" si="382"/>
        <v>1.56759121587096</v>
      </c>
      <c r="Q458">
        <f t="shared" si="383"/>
        <v>264.07022293016996</v>
      </c>
      <c r="R458">
        <f t="shared" si="384"/>
        <v>1.5670094462485586</v>
      </c>
      <c r="S458">
        <f t="shared" si="385"/>
        <v>9.9924517000429425E-2</v>
      </c>
      <c r="T458">
        <f t="shared" si="386"/>
        <v>-1.470704768613178</v>
      </c>
      <c r="U458">
        <f t="shared" si="387"/>
        <v>0.12768529932550118</v>
      </c>
      <c r="V458">
        <f t="shared" si="388"/>
        <v>-1.4427615033941195</v>
      </c>
      <c r="X458">
        <f t="shared" ref="X458:X521" si="405">20*LOG(C458*J458*O458*Q458*F458*M458*S458*U458)</f>
        <v>-49.418621170119522</v>
      </c>
      <c r="Y458">
        <f t="shared" si="389"/>
        <v>-172.89323426805359</v>
      </c>
      <c r="Z458">
        <f t="shared" ref="Z458:Z521" si="406">Y458+180</f>
        <v>7.1067657319464104</v>
      </c>
      <c r="AC458">
        <v>1</v>
      </c>
      <c r="AD458">
        <f t="shared" si="390"/>
        <v>312.00061385833197</v>
      </c>
      <c r="AE458">
        <f t="shared" si="391"/>
        <v>-0.28699636297373887</v>
      </c>
      <c r="AF458">
        <f t="shared" si="392"/>
        <v>3.694764283812E-2</v>
      </c>
      <c r="AG458">
        <f t="shared" si="367"/>
        <v>134.24599225098285</v>
      </c>
      <c r="AH458">
        <f t="shared" si="368"/>
        <v>-1069.8412262189149</v>
      </c>
      <c r="AJ458">
        <f t="shared" si="393"/>
        <v>22100</v>
      </c>
      <c r="AK458">
        <f t="shared" si="394"/>
        <v>220060.00743412142</v>
      </c>
      <c r="AL458">
        <v>1</v>
      </c>
      <c r="AM458">
        <f t="shared" si="395"/>
        <v>264.068329487634</v>
      </c>
      <c r="AN458">
        <f t="shared" si="369"/>
        <v>833.64991695005392</v>
      </c>
      <c r="AO458">
        <f t="shared" si="370"/>
        <v>-80.533512384133971</v>
      </c>
      <c r="AQ458">
        <f t="shared" si="396"/>
        <v>1.6796557243254965E-3</v>
      </c>
      <c r="AR458">
        <f t="shared" si="397"/>
        <v>-4.0983599673542113</v>
      </c>
      <c r="AT458">
        <f t="shared" si="365"/>
        <v>-4384.3689659113888</v>
      </c>
      <c r="AU458">
        <f t="shared" si="366"/>
        <v>-551.9853653589098</v>
      </c>
      <c r="AV458">
        <f t="shared" ref="AV458:AV521" si="407">ATAN2(AT458,AU458)</f>
        <v>-3.0163531050703249</v>
      </c>
      <c r="AW458">
        <f t="shared" ref="AW458:AW521" si="408">AG458-AH458*AO458/_Rfb2+AG458*AN458/_Rfb2+AN458-AO458*AR458+AQ458*AN458</f>
        <v>645.50503795176814</v>
      </c>
      <c r="AX458">
        <f t="shared" ref="AX458:AX521" si="409">AH458+AH458*AN458/_Rfb2+AG458*AO458/_Rfb2+AO458+AO458*AQ458+AN458*AR458</f>
        <v>-4786.6517244013121</v>
      </c>
      <c r="AY458">
        <f t="shared" si="364"/>
        <v>-1.4367497765194843</v>
      </c>
      <c r="BA458">
        <f t="shared" si="398"/>
        <v>0.91490626703173406</v>
      </c>
      <c r="BB458">
        <f t="shared" ref="BB458:BB521" si="410">20*LOG(BA458)</f>
        <v>-0.77246795027955606</v>
      </c>
      <c r="BC458">
        <f t="shared" ref="BC458:BC521" si="411">AV458-AY458</f>
        <v>-1.5796033285508406</v>
      </c>
      <c r="BD458">
        <f t="shared" si="399"/>
        <v>-270.50460413419648</v>
      </c>
      <c r="BF458">
        <f t="shared" si="400"/>
        <v>-52.385310269106299</v>
      </c>
      <c r="BG458">
        <f t="shared" si="401"/>
        <v>-186.06790567535748</v>
      </c>
      <c r="BH458">
        <f t="shared" ref="BH458:BH521" si="412">IF(BG458&gt;180,BG458-180,BG458+180)</f>
        <v>-6.0679056753574798</v>
      </c>
      <c r="BI458">
        <f t="shared" ref="BI458:BI521" si="413">IF(BH458&gt;180,BH458-360,BH458)</f>
        <v>-6.0679056753574798</v>
      </c>
      <c r="BJ458">
        <f t="shared" si="402"/>
        <v>0</v>
      </c>
      <c r="BK458">
        <f t="shared" ref="BK458:BK521" si="414">IF(BJ458&gt;0,BI458,0)</f>
        <v>0</v>
      </c>
      <c r="BM458">
        <f t="shared" ref="BM458:BM521" si="415">20*LOG(J458*F458*C458)</f>
        <v>-51.612842318826743</v>
      </c>
      <c r="BN458">
        <f t="shared" si="403"/>
        <v>-95.563301541161024</v>
      </c>
      <c r="BQ458" s="56">
        <f t="shared" ref="BQ458:BQ521" si="416">20*LOG(BA458*7)</f>
        <v>16.12949285000558</v>
      </c>
    </row>
    <row r="459" spans="1:69" x14ac:dyDescent="0.25">
      <c r="A459">
        <f t="shared" si="372"/>
        <v>1225000</v>
      </c>
      <c r="B459">
        <f t="shared" si="404"/>
        <v>1225</v>
      </c>
      <c r="C459">
        <f t="shared" si="373"/>
        <v>10.209005045136328</v>
      </c>
      <c r="D459">
        <f t="shared" si="374"/>
        <v>1.4726862697572352</v>
      </c>
      <c r="F459">
        <f t="shared" si="375"/>
        <v>1.7080075214266231E-5</v>
      </c>
      <c r="G459">
        <f t="shared" si="376"/>
        <v>1.4058636447139806E-3</v>
      </c>
      <c r="H459">
        <f t="shared" si="377"/>
        <v>-3.1401867863552861</v>
      </c>
      <c r="J459">
        <f t="shared" si="378"/>
        <v>15</v>
      </c>
      <c r="M459">
        <f t="shared" si="379"/>
        <v>1.2196767115943579E-3</v>
      </c>
      <c r="N459">
        <f t="shared" si="380"/>
        <v>-1.5707963250000001</v>
      </c>
      <c r="O459">
        <f t="shared" si="381"/>
        <v>313.28090091455391</v>
      </c>
      <c r="P459">
        <f t="shared" si="382"/>
        <v>1.567604297867319</v>
      </c>
      <c r="Q459">
        <f t="shared" si="383"/>
        <v>265.15246245388664</v>
      </c>
      <c r="R459">
        <f t="shared" si="384"/>
        <v>1.5670249027569834</v>
      </c>
      <c r="S459">
        <f t="shared" si="385"/>
        <v>9.9520709573635499E-2</v>
      </c>
      <c r="T459">
        <f t="shared" si="386"/>
        <v>-1.4711105989950823</v>
      </c>
      <c r="U459">
        <f t="shared" si="387"/>
        <v>0.12717258055298622</v>
      </c>
      <c r="V459">
        <f t="shared" si="388"/>
        <v>-1.4432784363639017</v>
      </c>
      <c r="X459">
        <f t="shared" si="405"/>
        <v>-49.489085611562132</v>
      </c>
      <c r="Y459">
        <f t="shared" si="389"/>
        <v>-172.92191008273838</v>
      </c>
      <c r="Z459">
        <f t="shared" si="406"/>
        <v>7.0780899172616216</v>
      </c>
      <c r="AC459">
        <v>1</v>
      </c>
      <c r="AD459">
        <f t="shared" si="390"/>
        <v>313.27930489873501</v>
      </c>
      <c r="AE459">
        <f t="shared" si="391"/>
        <v>-0.28935361273009064</v>
      </c>
      <c r="AF459">
        <f t="shared" si="392"/>
        <v>3.7099067603849997E-2</v>
      </c>
      <c r="AG459">
        <f t="shared" si="367"/>
        <v>133.17003054160594</v>
      </c>
      <c r="AH459">
        <f t="shared" si="368"/>
        <v>-1065.6124802577945</v>
      </c>
      <c r="AJ459">
        <f t="shared" si="393"/>
        <v>22100</v>
      </c>
      <c r="AK459">
        <f t="shared" si="394"/>
        <v>220961.89271049079</v>
      </c>
      <c r="AL459">
        <v>1</v>
      </c>
      <c r="AM459">
        <f t="shared" si="395"/>
        <v>265.15057673963253</v>
      </c>
      <c r="AN459">
        <f t="shared" si="369"/>
        <v>833.64743249676485</v>
      </c>
      <c r="AO459">
        <f t="shared" si="370"/>
        <v>-80.204813540292463</v>
      </c>
      <c r="AQ459">
        <f t="shared" si="396"/>
        <v>1.6659722339071664E-3</v>
      </c>
      <c r="AR459">
        <f t="shared" si="397"/>
        <v>-4.0816319730725574</v>
      </c>
      <c r="AT459">
        <f t="shared" si="365"/>
        <v>-4349.2161127520922</v>
      </c>
      <c r="AU459">
        <f t="shared" si="366"/>
        <v>-545.32633531788213</v>
      </c>
      <c r="AV459">
        <f t="shared" si="407"/>
        <v>-3.0168586288437362</v>
      </c>
      <c r="AW459">
        <f t="shared" si="408"/>
        <v>647.0537525135187</v>
      </c>
      <c r="AX459">
        <f t="shared" si="409"/>
        <v>-4767.247437629062</v>
      </c>
      <c r="AY459">
        <f t="shared" ref="AY459:AY522" si="417">ATAN2(AW459,AX459)</f>
        <v>-1.435891711218614</v>
      </c>
      <c r="BA459">
        <f t="shared" si="398"/>
        <v>0.91110122406210603</v>
      </c>
      <c r="BB459">
        <f t="shared" si="410"/>
        <v>-0.80866739776364993</v>
      </c>
      <c r="BC459">
        <f t="shared" si="411"/>
        <v>-1.5809669176251222</v>
      </c>
      <c r="BD459">
        <f t="shared" si="399"/>
        <v>-270.58273203323222</v>
      </c>
      <c r="BF459">
        <f t="shared" si="400"/>
        <v>-52.457378271348986</v>
      </c>
      <c r="BG459">
        <f t="shared" si="401"/>
        <v>-186.12347407935624</v>
      </c>
      <c r="BH459">
        <f t="shared" si="412"/>
        <v>-6.1234740793562423</v>
      </c>
      <c r="BI459">
        <f t="shared" si="413"/>
        <v>-6.1234740793562423</v>
      </c>
      <c r="BJ459">
        <f t="shared" si="402"/>
        <v>0</v>
      </c>
      <c r="BK459">
        <f t="shared" si="414"/>
        <v>0</v>
      </c>
      <c r="BM459">
        <f t="shared" si="415"/>
        <v>-51.648710873585337</v>
      </c>
      <c r="BN459">
        <f t="shared" si="403"/>
        <v>-95.540742046124024</v>
      </c>
      <c r="BQ459" s="56">
        <f t="shared" si="416"/>
        <v>16.093293402521486</v>
      </c>
    </row>
    <row r="460" spans="1:69" x14ac:dyDescent="0.25">
      <c r="A460">
        <f t="shared" si="372"/>
        <v>1230000</v>
      </c>
      <c r="B460">
        <f t="shared" si="404"/>
        <v>1230</v>
      </c>
      <c r="C460">
        <f t="shared" si="373"/>
        <v>10.250275451239087</v>
      </c>
      <c r="D460">
        <f t="shared" si="374"/>
        <v>1.4730825522262507</v>
      </c>
      <c r="F460">
        <f t="shared" si="375"/>
        <v>1.6941492829074963E-5</v>
      </c>
      <c r="G460">
        <f t="shared" si="376"/>
        <v>1.4001485641594211E-3</v>
      </c>
      <c r="H460">
        <f t="shared" si="377"/>
        <v>-3.1401925014358407</v>
      </c>
      <c r="J460">
        <f t="shared" si="378"/>
        <v>15</v>
      </c>
      <c r="M460">
        <f t="shared" si="379"/>
        <v>1.2147186761813727E-3</v>
      </c>
      <c r="N460">
        <f t="shared" si="380"/>
        <v>-1.5707963250000001</v>
      </c>
      <c r="O460">
        <f t="shared" si="381"/>
        <v>314.5595854671206</v>
      </c>
      <c r="P460">
        <f t="shared" si="382"/>
        <v>1.5676172735070637</v>
      </c>
      <c r="Q460">
        <f t="shared" si="383"/>
        <v>266.23470204043423</v>
      </c>
      <c r="R460">
        <f t="shared" si="384"/>
        <v>1.5670402336045179</v>
      </c>
      <c r="S460">
        <f t="shared" si="385"/>
        <v>9.9120136554966307E-2</v>
      </c>
      <c r="T460">
        <f t="shared" si="386"/>
        <v>-1.4715131624906319</v>
      </c>
      <c r="U460">
        <f t="shared" si="387"/>
        <v>0.12666392950226901</v>
      </c>
      <c r="V460">
        <f t="shared" si="388"/>
        <v>-1.4437912343253063</v>
      </c>
      <c r="X460">
        <f t="shared" si="405"/>
        <v>-49.559267694890977</v>
      </c>
      <c r="Y460">
        <f t="shared" si="389"/>
        <v>-172.95035672575509</v>
      </c>
      <c r="Z460">
        <f t="shared" si="406"/>
        <v>7.0496432742449144</v>
      </c>
      <c r="AC460">
        <v>1</v>
      </c>
      <c r="AD460">
        <f t="shared" si="390"/>
        <v>314.55799593913804</v>
      </c>
      <c r="AE460">
        <f t="shared" si="391"/>
        <v>-0.29172050358974039</v>
      </c>
      <c r="AF460">
        <f t="shared" si="392"/>
        <v>3.7250492369579995E-2</v>
      </c>
      <c r="AG460">
        <f t="shared" si="367"/>
        <v>132.10688293585747</v>
      </c>
      <c r="AH460">
        <f t="shared" si="368"/>
        <v>-1061.4164780814419</v>
      </c>
      <c r="AJ460">
        <f t="shared" si="393"/>
        <v>22100</v>
      </c>
      <c r="AK460">
        <f t="shared" si="394"/>
        <v>221863.77798686014</v>
      </c>
      <c r="AL460">
        <v>1</v>
      </c>
      <c r="AM460">
        <f t="shared" si="395"/>
        <v>266.23282399163099</v>
      </c>
      <c r="AN460">
        <f t="shared" si="369"/>
        <v>833.64497827949322</v>
      </c>
      <c r="AO460">
        <f t="shared" si="370"/>
        <v>-79.878786931205056</v>
      </c>
      <c r="AQ460">
        <f t="shared" si="396"/>
        <v>1.6524552758848444E-3</v>
      </c>
      <c r="AR460">
        <f t="shared" si="397"/>
        <v>-4.0650399786767171</v>
      </c>
      <c r="AT460">
        <f t="shared" si="365"/>
        <v>-4314.4821167116124</v>
      </c>
      <c r="AU460">
        <f t="shared" si="366"/>
        <v>-538.77370385174243</v>
      </c>
      <c r="AV460">
        <f t="shared" si="407"/>
        <v>-3.0173601103653862</v>
      </c>
      <c r="AW460">
        <f t="shared" si="408"/>
        <v>648.58332583302388</v>
      </c>
      <c r="AX460">
        <f t="shared" si="409"/>
        <v>-4747.9993338845898</v>
      </c>
      <c r="AY460">
        <f t="shared" si="417"/>
        <v>-1.4350352033997997</v>
      </c>
      <c r="BA460">
        <f t="shared" si="398"/>
        <v>0.90732621126343516</v>
      </c>
      <c r="BB460">
        <f t="shared" si="410"/>
        <v>-0.84473085679261906</v>
      </c>
      <c r="BC460">
        <f t="shared" si="411"/>
        <v>-1.5823249069655865</v>
      </c>
      <c r="BD460">
        <f t="shared" si="399"/>
        <v>-270.66053909115351</v>
      </c>
      <c r="BF460">
        <f t="shared" si="400"/>
        <v>-52.529161426661418</v>
      </c>
      <c r="BG460">
        <f t="shared" si="401"/>
        <v>-186.17890327427767</v>
      </c>
      <c r="BH460">
        <f t="shared" si="412"/>
        <v>-6.1789032742776726</v>
      </c>
      <c r="BI460">
        <f t="shared" si="413"/>
        <v>-6.1789032742776726</v>
      </c>
      <c r="BJ460">
        <f t="shared" si="402"/>
        <v>0</v>
      </c>
      <c r="BK460">
        <f t="shared" si="414"/>
        <v>0</v>
      </c>
      <c r="BM460">
        <f t="shared" si="415"/>
        <v>-51.684430569868802</v>
      </c>
      <c r="BN460">
        <f t="shared" si="403"/>
        <v>-95.518364183124177</v>
      </c>
      <c r="BQ460" s="56">
        <f t="shared" si="416"/>
        <v>16.057229943492516</v>
      </c>
    </row>
    <row r="461" spans="1:69" x14ac:dyDescent="0.25">
      <c r="A461">
        <f t="shared" si="372"/>
        <v>1235000</v>
      </c>
      <c r="B461">
        <f t="shared" si="404"/>
        <v>1235</v>
      </c>
      <c r="C461">
        <f t="shared" si="373"/>
        <v>10.291547454132646</v>
      </c>
      <c r="D461">
        <f t="shared" si="374"/>
        <v>1.4734756563480376</v>
      </c>
      <c r="F461">
        <f t="shared" si="375"/>
        <v>1.6804590256928076E-5</v>
      </c>
      <c r="G461">
        <f t="shared" si="376"/>
        <v>1.3944797618266217E-3</v>
      </c>
      <c r="H461">
        <f t="shared" si="377"/>
        <v>-3.1401981702381736</v>
      </c>
      <c r="J461">
        <f t="shared" si="378"/>
        <v>15</v>
      </c>
      <c r="M461">
        <f t="shared" si="379"/>
        <v>1.2098007868041201E-3</v>
      </c>
      <c r="N461">
        <f t="shared" si="380"/>
        <v>-1.5707963250000001</v>
      </c>
      <c r="O461">
        <f t="shared" si="381"/>
        <v>315.83827007221993</v>
      </c>
      <c r="P461">
        <f t="shared" si="382"/>
        <v>1.5676301440819569</v>
      </c>
      <c r="Q461">
        <f t="shared" si="383"/>
        <v>267.3169416890496</v>
      </c>
      <c r="R461">
        <f t="shared" si="384"/>
        <v>1.5670554403173798</v>
      </c>
      <c r="S461">
        <f t="shared" si="385"/>
        <v>9.8722759432480392E-2</v>
      </c>
      <c r="T461">
        <f t="shared" si="386"/>
        <v>-1.4719124982598459</v>
      </c>
      <c r="U461">
        <f t="shared" si="387"/>
        <v>0.12615929835668871</v>
      </c>
      <c r="V461">
        <f t="shared" si="388"/>
        <v>-1.4442999464288371</v>
      </c>
      <c r="X461">
        <f t="shared" si="405"/>
        <v>-49.629169655814906</v>
      </c>
      <c r="Y461">
        <f t="shared" si="389"/>
        <v>-172.97857691776392</v>
      </c>
      <c r="Z461">
        <f t="shared" si="406"/>
        <v>7.0214230822360832</v>
      </c>
      <c r="AC461">
        <v>1</v>
      </c>
      <c r="AD461">
        <f t="shared" si="390"/>
        <v>315.83668697954096</v>
      </c>
      <c r="AE461">
        <f t="shared" si="391"/>
        <v>-0.29409703555268807</v>
      </c>
      <c r="AF461">
        <f t="shared" si="392"/>
        <v>3.7401917135309999E-2</v>
      </c>
      <c r="AG461">
        <f t="shared" si="367"/>
        <v>131.05634786682171</v>
      </c>
      <c r="AH461">
        <f t="shared" si="368"/>
        <v>-1057.252847626426</v>
      </c>
      <c r="AJ461">
        <f t="shared" si="393"/>
        <v>22100</v>
      </c>
      <c r="AK461">
        <f t="shared" si="394"/>
        <v>222765.66326322948</v>
      </c>
      <c r="AL461">
        <v>1</v>
      </c>
      <c r="AM461">
        <f t="shared" si="395"/>
        <v>267.31507124362952</v>
      </c>
      <c r="AN461">
        <f t="shared" si="369"/>
        <v>833.64255380959025</v>
      </c>
      <c r="AO461">
        <f t="shared" si="370"/>
        <v>-79.55540010240712</v>
      </c>
      <c r="AQ461">
        <f t="shared" si="396"/>
        <v>1.6391021588450625E-3</v>
      </c>
      <c r="AR461">
        <f t="shared" si="397"/>
        <v>-4.048582332347304</v>
      </c>
      <c r="AT461">
        <f t="shared" si="365"/>
        <v>-4280.1603849815065</v>
      </c>
      <c r="AU461">
        <f t="shared" si="366"/>
        <v>-532.32535994056627</v>
      </c>
      <c r="AV461">
        <f t="shared" si="407"/>
        <v>-3.0178575976591984</v>
      </c>
      <c r="AW461">
        <f t="shared" si="408"/>
        <v>650.09407302988438</v>
      </c>
      <c r="AX461">
        <f t="shared" si="409"/>
        <v>-4728.9055408305176</v>
      </c>
      <c r="AY461">
        <f t="shared" si="417"/>
        <v>-1.4341802358873346</v>
      </c>
      <c r="BA461">
        <f t="shared" si="398"/>
        <v>0.90358087228731965</v>
      </c>
      <c r="BB461">
        <f t="shared" si="410"/>
        <v>-0.88065942285095733</v>
      </c>
      <c r="BC461">
        <f t="shared" si="411"/>
        <v>-1.5836773617718638</v>
      </c>
      <c r="BD461">
        <f t="shared" si="399"/>
        <v>-270.73802904362395</v>
      </c>
      <c r="BF461">
        <f t="shared" si="400"/>
        <v>-52.600662071202784</v>
      </c>
      <c r="BG461">
        <f t="shared" si="401"/>
        <v>-186.23419481808369</v>
      </c>
      <c r="BH461">
        <f t="shared" si="412"/>
        <v>-6.2341948180836937</v>
      </c>
      <c r="BI461">
        <f t="shared" si="413"/>
        <v>-6.2341948180836937</v>
      </c>
      <c r="BJ461">
        <f t="shared" si="402"/>
        <v>0</v>
      </c>
      <c r="BK461">
        <f t="shared" si="414"/>
        <v>0</v>
      </c>
      <c r="BM461">
        <f t="shared" si="415"/>
        <v>-51.72000264835183</v>
      </c>
      <c r="BN461">
        <f t="shared" si="403"/>
        <v>-95.496165774459811</v>
      </c>
      <c r="BQ461" s="56">
        <f t="shared" si="416"/>
        <v>16.021301377434177</v>
      </c>
    </row>
    <row r="462" spans="1:69" x14ac:dyDescent="0.25">
      <c r="A462">
        <f t="shared" si="372"/>
        <v>1240000</v>
      </c>
      <c r="B462">
        <f t="shared" si="404"/>
        <v>1240</v>
      </c>
      <c r="C462">
        <f t="shared" si="373"/>
        <v>10.332821034682997</v>
      </c>
      <c r="D462">
        <f t="shared" si="374"/>
        <v>1.4738656200872873</v>
      </c>
      <c r="F462">
        <f t="shared" si="375"/>
        <v>1.6669340458050257E-5</v>
      </c>
      <c r="G462">
        <f t="shared" si="376"/>
        <v>1.3888566778620581E-3</v>
      </c>
      <c r="H462">
        <f t="shared" si="377"/>
        <v>-3.1402037933221383</v>
      </c>
      <c r="J462">
        <f t="shared" si="378"/>
        <v>15</v>
      </c>
      <c r="M462">
        <f t="shared" si="379"/>
        <v>1.2049225578250713E-3</v>
      </c>
      <c r="N462">
        <f t="shared" si="380"/>
        <v>-1.5707963250000001</v>
      </c>
      <c r="O462">
        <f t="shared" si="381"/>
        <v>317.11695472921656</v>
      </c>
      <c r="P462">
        <f t="shared" si="382"/>
        <v>1.5676429108629277</v>
      </c>
      <c r="Q462">
        <f t="shared" si="383"/>
        <v>268.39918139898191</v>
      </c>
      <c r="R462">
        <f t="shared" si="384"/>
        <v>1.5670705243971694</v>
      </c>
      <c r="S462">
        <f t="shared" si="385"/>
        <v>9.8328540300144832E-2</v>
      </c>
      <c r="T462">
        <f t="shared" si="386"/>
        <v>-1.4723086448414042</v>
      </c>
      <c r="U462">
        <f t="shared" si="387"/>
        <v>0.12565864003974081</v>
      </c>
      <c r="V462">
        <f t="shared" si="388"/>
        <v>-1.4448046210533259</v>
      </c>
      <c r="X462">
        <f t="shared" si="405"/>
        <v>-49.698793703806658</v>
      </c>
      <c r="Y462">
        <f t="shared" si="389"/>
        <v>-173.00657333677776</v>
      </c>
      <c r="Z462">
        <f t="shared" si="406"/>
        <v>6.9934266632222375</v>
      </c>
      <c r="AC462">
        <v>1</v>
      </c>
      <c r="AD462">
        <f t="shared" si="390"/>
        <v>317.11537801994399</v>
      </c>
      <c r="AE462">
        <f t="shared" si="391"/>
        <v>-0.29648320861893374</v>
      </c>
      <c r="AF462">
        <f t="shared" si="392"/>
        <v>3.7553341901039997E-2</v>
      </c>
      <c r="AG462">
        <f t="shared" si="367"/>
        <v>130.01822769349678</v>
      </c>
      <c r="AH462">
        <f t="shared" si="368"/>
        <v>-1053.1212223330726</v>
      </c>
      <c r="AJ462">
        <f t="shared" si="393"/>
        <v>22100</v>
      </c>
      <c r="AK462">
        <f t="shared" si="394"/>
        <v>223667.54853959882</v>
      </c>
      <c r="AL462">
        <v>1</v>
      </c>
      <c r="AM462">
        <f t="shared" si="395"/>
        <v>268.39731849562804</v>
      </c>
      <c r="AN462">
        <f t="shared" si="369"/>
        <v>833.64015860823997</v>
      </c>
      <c r="AO462">
        <f t="shared" si="370"/>
        <v>-79.234621122856609</v>
      </c>
      <c r="AQ462">
        <f t="shared" si="396"/>
        <v>1.6259102455270802E-3</v>
      </c>
      <c r="AR462">
        <f t="shared" si="397"/>
        <v>-4.0322574089071592</v>
      </c>
      <c r="AT462">
        <f t="shared" si="365"/>
        <v>-4246.2444532613836</v>
      </c>
      <c r="AU462">
        <f t="shared" si="366"/>
        <v>-525.97924249525363</v>
      </c>
      <c r="AV462">
        <f t="shared" si="407"/>
        <v>-3.0183511379955936</v>
      </c>
      <c r="AW462">
        <f t="shared" si="408"/>
        <v>651.58630274796917</v>
      </c>
      <c r="AX462">
        <f t="shared" si="409"/>
        <v>-4709.9642158522311</v>
      </c>
      <c r="AY462">
        <f t="shared" si="417"/>
        <v>-1.4333267918092851</v>
      </c>
      <c r="BA462">
        <f t="shared" si="398"/>
        <v>0.8998648563757482</v>
      </c>
      <c r="BB462">
        <f t="shared" si="410"/>
        <v>-0.91645417870930324</v>
      </c>
      <c r="BC462">
        <f t="shared" si="411"/>
        <v>-1.5850243461863085</v>
      </c>
      <c r="BD462">
        <f t="shared" si="399"/>
        <v>-270.81520556572968</v>
      </c>
      <c r="BF462">
        <f t="shared" si="400"/>
        <v>-52.67188251285976</v>
      </c>
      <c r="BG462">
        <f t="shared" si="401"/>
        <v>-186.28935024272121</v>
      </c>
      <c r="BH462">
        <f t="shared" si="412"/>
        <v>-6.2893502427212127</v>
      </c>
      <c r="BI462">
        <f t="shared" si="413"/>
        <v>-6.2893502427212127</v>
      </c>
      <c r="BJ462">
        <f t="shared" si="402"/>
        <v>0</v>
      </c>
      <c r="BK462">
        <f t="shared" si="414"/>
        <v>0</v>
      </c>
      <c r="BM462">
        <f t="shared" si="415"/>
        <v>-51.755428334150452</v>
      </c>
      <c r="BN462">
        <f t="shared" si="403"/>
        <v>-95.4741446769915</v>
      </c>
      <c r="BQ462" s="56">
        <f t="shared" si="416"/>
        <v>15.985506621575833</v>
      </c>
    </row>
    <row r="463" spans="1:69" x14ac:dyDescent="0.25">
      <c r="A463">
        <f t="shared" si="372"/>
        <v>1245000</v>
      </c>
      <c r="B463">
        <f t="shared" si="404"/>
        <v>1245</v>
      </c>
      <c r="C463">
        <f t="shared" si="373"/>
        <v>10.374096174059916</v>
      </c>
      <c r="D463">
        <f t="shared" si="374"/>
        <v>1.4742524808083497</v>
      </c>
      <c r="F463">
        <f t="shared" si="375"/>
        <v>1.6535716934558165E-5</v>
      </c>
      <c r="G463">
        <f t="shared" si="376"/>
        <v>1.383278761406561E-3</v>
      </c>
      <c r="H463">
        <f t="shared" si="377"/>
        <v>-3.1402093712385937</v>
      </c>
      <c r="J463">
        <f t="shared" si="378"/>
        <v>15</v>
      </c>
      <c r="M463">
        <f t="shared" si="379"/>
        <v>1.2000835114081029E-3</v>
      </c>
      <c r="N463">
        <f t="shared" si="380"/>
        <v>-1.5707963250000001</v>
      </c>
      <c r="O463">
        <f t="shared" si="381"/>
        <v>318.39563943748504</v>
      </c>
      <c r="P463">
        <f t="shared" si="382"/>
        <v>1.5676555751004886</v>
      </c>
      <c r="Q463">
        <f t="shared" si="383"/>
        <v>269.48142116949248</v>
      </c>
      <c r="R463">
        <f t="shared" si="384"/>
        <v>1.5670854873213669</v>
      </c>
      <c r="S463">
        <f t="shared" si="385"/>
        <v>9.7937441846027581E-2</v>
      </c>
      <c r="T463">
        <f t="shared" si="386"/>
        <v>-1.472701640164882</v>
      </c>
      <c r="U463">
        <f t="shared" si="387"/>
        <v>0.12516190820093814</v>
      </c>
      <c r="V463">
        <f t="shared" si="388"/>
        <v>-1.4453053058209346</v>
      </c>
      <c r="X463">
        <f t="shared" si="405"/>
        <v>-49.768142022508506</v>
      </c>
      <c r="Y463">
        <f t="shared" si="389"/>
        <v>-173.03434861899007</v>
      </c>
      <c r="Z463">
        <f t="shared" si="406"/>
        <v>6.9656513810099341</v>
      </c>
      <c r="AC463">
        <v>1</v>
      </c>
      <c r="AD463">
        <f t="shared" si="390"/>
        <v>318.39406906034702</v>
      </c>
      <c r="AE463">
        <f t="shared" si="391"/>
        <v>-0.29887902278847733</v>
      </c>
      <c r="AF463">
        <f t="shared" si="392"/>
        <v>3.7704766666769994E-2</v>
      </c>
      <c r="AG463">
        <f t="shared" si="367"/>
        <v>128.9923286099112</v>
      </c>
      <c r="AH463">
        <f t="shared" si="368"/>
        <v>-1049.0212410464108</v>
      </c>
      <c r="AJ463">
        <f t="shared" si="393"/>
        <v>22100</v>
      </c>
      <c r="AK463">
        <f t="shared" si="394"/>
        <v>224569.43381596816</v>
      </c>
      <c r="AL463">
        <v>1</v>
      </c>
      <c r="AM463">
        <f t="shared" si="395"/>
        <v>269.47956574762657</v>
      </c>
      <c r="AN463">
        <f t="shared" si="369"/>
        <v>833.63779220622098</v>
      </c>
      <c r="AO463">
        <f t="shared" si="370"/>
        <v>-78.916418574424256</v>
      </c>
      <c r="AQ463">
        <f t="shared" si="396"/>
        <v>1.6128769515206284E-3</v>
      </c>
      <c r="AR463">
        <f t="shared" si="397"/>
        <v>-4.0160636092863644</v>
      </c>
      <c r="AT463">
        <f t="shared" si="365"/>
        <v>-4212.7279827811717</v>
      </c>
      <c r="AU463">
        <f t="shared" si="366"/>
        <v>-519.73333898871203</v>
      </c>
      <c r="AV463">
        <f t="shared" si="407"/>
        <v>-3.0188407779061279</v>
      </c>
      <c r="AW463">
        <f t="shared" si="408"/>
        <v>653.0603173148204</v>
      </c>
      <c r="AX463">
        <f t="shared" si="409"/>
        <v>-4691.173545471961</v>
      </c>
      <c r="AY463">
        <f t="shared" si="417"/>
        <v>-1.4324748545909562</v>
      </c>
      <c r="BA463">
        <f t="shared" si="398"/>
        <v>0.89617781825263421</v>
      </c>
      <c r="BB463">
        <f t="shared" si="410"/>
        <v>-0.95211619461661101</v>
      </c>
      <c r="BC463">
        <f t="shared" si="411"/>
        <v>-1.5863659233151717</v>
      </c>
      <c r="BD463">
        <f t="shared" si="399"/>
        <v>-270.89207227319264</v>
      </c>
      <c r="BF463">
        <f t="shared" si="400"/>
        <v>-52.742825031699311</v>
      </c>
      <c r="BG463">
        <f t="shared" si="401"/>
        <v>-186.34437105465429</v>
      </c>
      <c r="BH463">
        <f t="shared" si="412"/>
        <v>-6.3443710546542889</v>
      </c>
      <c r="BI463">
        <f t="shared" si="413"/>
        <v>-6.3443710546542889</v>
      </c>
      <c r="BJ463">
        <f t="shared" si="402"/>
        <v>0</v>
      </c>
      <c r="BK463">
        <f t="shared" si="414"/>
        <v>0</v>
      </c>
      <c r="BM463">
        <f t="shared" si="415"/>
        <v>-51.790708837082704</v>
      </c>
      <c r="BN463">
        <f t="shared" si="403"/>
        <v>-95.45229878146165</v>
      </c>
      <c r="BQ463" s="56">
        <f t="shared" si="416"/>
        <v>15.949844605668526</v>
      </c>
    </row>
    <row r="464" spans="1:69" x14ac:dyDescent="0.25">
      <c r="A464">
        <f t="shared" si="372"/>
        <v>1250000</v>
      </c>
      <c r="B464">
        <f t="shared" si="404"/>
        <v>1250</v>
      </c>
      <c r="C464">
        <f t="shared" si="373"/>
        <v>10.415372853730947</v>
      </c>
      <c r="D464">
        <f t="shared" si="374"/>
        <v>1.4746362752870159</v>
      </c>
      <c r="F464">
        <f t="shared" si="375"/>
        <v>1.6403693717480614E-5</v>
      </c>
      <c r="G464">
        <f t="shared" si="376"/>
        <v>1.3777454704154131E-3</v>
      </c>
      <c r="H464">
        <f t="shared" si="377"/>
        <v>-3.1402149045295848</v>
      </c>
      <c r="J464">
        <f t="shared" si="378"/>
        <v>15</v>
      </c>
      <c r="M464">
        <f t="shared" si="379"/>
        <v>1.1952831773624707E-3</v>
      </c>
      <c r="N464">
        <f t="shared" si="380"/>
        <v>-1.5707963250000001</v>
      </c>
      <c r="O464">
        <f t="shared" si="381"/>
        <v>319.67432419641028</v>
      </c>
      <c r="P464">
        <f t="shared" si="382"/>
        <v>1.5676681380251443</v>
      </c>
      <c r="Q464">
        <f t="shared" si="383"/>
        <v>270.56366099985428</v>
      </c>
      <c r="R464">
        <f t="shared" si="384"/>
        <v>1.5671003305438127</v>
      </c>
      <c r="S464">
        <f t="shared" si="385"/>
        <v>9.7549427340763259E-2</v>
      </c>
      <c r="T464">
        <f t="shared" si="386"/>
        <v>-1.4730915215626965</v>
      </c>
      <c r="U464">
        <f t="shared" si="387"/>
        <v>0.12466905720199194</v>
      </c>
      <c r="V464">
        <f t="shared" si="388"/>
        <v>-1.4458020476118094</v>
      </c>
      <c r="X464">
        <f t="shared" si="405"/>
        <v>-49.837216770130141</v>
      </c>
      <c r="Y464">
        <f t="shared" si="389"/>
        <v>-173.06190535958288</v>
      </c>
      <c r="Z464">
        <f t="shared" si="406"/>
        <v>6.9380946404171198</v>
      </c>
      <c r="AC464">
        <v>1</v>
      </c>
      <c r="AD464">
        <f t="shared" si="390"/>
        <v>319.67276010075</v>
      </c>
      <c r="AE464">
        <f t="shared" si="391"/>
        <v>-0.30128447806131892</v>
      </c>
      <c r="AF464">
        <f t="shared" si="392"/>
        <v>3.7856191432499998E-2</v>
      </c>
      <c r="AG464">
        <f t="shared" si="367"/>
        <v>127.97846055667087</v>
      </c>
      <c r="AH464">
        <f t="shared" si="368"/>
        <v>-1044.952547919195</v>
      </c>
      <c r="AJ464">
        <f t="shared" si="393"/>
        <v>22100</v>
      </c>
      <c r="AK464">
        <f t="shared" si="394"/>
        <v>225471.31909233751</v>
      </c>
      <c r="AL464">
        <v>1</v>
      </c>
      <c r="AM464">
        <f t="shared" si="395"/>
        <v>270.56181299962503</v>
      </c>
      <c r="AN464">
        <f t="shared" si="369"/>
        <v>833.63545414367741</v>
      </c>
      <c r="AO464">
        <f t="shared" si="370"/>
        <v>-78.600761541636302</v>
      </c>
      <c r="AQ464">
        <f t="shared" si="396"/>
        <v>1.599999744000041E-3</v>
      </c>
      <c r="AR464">
        <f t="shared" si="397"/>
        <v>-3.9999993600001025</v>
      </c>
      <c r="AT464">
        <f t="shared" si="365"/>
        <v>-4179.604757403129</v>
      </c>
      <c r="AU464">
        <f t="shared" si="366"/>
        <v>-513.58568412964473</v>
      </c>
      <c r="AV464">
        <f t="shared" si="407"/>
        <v>-3.0193265631977915</v>
      </c>
      <c r="AW464">
        <f t="shared" si="408"/>
        <v>654.5164128964916</v>
      </c>
      <c r="AX464">
        <f t="shared" si="409"/>
        <v>-4672.5317447766665</v>
      </c>
      <c r="AY464">
        <f t="shared" si="417"/>
        <v>-1.4316244079485225</v>
      </c>
      <c r="BA464">
        <f t="shared" si="398"/>
        <v>0.89251941801784584</v>
      </c>
      <c r="BB464">
        <f t="shared" si="410"/>
        <v>-0.98764652848878709</v>
      </c>
      <c r="BC464">
        <f t="shared" si="411"/>
        <v>-1.5877021552492689</v>
      </c>
      <c r="BD464">
        <f t="shared" si="399"/>
        <v>-270.96863272355455</v>
      </c>
      <c r="BF464">
        <f t="shared" si="400"/>
        <v>-52.813491880412556</v>
      </c>
      <c r="BG464">
        <f t="shared" si="401"/>
        <v>-186.39925873538402</v>
      </c>
      <c r="BH464">
        <f t="shared" si="412"/>
        <v>-6.3992587353840236</v>
      </c>
      <c r="BI464">
        <f t="shared" si="413"/>
        <v>-6.3992587353840236</v>
      </c>
      <c r="BJ464">
        <f t="shared" si="402"/>
        <v>0</v>
      </c>
      <c r="BK464">
        <f t="shared" si="414"/>
        <v>0</v>
      </c>
      <c r="BM464">
        <f t="shared" si="415"/>
        <v>-51.825845351923768</v>
      </c>
      <c r="BN464">
        <f t="shared" si="403"/>
        <v>-95.430626011829503</v>
      </c>
      <c r="BQ464" s="56">
        <f t="shared" si="416"/>
        <v>15.914314271796348</v>
      </c>
    </row>
    <row r="465" spans="1:69" x14ac:dyDescent="0.25">
      <c r="A465">
        <f t="shared" si="372"/>
        <v>1255000</v>
      </c>
      <c r="B465">
        <f t="shared" si="404"/>
        <v>1255</v>
      </c>
      <c r="C465">
        <f t="shared" si="373"/>
        <v>10.45665105545558</v>
      </c>
      <c r="D465">
        <f t="shared" si="374"/>
        <v>1.475017039722025</v>
      </c>
      <c r="F465">
        <f t="shared" si="375"/>
        <v>1.6273245354140059E-5</v>
      </c>
      <c r="G465">
        <f t="shared" si="376"/>
        <v>1.3722562714827452E-3</v>
      </c>
      <c r="H465">
        <f t="shared" si="377"/>
        <v>-3.1402203937285176</v>
      </c>
      <c r="J465">
        <f t="shared" si="378"/>
        <v>15</v>
      </c>
      <c r="M465">
        <f t="shared" si="379"/>
        <v>1.1905210929905087E-3</v>
      </c>
      <c r="N465">
        <f t="shared" si="380"/>
        <v>-1.5707963250000001</v>
      </c>
      <c r="O465">
        <f t="shared" si="381"/>
        <v>320.95300900538678</v>
      </c>
      <c r="P465">
        <f t="shared" si="382"/>
        <v>1.5676806008477906</v>
      </c>
      <c r="Q465">
        <f t="shared" si="383"/>
        <v>271.64590088935205</v>
      </c>
      <c r="R465">
        <f t="shared" si="384"/>
        <v>1.5671150554951787</v>
      </c>
      <c r="S465">
        <f t="shared" si="385"/>
        <v>9.7164460626285226E-2</v>
      </c>
      <c r="T465">
        <f t="shared" si="386"/>
        <v>-1.4734783257817747</v>
      </c>
      <c r="U465">
        <f t="shared" si="387"/>
        <v>0.12418004210330455</v>
      </c>
      <c r="V465">
        <f t="shared" si="388"/>
        <v>-1.4462948925783998</v>
      </c>
      <c r="X465">
        <f t="shared" si="405"/>
        <v>-49.906020079838854</v>
      </c>
      <c r="Y465">
        <f t="shared" si="389"/>
        <v>-173.08924611351682</v>
      </c>
      <c r="Z465">
        <f t="shared" si="406"/>
        <v>6.9107538864831781</v>
      </c>
      <c r="AC465">
        <v>1</v>
      </c>
      <c r="AD465">
        <f t="shared" si="390"/>
        <v>320.95145114115303</v>
      </c>
      <c r="AE465">
        <f t="shared" si="391"/>
        <v>-0.30369957443745837</v>
      </c>
      <c r="AF465">
        <f t="shared" si="392"/>
        <v>3.8007616198229996E-2</v>
      </c>
      <c r="AG465">
        <f t="shared" si="367"/>
        <v>126.97643713486386</v>
      </c>
      <c r="AH465">
        <f t="shared" si="368"/>
        <v>-1040.914792316948</v>
      </c>
      <c r="AJ465">
        <f t="shared" si="393"/>
        <v>22100</v>
      </c>
      <c r="AK465">
        <f t="shared" si="394"/>
        <v>226373.20436870685</v>
      </c>
      <c r="AL465">
        <v>1</v>
      </c>
      <c r="AM465">
        <f t="shared" si="395"/>
        <v>271.64406025162356</v>
      </c>
      <c r="AN465">
        <f t="shared" si="369"/>
        <v>833.63314396989495</v>
      </c>
      <c r="AO465">
        <f t="shared" si="370"/>
        <v>-78.287619601662186</v>
      </c>
      <c r="AQ465">
        <f t="shared" si="396"/>
        <v>1.5872761404936207E-3</v>
      </c>
      <c r="AR465">
        <f t="shared" si="397"/>
        <v>-3.9840631126389878</v>
      </c>
      <c r="AT465">
        <f t="shared" si="365"/>
        <v>-4146.8686808011562</v>
      </c>
      <c r="AU465">
        <f t="shared" si="366"/>
        <v>-507.53435857746604</v>
      </c>
      <c r="AV465">
        <f t="shared" si="407"/>
        <v>-3.0198085389669798</v>
      </c>
      <c r="AW465">
        <f t="shared" si="408"/>
        <v>655.95487964796848</v>
      </c>
      <c r="AX465">
        <f t="shared" si="409"/>
        <v>-4654.0370568592898</v>
      </c>
      <c r="AY465">
        <f t="shared" si="417"/>
        <v>-1.4307754358828249</v>
      </c>
      <c r="BA465">
        <f t="shared" si="398"/>
        <v>0.88888932104366802</v>
      </c>
      <c r="BB465">
        <f t="shared" si="410"/>
        <v>-1.0230462260938444</v>
      </c>
      <c r="BC465">
        <f t="shared" si="411"/>
        <v>-1.5890331030841549</v>
      </c>
      <c r="BD465">
        <f t="shared" si="399"/>
        <v>-271.04489041733268</v>
      </c>
      <c r="BF465">
        <f t="shared" si="400"/>
        <v>-52.883885284749759</v>
      </c>
      <c r="BG465">
        <f t="shared" si="401"/>
        <v>-186.45401474195469</v>
      </c>
      <c r="BH465">
        <f t="shared" si="412"/>
        <v>-6.454014741954694</v>
      </c>
      <c r="BI465">
        <f t="shared" si="413"/>
        <v>-6.454014741954694</v>
      </c>
      <c r="BJ465">
        <f t="shared" si="402"/>
        <v>0</v>
      </c>
      <c r="BK465">
        <f t="shared" si="414"/>
        <v>0</v>
      </c>
      <c r="BM465">
        <f t="shared" si="415"/>
        <v>-51.860839058655912</v>
      </c>
      <c r="BN465">
        <f t="shared" si="403"/>
        <v>-95.409124324621985</v>
      </c>
      <c r="BQ465" s="56">
        <f t="shared" si="416"/>
        <v>15.878914574191292</v>
      </c>
    </row>
    <row r="466" spans="1:69" x14ac:dyDescent="0.25">
      <c r="A466">
        <f t="shared" si="372"/>
        <v>1260000</v>
      </c>
      <c r="B466">
        <f t="shared" si="404"/>
        <v>1260</v>
      </c>
      <c r="C466">
        <f t="shared" si="373"/>
        <v>10.497930761279529</v>
      </c>
      <c r="D466">
        <f t="shared" si="374"/>
        <v>1.4753948097463034</v>
      </c>
      <c r="F466">
        <f t="shared" si="375"/>
        <v>1.6144346895883892E-5</v>
      </c>
      <c r="G466">
        <f t="shared" si="376"/>
        <v>1.366810639670115E-3</v>
      </c>
      <c r="H466">
        <f t="shared" si="377"/>
        <v>-3.1402258393603302</v>
      </c>
      <c r="J466">
        <f t="shared" si="378"/>
        <v>15</v>
      </c>
      <c r="M466">
        <f t="shared" si="379"/>
        <v>1.1857968029389588E-3</v>
      </c>
      <c r="N466">
        <f t="shared" si="380"/>
        <v>-1.5707963250000001</v>
      </c>
      <c r="O466">
        <f t="shared" si="381"/>
        <v>322.23169386381869</v>
      </c>
      <c r="P466">
        <f t="shared" si="382"/>
        <v>1.5676929647601023</v>
      </c>
      <c r="Q466">
        <f t="shared" si="383"/>
        <v>272.72814083728173</v>
      </c>
      <c r="R466">
        <f t="shared" si="384"/>
        <v>1.5671296635834289</v>
      </c>
      <c r="S466">
        <f t="shared" si="385"/>
        <v>9.6782506104816965E-2</v>
      </c>
      <c r="T466">
        <f t="shared" si="386"/>
        <v>-1.4738620889949499</v>
      </c>
      <c r="U466">
        <f t="shared" si="387"/>
        <v>0.12369481865076501</v>
      </c>
      <c r="V466">
        <f t="shared" si="388"/>
        <v>-1.4467838861594464</v>
      </c>
      <c r="X466">
        <f t="shared" si="405"/>
        <v>-49.97455406014253</v>
      </c>
      <c r="Y466">
        <f t="shared" si="389"/>
        <v>-173.11637339630283</v>
      </c>
      <c r="Z466">
        <f t="shared" si="406"/>
        <v>6.8836266036971665</v>
      </c>
      <c r="AC466">
        <v>1</v>
      </c>
      <c r="AD466">
        <f t="shared" si="390"/>
        <v>322.230142181556</v>
      </c>
      <c r="AE466">
        <f t="shared" si="391"/>
        <v>-0.30612431191689587</v>
      </c>
      <c r="AF466">
        <f t="shared" si="392"/>
        <v>3.8159040963959993E-2</v>
      </c>
      <c r="AG466">
        <f t="shared" si="367"/>
        <v>125.9860755222506</v>
      </c>
      <c r="AH466">
        <f t="shared" si="368"/>
        <v>-1036.9076287249777</v>
      </c>
      <c r="AJ466">
        <f t="shared" si="393"/>
        <v>22100</v>
      </c>
      <c r="AK466">
        <f t="shared" si="394"/>
        <v>227275.08964507625</v>
      </c>
      <c r="AL466">
        <v>1</v>
      </c>
      <c r="AM466">
        <f t="shared" si="395"/>
        <v>272.72630750362202</v>
      </c>
      <c r="AN466">
        <f t="shared" si="369"/>
        <v>833.63086124308484</v>
      </c>
      <c r="AO466">
        <f t="shared" si="370"/>
        <v>-77.976962814540656</v>
      </c>
      <c r="AQ466">
        <f t="shared" si="396"/>
        <v>1.5747037076871209E-3</v>
      </c>
      <c r="AR466">
        <f t="shared" si="397"/>
        <v>-3.9682533433715448</v>
      </c>
      <c r="AT466">
        <f t="shared" si="365"/>
        <v>-4114.5137737151117</v>
      </c>
      <c r="AU466">
        <f t="shared" si="366"/>
        <v>-501.57748769691318</v>
      </c>
      <c r="AV466">
        <f t="shared" si="407"/>
        <v>-3.0202867496131414</v>
      </c>
      <c r="AW466">
        <f t="shared" si="408"/>
        <v>657.37600185931399</v>
      </c>
      <c r="AX466">
        <f t="shared" si="409"/>
        <v>-4635.6877522730692</v>
      </c>
      <c r="AY466">
        <f t="shared" si="417"/>
        <v>-1.4299279226733235</v>
      </c>
      <c r="BA466">
        <f t="shared" si="398"/>
        <v>0.88528719787362997</v>
      </c>
      <c r="BB466">
        <f t="shared" si="410"/>
        <v>-1.0583163212336701</v>
      </c>
      <c r="BC466">
        <f t="shared" si="411"/>
        <v>-1.5903588269398179</v>
      </c>
      <c r="BD466">
        <f t="shared" si="399"/>
        <v>-271.1208487991488</v>
      </c>
      <c r="BF466">
        <f t="shared" si="400"/>
        <v>-52.954007443946757</v>
      </c>
      <c r="BG466">
        <f t="shared" si="401"/>
        <v>-186.50864050744832</v>
      </c>
      <c r="BH466">
        <f t="shared" si="412"/>
        <v>-6.5086405074483196</v>
      </c>
      <c r="BI466">
        <f t="shared" si="413"/>
        <v>-6.5086405074483196</v>
      </c>
      <c r="BJ466">
        <f t="shared" si="402"/>
        <v>0</v>
      </c>
      <c r="BK466">
        <f t="shared" si="414"/>
        <v>0</v>
      </c>
      <c r="BM466">
        <f t="shared" si="415"/>
        <v>-51.895691122713082</v>
      </c>
      <c r="BN466">
        <f t="shared" si="403"/>
        <v>-95.387791708299545</v>
      </c>
      <c r="BQ466" s="56">
        <f t="shared" si="416"/>
        <v>15.843644479051466</v>
      </c>
    </row>
    <row r="467" spans="1:69" x14ac:dyDescent="0.25">
      <c r="A467">
        <f t="shared" si="372"/>
        <v>1265000</v>
      </c>
      <c r="B467">
        <f t="shared" si="404"/>
        <v>1265</v>
      </c>
      <c r="C467">
        <f t="shared" si="373"/>
        <v>10.539211953529136</v>
      </c>
      <c r="D467">
        <f t="shared" si="374"/>
        <v>1.4757696204379414</v>
      </c>
      <c r="F467">
        <f t="shared" si="375"/>
        <v>1.6016973886154559E-5</v>
      </c>
      <c r="G467">
        <f t="shared" si="376"/>
        <v>1.3614080583391492E-3</v>
      </c>
      <c r="H467">
        <f t="shared" si="377"/>
        <v>-3.1402312419416609</v>
      </c>
      <c r="J467">
        <f t="shared" si="378"/>
        <v>15</v>
      </c>
      <c r="M467">
        <f t="shared" si="379"/>
        <v>1.1811098590538249E-3</v>
      </c>
      <c r="N467">
        <f t="shared" si="380"/>
        <v>-1.5707963250000001</v>
      </c>
      <c r="O467">
        <f t="shared" si="381"/>
        <v>323.51037877111958</v>
      </c>
      <c r="P467">
        <f t="shared" si="382"/>
        <v>1.5677052309349144</v>
      </c>
      <c r="Q467">
        <f t="shared" si="383"/>
        <v>273.81038084295062</v>
      </c>
      <c r="R467">
        <f t="shared" si="384"/>
        <v>1.5671441561942669</v>
      </c>
      <c r="S467">
        <f t="shared" si="385"/>
        <v>9.6403528728115459E-2</v>
      </c>
      <c r="T467">
        <f t="shared" si="386"/>
        <v>-1.4742428468120932</v>
      </c>
      <c r="U467">
        <f t="shared" si="387"/>
        <v>0.12321334326284082</v>
      </c>
      <c r="V467">
        <f t="shared" si="388"/>
        <v>-1.4472690730936517</v>
      </c>
      <c r="X467">
        <f t="shared" si="405"/>
        <v>-50.042820795265222</v>
      </c>
      <c r="Y467">
        <f t="shared" si="389"/>
        <v>-173.14328968475621</v>
      </c>
      <c r="Z467">
        <f t="shared" si="406"/>
        <v>6.856710315243788</v>
      </c>
      <c r="AC467">
        <v>1</v>
      </c>
      <c r="AD467">
        <f t="shared" si="390"/>
        <v>323.50883322195898</v>
      </c>
      <c r="AE467">
        <f t="shared" si="391"/>
        <v>-0.30855869049963136</v>
      </c>
      <c r="AF467">
        <f t="shared" si="392"/>
        <v>3.8310465729689998E-2</v>
      </c>
      <c r="AG467">
        <f t="shared" si="367"/>
        <v>125.00719639167258</v>
      </c>
      <c r="AH467">
        <f t="shared" si="368"/>
        <v>-1032.930716657329</v>
      </c>
      <c r="AJ467">
        <f t="shared" si="393"/>
        <v>22100</v>
      </c>
      <c r="AK467">
        <f t="shared" si="394"/>
        <v>228176.9749214456</v>
      </c>
      <c r="AL467">
        <v>1</v>
      </c>
      <c r="AM467">
        <f t="shared" si="395"/>
        <v>273.80855475562055</v>
      </c>
      <c r="AN467">
        <f t="shared" si="369"/>
        <v>833.62860553017038</v>
      </c>
      <c r="AO467">
        <f t="shared" si="370"/>
        <v>-77.668761713637764</v>
      </c>
      <c r="AQ467">
        <f t="shared" si="396"/>
        <v>1.5622800602602665E-3</v>
      </c>
      <c r="AR467">
        <f t="shared" si="397"/>
        <v>-3.9525685524584744</v>
      </c>
      <c r="AT467">
        <f t="shared" si="365"/>
        <v>-4082.5341712778413</v>
      </c>
      <c r="AU467">
        <f t="shared" si="366"/>
        <v>-495.71324035098962</v>
      </c>
      <c r="AV467">
        <f t="shared" si="407"/>
        <v>-3.0207612388521179</v>
      </c>
      <c r="AW467">
        <f t="shared" si="408"/>
        <v>658.78005809767512</v>
      </c>
      <c r="AX467">
        <f t="shared" si="409"/>
        <v>-4617.4821284984992</v>
      </c>
      <c r="AY467">
        <f t="shared" si="417"/>
        <v>-1.4290818528722038</v>
      </c>
      <c r="BA467">
        <f t="shared" si="398"/>
        <v>0.88171272412364055</v>
      </c>
      <c r="BB467">
        <f t="shared" si="410"/>
        <v>-1.0934578359224352</v>
      </c>
      <c r="BC467">
        <f t="shared" si="411"/>
        <v>-1.5916793859799141</v>
      </c>
      <c r="BD467">
        <f t="shared" si="399"/>
        <v>-271.19651125883058</v>
      </c>
      <c r="BF467">
        <f t="shared" si="400"/>
        <v>-53.023860531142986</v>
      </c>
      <c r="BG467">
        <f t="shared" si="401"/>
        <v>-186.56313744146746</v>
      </c>
      <c r="BH467">
        <f t="shared" si="412"/>
        <v>-6.563137441467461</v>
      </c>
      <c r="BI467">
        <f t="shared" si="413"/>
        <v>-6.563137441467461</v>
      </c>
      <c r="BJ467">
        <f t="shared" si="402"/>
        <v>0</v>
      </c>
      <c r="BK467">
        <f t="shared" si="414"/>
        <v>0</v>
      </c>
      <c r="BM467">
        <f t="shared" si="415"/>
        <v>-51.93040269522055</v>
      </c>
      <c r="BN467">
        <f t="shared" si="403"/>
        <v>-95.36662618263685</v>
      </c>
      <c r="BQ467" s="56">
        <f t="shared" si="416"/>
        <v>15.808502964362701</v>
      </c>
    </row>
    <row r="468" spans="1:69" x14ac:dyDescent="0.25">
      <c r="A468">
        <f t="shared" si="372"/>
        <v>1270000</v>
      </c>
      <c r="B468">
        <f t="shared" si="404"/>
        <v>1270</v>
      </c>
      <c r="C468">
        <f t="shared" si="373"/>
        <v>10.58049461480595</v>
      </c>
      <c r="D468">
        <f t="shared" si="374"/>
        <v>1.4761415063309189</v>
      </c>
      <c r="F468">
        <f t="shared" si="375"/>
        <v>1.5891102348887785E-5</v>
      </c>
      <c r="G468">
        <f t="shared" si="376"/>
        <v>1.3560480189881423E-3</v>
      </c>
      <c r="H468">
        <f t="shared" si="377"/>
        <v>-3.140236601981012</v>
      </c>
      <c r="J468">
        <f t="shared" si="378"/>
        <v>15</v>
      </c>
      <c r="M468">
        <f t="shared" si="379"/>
        <v>1.1764598202386523E-3</v>
      </c>
      <c r="N468">
        <f t="shared" si="380"/>
        <v>-1.5707963250000001</v>
      </c>
      <c r="O468">
        <f t="shared" si="381"/>
        <v>324.78906372671224</v>
      </c>
      <c r="P468">
        <f t="shared" si="382"/>
        <v>1.5677174005265919</v>
      </c>
      <c r="Q468">
        <f t="shared" si="383"/>
        <v>274.89262090567661</v>
      </c>
      <c r="R468">
        <f t="shared" si="384"/>
        <v>1.5671585346915753</v>
      </c>
      <c r="S468">
        <f t="shared" si="385"/>
        <v>9.6027493986960408E-2</v>
      </c>
      <c r="T468">
        <f t="shared" si="386"/>
        <v>-1.4746206342909882</v>
      </c>
      <c r="U468">
        <f t="shared" si="387"/>
        <v>0.12273557301795723</v>
      </c>
      <c r="V468">
        <f t="shared" si="388"/>
        <v>-1.4477504974330377</v>
      </c>
      <c r="X468">
        <f t="shared" si="405"/>
        <v>-50.110822345515807</v>
      </c>
      <c r="Y468">
        <f t="shared" si="389"/>
        <v>-173.16999741773375</v>
      </c>
      <c r="Z468">
        <f t="shared" si="406"/>
        <v>6.8300025822662462</v>
      </c>
      <c r="AC468">
        <v>1</v>
      </c>
      <c r="AD468">
        <f t="shared" si="390"/>
        <v>324.78752426236201</v>
      </c>
      <c r="AE468">
        <f t="shared" si="391"/>
        <v>-0.31100271018566472</v>
      </c>
      <c r="AF468">
        <f t="shared" si="392"/>
        <v>3.8461890495419995E-2</v>
      </c>
      <c r="AG468">
        <f t="shared" si="367"/>
        <v>124.03962383161141</v>
      </c>
      <c r="AH468">
        <f t="shared" si="368"/>
        <v>-1028.9837205676165</v>
      </c>
      <c r="AJ468">
        <f t="shared" si="393"/>
        <v>22100</v>
      </c>
      <c r="AK468">
        <f t="shared" si="394"/>
        <v>229078.86019781494</v>
      </c>
      <c r="AL468">
        <v>1</v>
      </c>
      <c r="AM468">
        <f t="shared" si="395"/>
        <v>274.89080200761902</v>
      </c>
      <c r="AN468">
        <f t="shared" si="369"/>
        <v>833.62637640658431</v>
      </c>
      <c r="AO468">
        <f t="shared" si="370"/>
        <v>-77.362987296330076</v>
      </c>
      <c r="AQ468">
        <f t="shared" si="396"/>
        <v>1.5500028597552763E-3</v>
      </c>
      <c r="AR468">
        <f t="shared" si="397"/>
        <v>-3.9370072637784017</v>
      </c>
      <c r="AT468">
        <f t="shared" si="365"/>
        <v>-4050.9241204127693</v>
      </c>
      <c r="AU468">
        <f t="shared" si="366"/>
        <v>-489.93982773091608</v>
      </c>
      <c r="AV468">
        <f t="shared" si="407"/>
        <v>-3.0212320497291785</v>
      </c>
      <c r="AW468">
        <f t="shared" si="408"/>
        <v>660.16732134529082</v>
      </c>
      <c r="AX468">
        <f t="shared" si="409"/>
        <v>-4599.4185094226668</v>
      </c>
      <c r="AY468">
        <f t="shared" si="417"/>
        <v>-1.4282372112986332</v>
      </c>
      <c r="BA468">
        <f t="shared" si="398"/>
        <v>0.87816558038536485</v>
      </c>
      <c r="BB468">
        <f t="shared" si="410"/>
        <v>-1.1284717805617714</v>
      </c>
      <c r="BC468">
        <f t="shared" si="411"/>
        <v>-1.5929948384305452</v>
      </c>
      <c r="BD468">
        <f t="shared" si="399"/>
        <v>-271.27188113248803</v>
      </c>
      <c r="BF468">
        <f t="shared" si="400"/>
        <v>-53.093446693791378</v>
      </c>
      <c r="BG468">
        <f t="shared" si="401"/>
        <v>-186.61750693060566</v>
      </c>
      <c r="BH468">
        <f t="shared" si="412"/>
        <v>-6.6175069306056571</v>
      </c>
      <c r="BI468">
        <f t="shared" si="413"/>
        <v>-6.6175069306056571</v>
      </c>
      <c r="BJ468">
        <f t="shared" si="402"/>
        <v>0</v>
      </c>
      <c r="BK468">
        <f t="shared" si="414"/>
        <v>0</v>
      </c>
      <c r="BM468">
        <f t="shared" si="415"/>
        <v>-51.964974913229618</v>
      </c>
      <c r="BN468">
        <f t="shared" si="403"/>
        <v>-95.345625798117638</v>
      </c>
      <c r="BQ468" s="56">
        <f t="shared" si="416"/>
        <v>15.773489019723366</v>
      </c>
    </row>
    <row r="469" spans="1:69" x14ac:dyDescent="0.25">
      <c r="A469">
        <f t="shared" si="372"/>
        <v>1275000</v>
      </c>
      <c r="B469">
        <f t="shared" si="404"/>
        <v>1275</v>
      </c>
      <c r="C469">
        <f t="shared" si="373"/>
        <v>10.621778727981384</v>
      </c>
      <c r="D469">
        <f t="shared" si="374"/>
        <v>1.4765105014255817</v>
      </c>
      <c r="F469">
        <f t="shared" si="375"/>
        <v>1.5766708777228685E-5</v>
      </c>
      <c r="G469">
        <f t="shared" si="376"/>
        <v>1.3507300210925002E-3</v>
      </c>
      <c r="H469">
        <f t="shared" si="377"/>
        <v>-3.1402419199789078</v>
      </c>
      <c r="J469">
        <f t="shared" si="378"/>
        <v>15</v>
      </c>
      <c r="M469">
        <f t="shared" si="379"/>
        <v>1.1718462523161476E-3</v>
      </c>
      <c r="N469">
        <f t="shared" si="380"/>
        <v>-1.5707963250000001</v>
      </c>
      <c r="O469">
        <f t="shared" si="381"/>
        <v>326.06774873002865</v>
      </c>
      <c r="P469">
        <f t="shared" si="382"/>
        <v>1.567729474671393</v>
      </c>
      <c r="Q469">
        <f t="shared" si="383"/>
        <v>275.97486102478842</v>
      </c>
      <c r="R469">
        <f t="shared" si="384"/>
        <v>1.5671728004178422</v>
      </c>
      <c r="S469">
        <f t="shared" si="385"/>
        <v>9.5654367900882428E-2</v>
      </c>
      <c r="T469">
        <f t="shared" si="386"/>
        <v>-1.4749954859479557</v>
      </c>
      <c r="U469">
        <f t="shared" si="387"/>
        <v>0.12226146564215754</v>
      </c>
      <c r="V469">
        <f t="shared" si="388"/>
        <v>-1.4482282025560016</v>
      </c>
      <c r="X469">
        <f t="shared" si="405"/>
        <v>-50.178560747649612</v>
      </c>
      <c r="Y469">
        <f t="shared" si="389"/>
        <v>-173.1964989968539</v>
      </c>
      <c r="Z469">
        <f t="shared" si="406"/>
        <v>6.8035010031460956</v>
      </c>
      <c r="AC469">
        <v>1</v>
      </c>
      <c r="AD469">
        <f t="shared" si="390"/>
        <v>326.06621530276499</v>
      </c>
      <c r="AE469">
        <f t="shared" si="391"/>
        <v>-0.31345637097499612</v>
      </c>
      <c r="AF469">
        <f t="shared" si="392"/>
        <v>3.861331526115E-2</v>
      </c>
      <c r="AG469">
        <f t="shared" si="367"/>
        <v>123.08318526883481</v>
      </c>
      <c r="AH469">
        <f t="shared" si="368"/>
        <v>-1025.0663097616975</v>
      </c>
      <c r="AJ469">
        <f t="shared" si="393"/>
        <v>22100</v>
      </c>
      <c r="AK469">
        <f t="shared" si="394"/>
        <v>229980.74547418428</v>
      </c>
      <c r="AL469">
        <v>1</v>
      </c>
      <c r="AM469">
        <f t="shared" si="395"/>
        <v>275.97304925961754</v>
      </c>
      <c r="AN469">
        <f t="shared" si="369"/>
        <v>833.62417345606718</v>
      </c>
      <c r="AO469">
        <f t="shared" si="370"/>
        <v>-77.059611014907134</v>
      </c>
      <c r="AQ469">
        <f t="shared" si="396"/>
        <v>1.537869813476384E-3</v>
      </c>
      <c r="AR469">
        <f t="shared" si="397"/>
        <v>-3.9215680243647792</v>
      </c>
      <c r="AT469">
        <f t="shared" si="365"/>
        <v>-4019.6779772999039</v>
      </c>
      <c r="AU469">
        <f t="shared" si="366"/>
        <v>-484.25550222182278</v>
      </c>
      <c r="AV469">
        <f t="shared" si="407"/>
        <v>-3.0216992246317593</v>
      </c>
      <c r="AW469">
        <f t="shared" si="408"/>
        <v>661.53805913362123</v>
      </c>
      <c r="AX469">
        <f t="shared" si="409"/>
        <v>-4581.4952448305594</v>
      </c>
      <c r="AY469">
        <f t="shared" si="417"/>
        <v>-1.4273939830331597</v>
      </c>
      <c r="BA469">
        <f t="shared" si="398"/>
        <v>0.87464545213178624</v>
      </c>
      <c r="BB469">
        <f t="shared" si="410"/>
        <v>-1.1633591541127655</v>
      </c>
      <c r="BC469">
        <f t="shared" si="411"/>
        <v>-1.5943052415985997</v>
      </c>
      <c r="BD469">
        <f t="shared" si="399"/>
        <v>-271.34696170356392</v>
      </c>
      <c r="BF469">
        <f t="shared" si="400"/>
        <v>-53.162768054060138</v>
      </c>
      <c r="BG469">
        <f t="shared" si="401"/>
        <v>-186.67175033890743</v>
      </c>
      <c r="BH469">
        <f t="shared" si="412"/>
        <v>-6.6717503389074295</v>
      </c>
      <c r="BI469">
        <f t="shared" si="413"/>
        <v>-6.6717503389074295</v>
      </c>
      <c r="BJ469">
        <f t="shared" si="402"/>
        <v>0</v>
      </c>
      <c r="BK469">
        <f t="shared" si="414"/>
        <v>0</v>
      </c>
      <c r="BM469">
        <f t="shared" si="415"/>
        <v>-51.999408899947369</v>
      </c>
      <c r="BN469">
        <f t="shared" si="403"/>
        <v>-95.324788635343495</v>
      </c>
      <c r="BQ469" s="56">
        <f t="shared" si="416"/>
        <v>15.73860164617237</v>
      </c>
    </row>
    <row r="470" spans="1:69" x14ac:dyDescent="0.25">
      <c r="A470">
        <f t="shared" si="372"/>
        <v>1280000</v>
      </c>
      <c r="B470">
        <f t="shared" si="404"/>
        <v>1280</v>
      </c>
      <c r="C470">
        <f t="shared" si="373"/>
        <v>10.663064276191522</v>
      </c>
      <c r="D470">
        <f t="shared" si="374"/>
        <v>1.4768766391988781</v>
      </c>
      <c r="F470">
        <f t="shared" si="375"/>
        <v>1.5643770122555824E-5</v>
      </c>
      <c r="G470">
        <f t="shared" si="376"/>
        <v>1.3454535719489209E-3</v>
      </c>
      <c r="H470">
        <f t="shared" si="377"/>
        <v>-3.1402471964280512</v>
      </c>
      <c r="J470">
        <f t="shared" si="378"/>
        <v>15</v>
      </c>
      <c r="M470">
        <f t="shared" si="379"/>
        <v>1.1672687278930379E-3</v>
      </c>
      <c r="N470">
        <f t="shared" si="380"/>
        <v>-1.5707963250000001</v>
      </c>
      <c r="O470">
        <f t="shared" si="381"/>
        <v>327.34643378050936</v>
      </c>
      <c r="P470">
        <f t="shared" si="382"/>
        <v>1.5677414544878217</v>
      </c>
      <c r="Q470">
        <f t="shared" si="383"/>
        <v>277.05710119962544</v>
      </c>
      <c r="R470">
        <f t="shared" si="384"/>
        <v>1.5671869546945802</v>
      </c>
      <c r="S470">
        <f t="shared" si="385"/>
        <v>9.5284117008123975E-2</v>
      </c>
      <c r="T470">
        <f t="shared" si="386"/>
        <v>-1.4753674357682347</v>
      </c>
      <c r="U470">
        <f t="shared" si="387"/>
        <v>0.12179097949703617</v>
      </c>
      <c r="V470">
        <f t="shared" si="388"/>
        <v>-1.448702231180075</v>
      </c>
      <c r="X470">
        <f t="shared" si="405"/>
        <v>-50.246038015223363</v>
      </c>
      <c r="Y470">
        <f t="shared" si="389"/>
        <v>-173.2227967872011</v>
      </c>
      <c r="Z470">
        <f t="shared" si="406"/>
        <v>6.777203212798895</v>
      </c>
      <c r="AC470">
        <v>1</v>
      </c>
      <c r="AD470">
        <f t="shared" si="390"/>
        <v>327.34490634316802</v>
      </c>
      <c r="AE470">
        <f t="shared" si="391"/>
        <v>-0.31591967286762551</v>
      </c>
      <c r="AF470">
        <f t="shared" si="392"/>
        <v>3.8764740026879997E-2</v>
      </c>
      <c r="AG470">
        <f t="shared" si="367"/>
        <v>122.13771139306789</v>
      </c>
      <c r="AH470">
        <f t="shared" si="368"/>
        <v>-1021.1781583121466</v>
      </c>
      <c r="AJ470">
        <f t="shared" si="393"/>
        <v>22100</v>
      </c>
      <c r="AK470">
        <f t="shared" si="394"/>
        <v>230882.63075055362</v>
      </c>
      <c r="AL470">
        <v>1</v>
      </c>
      <c r="AM470">
        <f t="shared" si="395"/>
        <v>277.05529651161601</v>
      </c>
      <c r="AN470">
        <f t="shared" si="369"/>
        <v>833.62199627047346</v>
      </c>
      <c r="AO470">
        <f t="shared" si="370"/>
        <v>-76.758604767687217</v>
      </c>
      <c r="AQ470">
        <f t="shared" si="396"/>
        <v>1.5258786734193919E-3</v>
      </c>
      <c r="AR470">
        <f t="shared" si="397"/>
        <v>-3.9062494039536433</v>
      </c>
      <c r="AT470">
        <f t="shared" ref="AT470:AT533" si="418">-AR470*AH470+AG470*AQ470</f>
        <v>-3988.7902049082668</v>
      </c>
      <c r="AU470">
        <f t="shared" ref="AU470:AU533" si="419">AQ470*AH470+AG470*AR470</f>
        <v>-478.65855630296375</v>
      </c>
      <c r="AV470">
        <f t="shared" si="407"/>
        <v>-3.0221628053019147</v>
      </c>
      <c r="AW470">
        <f t="shared" si="408"/>
        <v>662.8925336737293</v>
      </c>
      <c r="AX470">
        <f t="shared" si="409"/>
        <v>-4563.7107099080813</v>
      </c>
      <c r="AY470">
        <f t="shared" si="417"/>
        <v>-1.4265521534122525</v>
      </c>
      <c r="BA470">
        <f t="shared" si="398"/>
        <v>0.87115202962489857</v>
      </c>
      <c r="BB470">
        <f t="shared" si="410"/>
        <v>-1.1981209442648091</v>
      </c>
      <c r="BC470">
        <f t="shared" si="411"/>
        <v>-1.5956106518896622</v>
      </c>
      <c r="BD470">
        <f t="shared" si="399"/>
        <v>-271.42175620386024</v>
      </c>
      <c r="BF470">
        <f t="shared" si="400"/>
        <v>-53.23182670922678</v>
      </c>
      <c r="BG470">
        <f t="shared" si="401"/>
        <v>-186.72586900831664</v>
      </c>
      <c r="BH470">
        <f t="shared" si="412"/>
        <v>-6.7258690083166357</v>
      </c>
      <c r="BI470">
        <f t="shared" si="413"/>
        <v>-6.7258690083166357</v>
      </c>
      <c r="BJ470">
        <f t="shared" si="402"/>
        <v>0</v>
      </c>
      <c r="BK470">
        <f t="shared" si="414"/>
        <v>0</v>
      </c>
      <c r="BM470">
        <f t="shared" si="415"/>
        <v>-52.033705764961972</v>
      </c>
      <c r="BN470">
        <f t="shared" si="403"/>
        <v>-95.304112804456395</v>
      </c>
      <c r="BQ470" s="56">
        <f t="shared" si="416"/>
        <v>15.703839856020327</v>
      </c>
    </row>
    <row r="471" spans="1:69" x14ac:dyDescent="0.25">
      <c r="A471">
        <f t="shared" si="372"/>
        <v>1285000</v>
      </c>
      <c r="B471">
        <f t="shared" si="404"/>
        <v>1285</v>
      </c>
      <c r="C471">
        <f t="shared" si="373"/>
        <v>10.704351242832029</v>
      </c>
      <c r="D471">
        <f t="shared" si="374"/>
        <v>1.4772399526143625</v>
      </c>
      <c r="F471">
        <f t="shared" si="375"/>
        <v>1.5522263783803653E-5</v>
      </c>
      <c r="G471">
        <f t="shared" si="376"/>
        <v>1.3402181865232164E-3</v>
      </c>
      <c r="H471">
        <f t="shared" si="377"/>
        <v>-3.1402524318134768</v>
      </c>
      <c r="J471">
        <f t="shared" si="378"/>
        <v>15</v>
      </c>
      <c r="M471">
        <f t="shared" si="379"/>
        <v>1.1627268262280842E-3</v>
      </c>
      <c r="N471">
        <f t="shared" si="380"/>
        <v>-1.5707963250000001</v>
      </c>
      <c r="O471">
        <f t="shared" si="381"/>
        <v>328.62511887760394</v>
      </c>
      <c r="P471">
        <f t="shared" si="382"/>
        <v>1.5677533410769735</v>
      </c>
      <c r="Q471">
        <f t="shared" si="383"/>
        <v>278.13934142953707</v>
      </c>
      <c r="R471">
        <f t="shared" si="384"/>
        <v>1.5672009988227342</v>
      </c>
      <c r="S471">
        <f t="shared" si="385"/>
        <v>9.4916708355827245E-2</v>
      </c>
      <c r="T471">
        <f t="shared" si="386"/>
        <v>-1.4757365172161254</v>
      </c>
      <c r="U471">
        <f t="shared" si="387"/>
        <v>0.12132407356793889</v>
      </c>
      <c r="V471">
        <f t="shared" si="388"/>
        <v>-1.4491726253743982</v>
      </c>
      <c r="X471">
        <f t="shared" si="405"/>
        <v>-50.31325613894343</v>
      </c>
      <c r="Y471">
        <f t="shared" si="389"/>
        <v>-173.24889311801368</v>
      </c>
      <c r="Z471">
        <f t="shared" si="406"/>
        <v>6.7511068819863169</v>
      </c>
      <c r="AC471">
        <v>1</v>
      </c>
      <c r="AD471">
        <f t="shared" si="390"/>
        <v>328.623597383571</v>
      </c>
      <c r="AE471">
        <f t="shared" si="391"/>
        <v>-0.31839261586355283</v>
      </c>
      <c r="AF471">
        <f t="shared" si="392"/>
        <v>3.8916164792609995E-2</v>
      </c>
      <c r="AG471">
        <f t="shared" si="367"/>
        <v>121.20303608362885</v>
      </c>
      <c r="AH471">
        <f t="shared" si="368"/>
        <v>-1017.3189449744843</v>
      </c>
      <c r="AJ471">
        <f t="shared" si="393"/>
        <v>22100</v>
      </c>
      <c r="AK471">
        <f t="shared" si="394"/>
        <v>231784.51602692297</v>
      </c>
      <c r="AL471">
        <v>1</v>
      </c>
      <c r="AM471">
        <f t="shared" si="395"/>
        <v>278.13754376361453</v>
      </c>
      <c r="AN471">
        <f t="shared" si="369"/>
        <v>833.6198444495825</v>
      </c>
      <c r="AO471">
        <f t="shared" si="370"/>
        <v>-76.459940890340363</v>
      </c>
      <c r="AQ471">
        <f t="shared" si="396"/>
        <v>1.5140272352303238E-3</v>
      </c>
      <c r="AR471">
        <f t="shared" si="397"/>
        <v>-3.8910499945419317</v>
      </c>
      <c r="AT471">
        <f t="shared" si="418"/>
        <v>-3958.255370592748</v>
      </c>
      <c r="AU471">
        <f t="shared" si="419"/>
        <v>-473.14732148127672</v>
      </c>
      <c r="AV471">
        <f t="shared" si="407"/>
        <v>-3.0226228328484894</v>
      </c>
      <c r="AW471">
        <f t="shared" si="408"/>
        <v>664.23100198303064</v>
      </c>
      <c r="AX471">
        <f t="shared" si="409"/>
        <v>-4546.0633047564352</v>
      </c>
      <c r="AY471">
        <f t="shared" si="417"/>
        <v>-1.425711708022978</v>
      </c>
      <c r="BA471">
        <f t="shared" si="398"/>
        <v>0.86768500782547087</v>
      </c>
      <c r="BB471">
        <f t="shared" si="410"/>
        <v>-1.2327581276014046</v>
      </c>
      <c r="BC471">
        <f t="shared" si="411"/>
        <v>-1.5969111248255115</v>
      </c>
      <c r="BD471">
        <f t="shared" si="399"/>
        <v>-271.49626781454049</v>
      </c>
      <c r="BF471">
        <f t="shared" si="400"/>
        <v>-53.300624732064541</v>
      </c>
      <c r="BG471">
        <f t="shared" si="401"/>
        <v>-186.77986425911473</v>
      </c>
      <c r="BH471">
        <f t="shared" si="412"/>
        <v>-6.7798642591147313</v>
      </c>
      <c r="BI471">
        <f t="shared" si="413"/>
        <v>-6.7798642591147313</v>
      </c>
      <c r="BJ471">
        <f t="shared" si="402"/>
        <v>0</v>
      </c>
      <c r="BK471">
        <f t="shared" si="414"/>
        <v>0</v>
      </c>
      <c r="BM471">
        <f t="shared" si="415"/>
        <v>-52.067866604463134</v>
      </c>
      <c r="BN471">
        <f t="shared" si="403"/>
        <v>-95.283596444574229</v>
      </c>
      <c r="BQ471" s="56">
        <f t="shared" si="416"/>
        <v>15.669202672683733</v>
      </c>
    </row>
    <row r="472" spans="1:69" x14ac:dyDescent="0.25">
      <c r="A472">
        <f t="shared" si="372"/>
        <v>1290000</v>
      </c>
      <c r="B472">
        <f t="shared" si="404"/>
        <v>1290</v>
      </c>
      <c r="C472">
        <f t="shared" si="373"/>
        <v>10.7456396115532</v>
      </c>
      <c r="D472">
        <f t="shared" si="374"/>
        <v>1.4776004741319686</v>
      </c>
      <c r="F472">
        <f t="shared" si="375"/>
        <v>1.5402167597074103E-5</v>
      </c>
      <c r="G472">
        <f t="shared" si="376"/>
        <v>1.3350233873016739E-3</v>
      </c>
      <c r="H472">
        <f t="shared" si="377"/>
        <v>-3.1402576266126987</v>
      </c>
      <c r="J472">
        <f t="shared" si="378"/>
        <v>15</v>
      </c>
      <c r="M472">
        <f t="shared" si="379"/>
        <v>1.1582201331031693E-3</v>
      </c>
      <c r="N472">
        <f t="shared" si="380"/>
        <v>-1.5707963250000001</v>
      </c>
      <c r="O472">
        <f t="shared" si="381"/>
        <v>329.90380402077045</v>
      </c>
      <c r="P472">
        <f t="shared" si="382"/>
        <v>1.5677651355228732</v>
      </c>
      <c r="Q472">
        <f t="shared" si="383"/>
        <v>279.22158171388298</v>
      </c>
      <c r="R472">
        <f t="shared" si="384"/>
        <v>1.5672149340830794</v>
      </c>
      <c r="S472">
        <f t="shared" si="385"/>
        <v>9.4552109490442487E-2</v>
      </c>
      <c r="T472">
        <f t="shared" si="386"/>
        <v>-1.476102763244902</v>
      </c>
      <c r="U472">
        <f t="shared" si="387"/>
        <v>0.12086070745242203</v>
      </c>
      <c r="V472">
        <f t="shared" si="388"/>
        <v>-1.449639426571911</v>
      </c>
      <c r="X472">
        <f t="shared" si="405"/>
        <v>-50.380217087007793</v>
      </c>
      <c r="Y472">
        <f t="shared" si="389"/>
        <v>-173.27479028335716</v>
      </c>
      <c r="Z472">
        <f t="shared" si="406"/>
        <v>6.7252097166428371</v>
      </c>
      <c r="AC472">
        <v>1</v>
      </c>
      <c r="AD472">
        <f t="shared" si="390"/>
        <v>329.90228842397397</v>
      </c>
      <c r="AE472">
        <f t="shared" si="391"/>
        <v>-0.32087519996277808</v>
      </c>
      <c r="AF472">
        <f t="shared" si="392"/>
        <v>3.9067589558339999E-2</v>
      </c>
      <c r="AG472">
        <f t="shared" si="367"/>
        <v>120.27899633797166</v>
      </c>
      <c r="AH472">
        <f t="shared" si="368"/>
        <v>-1013.488353105123</v>
      </c>
      <c r="AJ472">
        <f t="shared" si="393"/>
        <v>22100</v>
      </c>
      <c r="AK472">
        <f t="shared" si="394"/>
        <v>232686.40130329231</v>
      </c>
      <c r="AL472">
        <v>1</v>
      </c>
      <c r="AM472">
        <f t="shared" si="395"/>
        <v>279.21979101561305</v>
      </c>
      <c r="AN472">
        <f t="shared" si="369"/>
        <v>833.6177176009146</v>
      </c>
      <c r="AO472">
        <f t="shared" si="370"/>
        <v>-76.163592147413141</v>
      </c>
      <c r="AQ472">
        <f t="shared" si="396"/>
        <v>1.5023133371922755E-3</v>
      </c>
      <c r="AR472">
        <f t="shared" si="397"/>
        <v>-3.8759684099560707</v>
      </c>
      <c r="AT472">
        <f t="shared" si="418"/>
        <v>-3928.0681437534777</v>
      </c>
      <c r="AU472">
        <f t="shared" si="419"/>
        <v>-467.72016725715895</v>
      </c>
      <c r="AV472">
        <f t="shared" si="407"/>
        <v>-3.0230793477590159</v>
      </c>
      <c r="AW472">
        <f t="shared" si="408"/>
        <v>665.55371600852823</v>
      </c>
      <c r="AX472">
        <f t="shared" si="409"/>
        <v>-4528.5514539175801</v>
      </c>
      <c r="AY472">
        <f t="shared" si="417"/>
        <v>-1.4248726326978083</v>
      </c>
      <c r="BA472">
        <f t="shared" si="398"/>
        <v>0.86424408630482952</v>
      </c>
      <c r="BB472">
        <f t="shared" si="410"/>
        <v>-1.2672716697629969</v>
      </c>
      <c r="BC472">
        <f t="shared" si="411"/>
        <v>-1.5982067150612076</v>
      </c>
      <c r="BD472">
        <f t="shared" si="399"/>
        <v>-271.57049966710906</v>
      </c>
      <c r="BF472">
        <f t="shared" si="400"/>
        <v>-53.369164171221314</v>
      </c>
      <c r="BG472">
        <f t="shared" si="401"/>
        <v>-186.83373739034838</v>
      </c>
      <c r="BH472">
        <f t="shared" si="412"/>
        <v>-6.8337373903483751</v>
      </c>
      <c r="BI472">
        <f t="shared" si="413"/>
        <v>-6.8337373903483751</v>
      </c>
      <c r="BJ472">
        <f t="shared" si="402"/>
        <v>0</v>
      </c>
      <c r="BK472">
        <f t="shared" si="414"/>
        <v>0</v>
      </c>
      <c r="BM472">
        <f t="shared" si="415"/>
        <v>-52.101892501458309</v>
      </c>
      <c r="BN472">
        <f t="shared" si="403"/>
        <v>-95.263237723239328</v>
      </c>
      <c r="BQ472" s="56">
        <f t="shared" si="416"/>
        <v>15.634689130522139</v>
      </c>
    </row>
    <row r="473" spans="1:69" x14ac:dyDescent="0.25">
      <c r="A473">
        <f>A472+5000</f>
        <v>1295000</v>
      </c>
      <c r="B473">
        <f t="shared" si="404"/>
        <v>1295</v>
      </c>
      <c r="C473">
        <f t="shared" si="373"/>
        <v>10.786929366255102</v>
      </c>
      <c r="D473">
        <f t="shared" si="374"/>
        <v>1.4779582357175645</v>
      </c>
      <c r="F473">
        <f t="shared" si="375"/>
        <v>1.5283459825528405E-5</v>
      </c>
      <c r="G473">
        <f t="shared" si="376"/>
        <v>1.3298687041458585E-3</v>
      </c>
      <c r="H473">
        <f t="shared" si="377"/>
        <v>-3.1402627812958546</v>
      </c>
      <c r="J473">
        <f t="shared" si="378"/>
        <v>15</v>
      </c>
      <c r="M473">
        <f t="shared" si="379"/>
        <v>1.1537482406973655E-3</v>
      </c>
      <c r="N473">
        <f t="shared" si="380"/>
        <v>-1.5707963250000001</v>
      </c>
      <c r="O473">
        <f t="shared" si="381"/>
        <v>331.18248920947508</v>
      </c>
      <c r="P473">
        <f t="shared" si="382"/>
        <v>1.5677768388928044</v>
      </c>
      <c r="Q473">
        <f t="shared" si="383"/>
        <v>280.30382205203256</v>
      </c>
      <c r="R473">
        <f t="shared" si="384"/>
        <v>1.5672287617366116</v>
      </c>
      <c r="S473">
        <f t="shared" si="385"/>
        <v>9.4190288448351769E-2</v>
      </c>
      <c r="T473">
        <f t="shared" si="386"/>
        <v>-1.4764662063065015</v>
      </c>
      <c r="U473">
        <f t="shared" si="387"/>
        <v>0.12040084134896512</v>
      </c>
      <c r="V473">
        <f t="shared" si="388"/>
        <v>-1.4501026755812749</v>
      </c>
      <c r="X473">
        <f t="shared" si="405"/>
        <v>-50.446922805441446</v>
      </c>
      <c r="Y473">
        <f t="shared" si="389"/>
        <v>-173.30049054278155</v>
      </c>
      <c r="Z473">
        <f t="shared" si="406"/>
        <v>6.6995094572184541</v>
      </c>
      <c r="AC473">
        <v>1</v>
      </c>
      <c r="AD473">
        <f t="shared" si="390"/>
        <v>331.180979464377</v>
      </c>
      <c r="AE473">
        <f t="shared" si="391"/>
        <v>-0.32336742516530131</v>
      </c>
      <c r="AF473">
        <f t="shared" si="392"/>
        <v>3.9219014324069996E-2</v>
      </c>
      <c r="AG473">
        <f t="shared" si="367"/>
        <v>119.36543220207929</v>
      </c>
      <c r="AH473">
        <f t="shared" si="368"/>
        <v>-1009.6860705809881</v>
      </c>
      <c r="AJ473">
        <f t="shared" si="393"/>
        <v>22100</v>
      </c>
      <c r="AK473">
        <f t="shared" si="394"/>
        <v>233588.28657966171</v>
      </c>
      <c r="AL473">
        <v>1</v>
      </c>
      <c r="AM473">
        <f t="shared" si="395"/>
        <v>280.30203826761152</v>
      </c>
      <c r="AN473">
        <f t="shared" si="369"/>
        <v>833.61561533955251</v>
      </c>
      <c r="AO473">
        <f t="shared" si="370"/>
        <v>-75.869531724050063</v>
      </c>
      <c r="AQ473">
        <f t="shared" si="396"/>
        <v>1.4907348592395971E-3</v>
      </c>
      <c r="AR473">
        <f t="shared" si="397"/>
        <v>-3.8610032854305563</v>
      </c>
      <c r="AT473">
        <f t="shared" si="418"/>
        <v>-3898.2232935558918</v>
      </c>
      <c r="AU473">
        <f t="shared" si="419"/>
        <v>-462.37550012137018</v>
      </c>
      <c r="AV473">
        <f t="shared" si="407"/>
        <v>-3.0235323899113489</v>
      </c>
      <c r="AW473">
        <f t="shared" si="408"/>
        <v>666.8609227466419</v>
      </c>
      <c r="AX473">
        <f t="shared" si="409"/>
        <v>-4511.1736059104678</v>
      </c>
      <c r="AY473">
        <f t="shared" si="417"/>
        <v>-1.4240349135095574</v>
      </c>
      <c r="BA473">
        <f t="shared" si="398"/>
        <v>0.86082896915860985</v>
      </c>
      <c r="BB473">
        <f t="shared" si="410"/>
        <v>-1.301662525606859</v>
      </c>
      <c r="BC473">
        <f t="shared" si="411"/>
        <v>-1.5994974764017915</v>
      </c>
      <c r="BD473">
        <f t="shared" si="399"/>
        <v>-271.64445484436771</v>
      </c>
      <c r="BF473">
        <f t="shared" si="400"/>
        <v>-53.437447051591221</v>
      </c>
      <c r="BG473">
        <f t="shared" si="401"/>
        <v>-186.88748968024694</v>
      </c>
      <c r="BH473">
        <f t="shared" si="412"/>
        <v>-6.8874896802469436</v>
      </c>
      <c r="BI473">
        <f t="shared" si="413"/>
        <v>-6.8874896802469436</v>
      </c>
      <c r="BJ473">
        <f t="shared" si="402"/>
        <v>0</v>
      </c>
      <c r="BK473">
        <f t="shared" si="414"/>
        <v>0</v>
      </c>
      <c r="BM473">
        <f t="shared" si="415"/>
        <v>-52.13578452598437</v>
      </c>
      <c r="BN473">
        <f t="shared" si="403"/>
        <v>-95.243034835879257</v>
      </c>
      <c r="BQ473" s="56">
        <f t="shared" si="416"/>
        <v>15.600298274678277</v>
      </c>
    </row>
    <row r="474" spans="1:69" x14ac:dyDescent="0.25">
      <c r="A474">
        <f t="shared" ref="A474:A537" si="420">A473+5000</f>
        <v>1300000</v>
      </c>
      <c r="B474">
        <f t="shared" si="404"/>
        <v>1300</v>
      </c>
      <c r="C474">
        <f t="shared" si="373"/>
        <v>10.828220491082824</v>
      </c>
      <c r="D474">
        <f t="shared" si="374"/>
        <v>1.4783132688522875</v>
      </c>
      <c r="F474">
        <f t="shared" si="375"/>
        <v>1.5166119149550562E-5</v>
      </c>
      <c r="G474">
        <f t="shared" si="376"/>
        <v>1.3247536741507692E-3</v>
      </c>
      <c r="H474">
        <f t="shared" si="377"/>
        <v>-3.1402678963258492</v>
      </c>
      <c r="J474">
        <f t="shared" si="378"/>
        <v>15</v>
      </c>
      <c r="M474">
        <f t="shared" si="379"/>
        <v>1.1493107474639141E-3</v>
      </c>
      <c r="N474">
        <f t="shared" si="380"/>
        <v>-1.5707963250000001</v>
      </c>
      <c r="O474">
        <f t="shared" si="381"/>
        <v>332.46117444319248</v>
      </c>
      <c r="P474">
        <f t="shared" si="382"/>
        <v>1.5677884522376304</v>
      </c>
      <c r="Q474">
        <f t="shared" si="383"/>
        <v>281.38606244336523</v>
      </c>
      <c r="R474">
        <f t="shared" si="384"/>
        <v>1.5672424830249267</v>
      </c>
      <c r="S474">
        <f t="shared" si="385"/>
        <v>9.3831213746701961E-2</v>
      </c>
      <c r="T474">
        <f t="shared" si="386"/>
        <v>-1.4768268783609915</v>
      </c>
      <c r="U474">
        <f t="shared" si="387"/>
        <v>0.11994443604593022</v>
      </c>
      <c r="V474">
        <f t="shared" si="388"/>
        <v>-1.4505624125985253</v>
      </c>
      <c r="X474">
        <f t="shared" si="405"/>
        <v>-50.513375218425807</v>
      </c>
      <c r="Y474">
        <f t="shared" si="389"/>
        <v>-173.32599612196501</v>
      </c>
      <c r="Z474">
        <f t="shared" si="406"/>
        <v>6.6740038780349948</v>
      </c>
      <c r="AC474">
        <v>1</v>
      </c>
      <c r="AD474">
        <f t="shared" si="390"/>
        <v>332.45967050478004</v>
      </c>
      <c r="AE474">
        <f t="shared" si="391"/>
        <v>-0.32586929147112248</v>
      </c>
      <c r="AF474">
        <f t="shared" si="392"/>
        <v>3.9370439089799994E-2</v>
      </c>
      <c r="AG474">
        <f t="shared" si="367"/>
        <v>118.46218670265371</v>
      </c>
      <c r="AH474">
        <f t="shared" si="368"/>
        <v>-1005.9117897207781</v>
      </c>
      <c r="AJ474">
        <f t="shared" si="393"/>
        <v>22100</v>
      </c>
      <c r="AK474">
        <f t="shared" si="394"/>
        <v>234490.17185603105</v>
      </c>
      <c r="AL474">
        <v>1</v>
      </c>
      <c r="AM474">
        <f t="shared" si="395"/>
        <v>281.38428551961005</v>
      </c>
      <c r="AN474">
        <f t="shared" si="369"/>
        <v>833.61353728796541</v>
      </c>
      <c r="AO474">
        <f t="shared" si="370"/>
        <v>-75.577733217905504</v>
      </c>
      <c r="AQ474">
        <f t="shared" si="396"/>
        <v>1.4792897219985618E-3</v>
      </c>
      <c r="AR474">
        <f t="shared" si="397"/>
        <v>-3.8461532771962608</v>
      </c>
      <c r="AT474">
        <f t="shared" si="418"/>
        <v>-3868.7156867096915</v>
      </c>
      <c r="AU474">
        <f t="shared" si="419"/>
        <v>-457.111762582018</v>
      </c>
      <c r="AV474">
        <f t="shared" si="407"/>
        <v>-3.0239819985850378</v>
      </c>
      <c r="AW474">
        <f t="shared" si="408"/>
        <v>668.15286435974099</v>
      </c>
      <c r="AX474">
        <f t="shared" si="409"/>
        <v>-4493.9282327777655</v>
      </c>
      <c r="AY474">
        <f t="shared" si="417"/>
        <v>-1.4231985367664426</v>
      </c>
      <c r="BA474">
        <f t="shared" si="398"/>
        <v>0.85743936492242345</v>
      </c>
      <c r="BB474">
        <f t="shared" si="410"/>
        <v>-1.3359316393641194</v>
      </c>
      <c r="BC474">
        <f t="shared" si="411"/>
        <v>-1.6007834618185952</v>
      </c>
      <c r="BD474">
        <f t="shared" si="399"/>
        <v>-271.71813638135012</v>
      </c>
      <c r="BF474">
        <f t="shared" si="400"/>
        <v>-53.505475374679264</v>
      </c>
      <c r="BG474">
        <f t="shared" si="401"/>
        <v>-186.9411223866303</v>
      </c>
      <c r="BH474">
        <f t="shared" si="412"/>
        <v>-6.9411223866302976</v>
      </c>
      <c r="BI474">
        <f t="shared" si="413"/>
        <v>-6.9411223866302976</v>
      </c>
      <c r="BJ474">
        <f t="shared" si="402"/>
        <v>0</v>
      </c>
      <c r="BK474">
        <f t="shared" si="414"/>
        <v>0</v>
      </c>
      <c r="BM474">
        <f t="shared" si="415"/>
        <v>-52.169543735315152</v>
      </c>
      <c r="BN474">
        <f t="shared" si="403"/>
        <v>-95.222986005280177</v>
      </c>
      <c r="BQ474" s="56">
        <f t="shared" si="416"/>
        <v>15.566029160921017</v>
      </c>
    </row>
    <row r="475" spans="1:69" x14ac:dyDescent="0.25">
      <c r="A475">
        <f t="shared" si="420"/>
        <v>1305000</v>
      </c>
      <c r="B475">
        <f t="shared" si="404"/>
        <v>1305</v>
      </c>
      <c r="C475">
        <f t="shared" si="373"/>
        <v>10.86951297042186</v>
      </c>
      <c r="D475">
        <f t="shared" si="374"/>
        <v>1.4786656045416733</v>
      </c>
      <c r="F475">
        <f t="shared" si="375"/>
        <v>1.5050124657174094E-5</v>
      </c>
      <c r="G475">
        <f t="shared" si="376"/>
        <v>1.3196778415062557E-3</v>
      </c>
      <c r="H475">
        <f t="shared" si="377"/>
        <v>-3.1402729721584941</v>
      </c>
      <c r="J475">
        <f t="shared" si="378"/>
        <v>15</v>
      </c>
      <c r="M475">
        <f t="shared" si="379"/>
        <v>1.1449072580100293E-3</v>
      </c>
      <c r="N475">
        <f t="shared" si="380"/>
        <v>-1.5707963250000001</v>
      </c>
      <c r="O475">
        <f t="shared" si="381"/>
        <v>333.73985972140525</v>
      </c>
      <c r="P475">
        <f t="shared" si="382"/>
        <v>1.5677999765921107</v>
      </c>
      <c r="Q475">
        <f t="shared" si="383"/>
        <v>282.46830288726949</v>
      </c>
      <c r="R475">
        <f t="shared" si="384"/>
        <v>1.5672560991705931</v>
      </c>
      <c r="S475">
        <f t="shared" si="385"/>
        <v>9.3474854374441765E-2</v>
      </c>
      <c r="T475">
        <f t="shared" si="386"/>
        <v>-1.4771848108858272</v>
      </c>
      <c r="U475">
        <f t="shared" si="387"/>
        <v>0.11949145291076153</v>
      </c>
      <c r="V475">
        <f t="shared" si="388"/>
        <v>-1.451018677218469</v>
      </c>
      <c r="X475">
        <f t="shared" si="405"/>
        <v>-50.579576228621981</v>
      </c>
      <c r="Y475">
        <f t="shared" si="389"/>
        <v>-173.3513092133426</v>
      </c>
      <c r="Z475">
        <f t="shared" si="406"/>
        <v>6.6486907866573972</v>
      </c>
      <c r="AC475">
        <v>1</v>
      </c>
      <c r="AD475">
        <f t="shared" si="390"/>
        <v>333.73836154518301</v>
      </c>
      <c r="AE475">
        <f t="shared" si="391"/>
        <v>-0.32838079888024163</v>
      </c>
      <c r="AF475">
        <f t="shared" si="392"/>
        <v>3.9521863855529998E-2</v>
      </c>
      <c r="AG475">
        <f t="shared" si="367"/>
        <v>117.56910578104932</v>
      </c>
      <c r="AH475">
        <f t="shared" si="368"/>
        <v>-1002.1652072078236</v>
      </c>
      <c r="AJ475">
        <f t="shared" si="393"/>
        <v>22100</v>
      </c>
      <c r="AK475">
        <f t="shared" si="394"/>
        <v>235392.0571324004</v>
      </c>
      <c r="AL475">
        <v>1</v>
      </c>
      <c r="AM475">
        <f t="shared" si="395"/>
        <v>282.46653277160851</v>
      </c>
      <c r="AN475">
        <f t="shared" si="369"/>
        <v>833.61148307584256</v>
      </c>
      <c r="AO475">
        <f t="shared" si="370"/>
        <v>-75.288170631241954</v>
      </c>
      <c r="AQ475">
        <f t="shared" si="396"/>
        <v>1.4679758858537183E-3</v>
      </c>
      <c r="AR475">
        <f t="shared" si="397"/>
        <v>-3.8314170620782049</v>
      </c>
      <c r="AT475">
        <f t="shared" si="418"/>
        <v>-3839.5402853049868</v>
      </c>
      <c r="AU475">
        <f t="shared" si="419"/>
        <v>-451.92743222061233</v>
      </c>
      <c r="AV475">
        <f t="shared" si="407"/>
        <v>-3.0244282124724475</v>
      </c>
      <c r="AW475">
        <f t="shared" si="408"/>
        <v>669.42977828948517</v>
      </c>
      <c r="AX475">
        <f t="shared" si="409"/>
        <v>-4476.8138296428224</v>
      </c>
      <c r="AY475">
        <f t="shared" si="417"/>
        <v>-1.4223634890072674</v>
      </c>
      <c r="BA475">
        <f t="shared" si="398"/>
        <v>0.85407498648939117</v>
      </c>
      <c r="BB475">
        <f t="shared" si="410"/>
        <v>-1.3700799447940035</v>
      </c>
      <c r="BC475">
        <f t="shared" si="411"/>
        <v>-1.6020647234651801</v>
      </c>
      <c r="BD475">
        <f t="shared" si="399"/>
        <v>-271.79154726623528</v>
      </c>
      <c r="BF475">
        <f t="shared" si="400"/>
        <v>-53.573251118958794</v>
      </c>
      <c r="BG475">
        <f t="shared" si="401"/>
        <v>-186.99463674730717</v>
      </c>
      <c r="BH475">
        <f t="shared" si="412"/>
        <v>-6.9946367473071689</v>
      </c>
      <c r="BI475">
        <f t="shared" si="413"/>
        <v>-6.9946367473071689</v>
      </c>
      <c r="BJ475">
        <f t="shared" si="402"/>
        <v>0</v>
      </c>
      <c r="BK475">
        <f t="shared" si="414"/>
        <v>0</v>
      </c>
      <c r="BM475">
        <f t="shared" si="415"/>
        <v>-52.203171174164787</v>
      </c>
      <c r="BN475">
        <f t="shared" si="403"/>
        <v>-95.203089481071871</v>
      </c>
      <c r="BQ475" s="56">
        <f t="shared" si="416"/>
        <v>15.531880855491133</v>
      </c>
    </row>
    <row r="476" spans="1:69" x14ac:dyDescent="0.25">
      <c r="A476">
        <f t="shared" si="420"/>
        <v>1310000</v>
      </c>
      <c r="B476">
        <f t="shared" si="404"/>
        <v>1310</v>
      </c>
      <c r="C476">
        <f t="shared" si="373"/>
        <v>10.91080678889357</v>
      </c>
      <c r="D476">
        <f t="shared" si="374"/>
        <v>1.4790152733245758</v>
      </c>
      <c r="F476">
        <f t="shared" si="375"/>
        <v>1.4935455834764131E-5</v>
      </c>
      <c r="G476">
        <f t="shared" si="376"/>
        <v>1.3146407573616059E-3</v>
      </c>
      <c r="H476">
        <f t="shared" si="377"/>
        <v>-3.1402780092426386</v>
      </c>
      <c r="J476">
        <f t="shared" si="378"/>
        <v>15</v>
      </c>
      <c r="M476">
        <f t="shared" si="379"/>
        <v>1.1405373829794568E-3</v>
      </c>
      <c r="N476">
        <f t="shared" si="380"/>
        <v>-1.5707963250000001</v>
      </c>
      <c r="O476">
        <f t="shared" si="381"/>
        <v>335.01854504360392</v>
      </c>
      <c r="P476">
        <f t="shared" si="382"/>
        <v>1.5678114129752061</v>
      </c>
      <c r="Q476">
        <f t="shared" si="383"/>
        <v>283.55054338314341</v>
      </c>
      <c r="R476">
        <f t="shared" si="384"/>
        <v>1.5672696113775137</v>
      </c>
      <c r="S476">
        <f t="shared" si="385"/>
        <v>9.3121179783557759E-2</v>
      </c>
      <c r="T476">
        <f t="shared" si="386"/>
        <v>-1.477540034884899</v>
      </c>
      <c r="U476">
        <f t="shared" si="387"/>
        <v>0.11904185387941944</v>
      </c>
      <c r="V476">
        <f t="shared" si="388"/>
        <v>-1.451471508445827</v>
      </c>
      <c r="X476">
        <f t="shared" si="405"/>
        <v>-50.645527717488207</v>
      </c>
      <c r="Y476">
        <f t="shared" si="389"/>
        <v>-173.37643197672122</v>
      </c>
      <c r="Z476">
        <f t="shared" si="406"/>
        <v>6.6235680232787786</v>
      </c>
      <c r="AC476">
        <v>1</v>
      </c>
      <c r="AD476">
        <f t="shared" si="390"/>
        <v>335.01705258558599</v>
      </c>
      <c r="AE476">
        <f t="shared" si="391"/>
        <v>-0.33090194739265877</v>
      </c>
      <c r="AF476">
        <f t="shared" si="392"/>
        <v>3.9673288621259996E-2</v>
      </c>
      <c r="AG476">
        <f t="shared" si="367"/>
        <v>116.6860382289</v>
      </c>
      <c r="AH476">
        <f t="shared" si="368"/>
        <v>-998.44602401451243</v>
      </c>
      <c r="AJ476">
        <f t="shared" si="393"/>
        <v>22100</v>
      </c>
      <c r="AK476">
        <f t="shared" si="394"/>
        <v>236293.94240876974</v>
      </c>
      <c r="AL476">
        <v>1</v>
      </c>
      <c r="AM476">
        <f t="shared" si="395"/>
        <v>283.54878002360704</v>
      </c>
      <c r="AN476">
        <f t="shared" si="369"/>
        <v>833.60945233992493</v>
      </c>
      <c r="AO476">
        <f t="shared" si="370"/>
        <v>-75.000818363209063</v>
      </c>
      <c r="AQ476">
        <f t="shared" si="396"/>
        <v>1.4567913500391366E-3</v>
      </c>
      <c r="AR476">
        <f t="shared" si="397"/>
        <v>-3.816793337102538</v>
      </c>
      <c r="AT476">
        <f t="shared" si="418"/>
        <v>-3810.6921447039495</v>
      </c>
      <c r="AU476">
        <f t="shared" si="419"/>
        <v>-446.82102077622284</v>
      </c>
      <c r="AV476">
        <f t="shared" si="407"/>
        <v>-3.0248710696896355</v>
      </c>
      <c r="AW476">
        <f t="shared" si="408"/>
        <v>670.69189736706801</v>
      </c>
      <c r="AX476">
        <f t="shared" si="409"/>
        <v>-4459.8289142765616</v>
      </c>
      <c r="AY476">
        <f t="shared" si="417"/>
        <v>-1.4215297569967207</v>
      </c>
      <c r="BA476">
        <f t="shared" si="398"/>
        <v>0.85073555102949894</v>
      </c>
      <c r="BB476">
        <f t="shared" si="410"/>
        <v>-1.4041083653352959</v>
      </c>
      <c r="BC476">
        <f t="shared" si="411"/>
        <v>-1.6033413126929148</v>
      </c>
      <c r="BD476">
        <f t="shared" si="399"/>
        <v>-271.86469044123993</v>
      </c>
      <c r="BF476">
        <f t="shared" si="400"/>
        <v>-53.640776240222301</v>
      </c>
      <c r="BG476">
        <f t="shared" si="401"/>
        <v>-187.048033980464</v>
      </c>
      <c r="BH476">
        <f t="shared" si="412"/>
        <v>-7.0480339804639982</v>
      </c>
      <c r="BI476">
        <f t="shared" si="413"/>
        <v>-7.0480339804639982</v>
      </c>
      <c r="BJ476">
        <f t="shared" si="402"/>
        <v>0</v>
      </c>
      <c r="BK476">
        <f t="shared" si="414"/>
        <v>0</v>
      </c>
      <c r="BM476">
        <f t="shared" si="415"/>
        <v>-52.236667874887004</v>
      </c>
      <c r="BN476">
        <f t="shared" si="403"/>
        <v>-95.18334353922404</v>
      </c>
      <c r="BQ476" s="56">
        <f t="shared" si="416"/>
        <v>15.497852434949841</v>
      </c>
    </row>
    <row r="477" spans="1:69" x14ac:dyDescent="0.25">
      <c r="A477">
        <f t="shared" si="420"/>
        <v>1315000</v>
      </c>
      <c r="B477">
        <f t="shared" si="404"/>
        <v>1315</v>
      </c>
      <c r="C477">
        <f t="shared" si="373"/>
        <v>10.952101931350748</v>
      </c>
      <c r="D477">
        <f t="shared" si="374"/>
        <v>1.4793623052818905</v>
      </c>
      <c r="F477">
        <f t="shared" si="375"/>
        <v>1.4822092557946992E-5</v>
      </c>
      <c r="G477">
        <f t="shared" si="376"/>
        <v>1.3096419796932289E-3</v>
      </c>
      <c r="H477">
        <f t="shared" si="377"/>
        <v>-3.1402830080203068</v>
      </c>
      <c r="J477">
        <f t="shared" si="378"/>
        <v>15</v>
      </c>
      <c r="M477">
        <f t="shared" si="379"/>
        <v>1.1362007389377098E-3</v>
      </c>
      <c r="N477">
        <f t="shared" si="380"/>
        <v>-1.5707963250000001</v>
      </c>
      <c r="O477">
        <f t="shared" si="381"/>
        <v>336.29723040928673</v>
      </c>
      <c r="P477">
        <f t="shared" si="382"/>
        <v>1.5678227623903804</v>
      </c>
      <c r="Q477">
        <f t="shared" si="383"/>
        <v>284.63278393039428</v>
      </c>
      <c r="R477">
        <f t="shared" si="384"/>
        <v>1.5672830208312825</v>
      </c>
      <c r="S477">
        <f t="shared" si="385"/>
        <v>9.2770159880503897E-2</v>
      </c>
      <c r="T477">
        <f t="shared" si="386"/>
        <v>-1.4778925808973793</v>
      </c>
      <c r="U477">
        <f t="shared" si="387"/>
        <v>0.11859560144604338</v>
      </c>
      <c r="V477">
        <f t="shared" si="388"/>
        <v>-1.4519209447061321</v>
      </c>
      <c r="X477">
        <f t="shared" si="405"/>
        <v>-50.71123154559136</v>
      </c>
      <c r="Y477">
        <f t="shared" si="389"/>
        <v>-173.40136653988148</v>
      </c>
      <c r="Z477">
        <f t="shared" si="406"/>
        <v>6.5986334601185206</v>
      </c>
      <c r="AC477">
        <v>1</v>
      </c>
      <c r="AD477">
        <f t="shared" si="390"/>
        <v>336.29574362598896</v>
      </c>
      <c r="AE477">
        <f t="shared" si="391"/>
        <v>-0.33343273700837384</v>
      </c>
      <c r="AF477">
        <f t="shared" si="392"/>
        <v>3.9824713386989993E-2</v>
      </c>
      <c r="AG477">
        <f t="shared" si="367"/>
        <v>115.81283562538989</v>
      </c>
      <c r="AH477">
        <f t="shared" si="368"/>
        <v>-994.75394532823975</v>
      </c>
      <c r="AJ477">
        <f t="shared" si="393"/>
        <v>22100</v>
      </c>
      <c r="AK477">
        <f t="shared" si="394"/>
        <v>237195.82768513908</v>
      </c>
      <c r="AL477">
        <v>1</v>
      </c>
      <c r="AM477">
        <f t="shared" si="395"/>
        <v>284.6310272756055</v>
      </c>
      <c r="AN477">
        <f t="shared" si="369"/>
        <v>833.60744472384795</v>
      </c>
      <c r="AO477">
        <f t="shared" si="370"/>
        <v>-74.715651202298858</v>
      </c>
      <c r="AQ477">
        <f t="shared" si="396"/>
        <v>1.4457341517537985E-3</v>
      </c>
      <c r="AR477">
        <f t="shared" si="397"/>
        <v>-3.8022808191124899</v>
      </c>
      <c r="AT477">
        <f t="shared" si="418"/>
        <v>-3782.1664114863652</v>
      </c>
      <c r="AU477">
        <f t="shared" si="419"/>
        <v>-441.79107325680047</v>
      </c>
      <c r="AV477">
        <f t="shared" si="407"/>
        <v>-3.0253106077869862</v>
      </c>
      <c r="AW477">
        <f t="shared" si="408"/>
        <v>671.93944992046602</v>
      </c>
      <c r="AX477">
        <f t="shared" si="409"/>
        <v>-4442.9720266740915</v>
      </c>
      <c r="AY477">
        <f t="shared" si="417"/>
        <v>-1.4206973277207913</v>
      </c>
      <c r="BA477">
        <f t="shared" si="398"/>
        <v>0.84742077991072295</v>
      </c>
      <c r="BB477">
        <f t="shared" si="410"/>
        <v>-1.4380178142551556</v>
      </c>
      <c r="BC477">
        <f t="shared" si="411"/>
        <v>-1.604613280066195</v>
      </c>
      <c r="BD477">
        <f t="shared" si="399"/>
        <v>-271.93756880349054</v>
      </c>
      <c r="BF477">
        <f t="shared" si="400"/>
        <v>-53.708052671925586</v>
      </c>
      <c r="BG477">
        <f t="shared" si="401"/>
        <v>-187.10131528504499</v>
      </c>
      <c r="BH477">
        <f t="shared" si="412"/>
        <v>-7.1013152850449899</v>
      </c>
      <c r="BI477">
        <f t="shared" si="413"/>
        <v>-7.1013152850449899</v>
      </c>
      <c r="BJ477">
        <f t="shared" si="402"/>
        <v>0</v>
      </c>
      <c r="BK477">
        <f t="shared" si="414"/>
        <v>0</v>
      </c>
      <c r="BM477">
        <f t="shared" si="415"/>
        <v>-52.270034857670431</v>
      </c>
      <c r="BN477">
        <f t="shared" si="403"/>
        <v>-95.163746481554483</v>
      </c>
      <c r="BQ477" s="56">
        <f t="shared" si="416"/>
        <v>15.463942986029981</v>
      </c>
    </row>
    <row r="478" spans="1:69" x14ac:dyDescent="0.25">
      <c r="A478">
        <f t="shared" si="420"/>
        <v>1320000</v>
      </c>
      <c r="B478">
        <f t="shared" si="404"/>
        <v>1320</v>
      </c>
      <c r="C478">
        <f t="shared" si="373"/>
        <v>10.993398382873306</v>
      </c>
      <c r="D478">
        <f t="shared" si="374"/>
        <v>1.4797067300450824</v>
      </c>
      <c r="F478">
        <f t="shared" si="375"/>
        <v>1.4710015082779889E-5</v>
      </c>
      <c r="G478">
        <f t="shared" si="376"/>
        <v>1.3046810731753415E-3</v>
      </c>
      <c r="H478">
        <f t="shared" si="377"/>
        <v>-3.1402879689268248</v>
      </c>
      <c r="J478">
        <f t="shared" si="378"/>
        <v>15</v>
      </c>
      <c r="M478">
        <f t="shared" si="379"/>
        <v>1.1318969482599155E-3</v>
      </c>
      <c r="N478">
        <f t="shared" si="380"/>
        <v>-1.5707963250000001</v>
      </c>
      <c r="O478">
        <f t="shared" si="381"/>
        <v>337.57591581795964</v>
      </c>
      <c r="P478">
        <f t="shared" si="382"/>
        <v>1.5678340258258945</v>
      </c>
      <c r="Q478">
        <f t="shared" si="383"/>
        <v>285.71502452843816</v>
      </c>
      <c r="R478">
        <f t="shared" si="384"/>
        <v>1.5672963286995294</v>
      </c>
      <c r="S478">
        <f t="shared" si="385"/>
        <v>9.2421765017819915E-2</v>
      </c>
      <c r="T478">
        <f t="shared" si="386"/>
        <v>-1.4782424790063708</v>
      </c>
      <c r="U478">
        <f t="shared" si="387"/>
        <v>0.11815265865283736</v>
      </c>
      <c r="V478">
        <f t="shared" si="388"/>
        <v>-1.4523670238563882</v>
      </c>
      <c r="X478">
        <f t="shared" si="405"/>
        <v>-50.77668955291297</v>
      </c>
      <c r="Y478">
        <f t="shared" si="389"/>
        <v>-173.42611499916575</v>
      </c>
      <c r="Z478">
        <f t="shared" si="406"/>
        <v>6.5738850008342524</v>
      </c>
      <c r="AC478">
        <v>1</v>
      </c>
      <c r="AD478">
        <f t="shared" si="390"/>
        <v>337.57443466639199</v>
      </c>
      <c r="AE478">
        <f t="shared" si="391"/>
        <v>-0.33597316772738689</v>
      </c>
      <c r="AF478">
        <f t="shared" si="392"/>
        <v>3.9976138152719998E-2</v>
      </c>
      <c r="AG478">
        <f t="shared" si="367"/>
        <v>114.94935227612069</v>
      </c>
      <c r="AH478">
        <f t="shared" si="368"/>
        <v>-991.08868047885267</v>
      </c>
      <c r="AJ478">
        <f t="shared" si="393"/>
        <v>22100</v>
      </c>
      <c r="AK478">
        <f t="shared" si="394"/>
        <v>238097.71296150843</v>
      </c>
      <c r="AL478">
        <v>1</v>
      </c>
      <c r="AM478">
        <f t="shared" si="395"/>
        <v>285.71327452760403</v>
      </c>
      <c r="AN478">
        <f t="shared" si="369"/>
        <v>833.60545987798173</v>
      </c>
      <c r="AO478">
        <f t="shared" si="370"/>
        <v>-74.432644318972223</v>
      </c>
      <c r="AQ478">
        <f t="shared" si="396"/>
        <v>1.4348023653003952E-3</v>
      </c>
      <c r="AR478">
        <f t="shared" si="397"/>
        <v>-3.7878782443930437</v>
      </c>
      <c r="AT478">
        <f t="shared" si="418"/>
        <v>-3753.9583214475188</v>
      </c>
      <c r="AU478">
        <f t="shared" si="419"/>
        <v>-436.83616707676305</v>
      </c>
      <c r="AV478">
        <f t="shared" si="407"/>
        <v>-3.0257468637596152</v>
      </c>
      <c r="AW478">
        <f t="shared" si="408"/>
        <v>673.17265987878011</v>
      </c>
      <c r="AX478">
        <f t="shared" si="409"/>
        <v>-4426.2417286407281</v>
      </c>
      <c r="AY478">
        <f t="shared" si="417"/>
        <v>-1.4198661883822932</v>
      </c>
      <c r="BA478">
        <f t="shared" si="398"/>
        <v>0.84413039862188843</v>
      </c>
      <c r="BB478">
        <f t="shared" si="410"/>
        <v>-1.4718091947952441</v>
      </c>
      <c r="BC478">
        <f t="shared" si="411"/>
        <v>-1.605880675377322</v>
      </c>
      <c r="BD478">
        <f t="shared" si="399"/>
        <v>-272.01018520587576</v>
      </c>
      <c r="BF478">
        <f t="shared" si="400"/>
        <v>-53.775082325525347</v>
      </c>
      <c r="BG478">
        <f t="shared" si="401"/>
        <v>-187.15448184112333</v>
      </c>
      <c r="BH478">
        <f t="shared" si="412"/>
        <v>-7.154481841123328</v>
      </c>
      <c r="BI478">
        <f t="shared" si="413"/>
        <v>-7.154481841123328</v>
      </c>
      <c r="BJ478">
        <f t="shared" si="402"/>
        <v>0</v>
      </c>
      <c r="BK478">
        <f t="shared" si="414"/>
        <v>0</v>
      </c>
      <c r="BM478">
        <f t="shared" si="415"/>
        <v>-52.303273130730105</v>
      </c>
      <c r="BN478">
        <f t="shared" si="403"/>
        <v>-95.144296635247613</v>
      </c>
      <c r="BQ478" s="56">
        <f t="shared" si="416"/>
        <v>15.430151605489893</v>
      </c>
    </row>
    <row r="479" spans="1:69" x14ac:dyDescent="0.25">
      <c r="A479">
        <f t="shared" si="420"/>
        <v>1325000</v>
      </c>
      <c r="B479">
        <f t="shared" si="404"/>
        <v>1325</v>
      </c>
      <c r="C479">
        <f t="shared" si="373"/>
        <v>11.034696128764029</v>
      </c>
      <c r="D479">
        <f t="shared" si="374"/>
        <v>1.4800485768045244</v>
      </c>
      <c r="F479">
        <f t="shared" si="375"/>
        <v>1.4599204037153371E-5</v>
      </c>
      <c r="G479">
        <f t="shared" si="376"/>
        <v>1.2997576090535822E-3</v>
      </c>
      <c r="H479">
        <f t="shared" si="377"/>
        <v>-3.1402928923909466</v>
      </c>
      <c r="J479">
        <f t="shared" si="378"/>
        <v>15</v>
      </c>
      <c r="M479">
        <f t="shared" si="379"/>
        <v>1.1276256390211987E-3</v>
      </c>
      <c r="N479">
        <f t="shared" si="380"/>
        <v>-1.5707963250000001</v>
      </c>
      <c r="O479">
        <f t="shared" si="381"/>
        <v>338.8546012691358</v>
      </c>
      <c r="P479">
        <f t="shared" si="382"/>
        <v>1.567845204255091</v>
      </c>
      <c r="Q479">
        <f t="shared" si="383"/>
        <v>286.79726517670019</v>
      </c>
      <c r="R479">
        <f t="shared" si="384"/>
        <v>1.5673095361322604</v>
      </c>
      <c r="S479">
        <f t="shared" si="385"/>
        <v>9.2075965985933775E-2</v>
      </c>
      <c r="T479">
        <f t="shared" si="386"/>
        <v>-1.4785897588473644</v>
      </c>
      <c r="U479">
        <f t="shared" si="387"/>
        <v>0.11771298908017279</v>
      </c>
      <c r="V479">
        <f t="shared" si="388"/>
        <v>-1.4528097831954945</v>
      </c>
      <c r="X479">
        <f t="shared" si="405"/>
        <v>-50.841903559149564</v>
      </c>
      <c r="Y479">
        <f t="shared" si="389"/>
        <v>-173.4506794200538</v>
      </c>
      <c r="Z479">
        <f t="shared" si="406"/>
        <v>6.5493205799461975</v>
      </c>
      <c r="AC479">
        <v>1</v>
      </c>
      <c r="AD479">
        <f t="shared" si="390"/>
        <v>338.85312570679503</v>
      </c>
      <c r="AE479">
        <f t="shared" si="391"/>
        <v>-0.33852323954969793</v>
      </c>
      <c r="AF479">
        <f t="shared" si="392"/>
        <v>4.0127562918449995E-2</v>
      </c>
      <c r="AG479">
        <f t="shared" si="367"/>
        <v>114.0954451535292</v>
      </c>
      <c r="AH479">
        <f t="shared" si="368"/>
        <v>-987.44994286755309</v>
      </c>
      <c r="AJ479">
        <f t="shared" si="393"/>
        <v>22100</v>
      </c>
      <c r="AK479">
        <f t="shared" si="394"/>
        <v>238999.59823787777</v>
      </c>
      <c r="AL479">
        <v>1</v>
      </c>
      <c r="AM479">
        <f t="shared" si="395"/>
        <v>286.7955217796025</v>
      </c>
      <c r="AN479">
        <f t="shared" si="369"/>
        <v>833.60349745928158</v>
      </c>
      <c r="AO479">
        <f t="shared" si="370"/>
        <v>-74.151773258452707</v>
      </c>
      <c r="AQ479">
        <f t="shared" si="396"/>
        <v>1.423994101246835E-3</v>
      </c>
      <c r="AR479">
        <f t="shared" si="397"/>
        <v>-3.7735843683041126</v>
      </c>
      <c r="AT479">
        <f t="shared" si="418"/>
        <v>-3726.0631976469094</v>
      </c>
      <c r="AU479">
        <f t="shared" si="419"/>
        <v>-431.95491121997691</v>
      </c>
      <c r="AV479">
        <f t="shared" si="407"/>
        <v>-3.0261798740575423</v>
      </c>
      <c r="AW479">
        <f t="shared" si="408"/>
        <v>674.39174687376465</v>
      </c>
      <c r="AX479">
        <f t="shared" si="409"/>
        <v>-4409.6366033872491</v>
      </c>
      <c r="AY479">
        <f t="shared" si="417"/>
        <v>-1.4190363263964991</v>
      </c>
      <c r="BA479">
        <f t="shared" si="398"/>
        <v>0.84086413669720672</v>
      </c>
      <c r="BB479">
        <f t="shared" si="410"/>
        <v>-1.5054834003153406</v>
      </c>
      <c r="BC479">
        <f t="shared" si="411"/>
        <v>-1.6071435476610432</v>
      </c>
      <c r="BD479">
        <f t="shared" si="399"/>
        <v>-272.0825424578797</v>
      </c>
      <c r="BF479">
        <f t="shared" si="400"/>
        <v>-53.841867090810481</v>
      </c>
      <c r="BG479">
        <f t="shared" si="401"/>
        <v>-187.20753481026372</v>
      </c>
      <c r="BH479">
        <f t="shared" si="412"/>
        <v>-7.2075348102637236</v>
      </c>
      <c r="BI479">
        <f t="shared" si="413"/>
        <v>-7.2075348102637236</v>
      </c>
      <c r="BJ479">
        <f t="shared" si="402"/>
        <v>0</v>
      </c>
      <c r="BK479">
        <f t="shared" si="414"/>
        <v>0</v>
      </c>
      <c r="BM479">
        <f t="shared" si="415"/>
        <v>-52.33638369049514</v>
      </c>
      <c r="BN479">
        <f t="shared" si="403"/>
        <v>-95.124992352384055</v>
      </c>
      <c r="BQ479" s="56">
        <f t="shared" si="416"/>
        <v>15.396477399969797</v>
      </c>
    </row>
    <row r="480" spans="1:69" x14ac:dyDescent="0.25">
      <c r="A480">
        <f t="shared" si="420"/>
        <v>1330000</v>
      </c>
      <c r="B480">
        <f t="shared" si="404"/>
        <v>1330</v>
      </c>
      <c r="C480">
        <f t="shared" si="373"/>
        <v>11.075995154544449</v>
      </c>
      <c r="D480">
        <f t="shared" si="374"/>
        <v>1.4803878743176524</v>
      </c>
      <c r="F480">
        <f t="shared" si="375"/>
        <v>1.4489640412419656E-5</v>
      </c>
      <c r="G480">
        <f t="shared" si="376"/>
        <v>1.2948711650214791E-3</v>
      </c>
      <c r="H480">
        <f t="shared" si="377"/>
        <v>-3.1402977788349786</v>
      </c>
      <c r="J480">
        <f t="shared" si="378"/>
        <v>15</v>
      </c>
      <c r="M480">
        <f t="shared" si="379"/>
        <v>1.12338644488954E-3</v>
      </c>
      <c r="N480">
        <f t="shared" si="380"/>
        <v>-1.5707963250000001</v>
      </c>
      <c r="O480">
        <f t="shared" si="381"/>
        <v>340.1332867623359</v>
      </c>
      <c r="P480">
        <f t="shared" si="382"/>
        <v>1.5678562986366771</v>
      </c>
      <c r="Q480">
        <f t="shared" si="383"/>
        <v>287.87950587461393</v>
      </c>
      <c r="R480">
        <f t="shared" si="384"/>
        <v>1.5673226442621888</v>
      </c>
      <c r="S480">
        <f t="shared" si="385"/>
        <v>9.1732734005143049E-2</v>
      </c>
      <c r="T480">
        <f t="shared" si="386"/>
        <v>-1.4789344496165089</v>
      </c>
      <c r="U480">
        <f t="shared" si="387"/>
        <v>0.11727655683690345</v>
      </c>
      <c r="V480">
        <f t="shared" si="388"/>
        <v>-1.4532492594744435</v>
      </c>
      <c r="X480">
        <f t="shared" si="405"/>
        <v>-50.906875364007703</v>
      </c>
      <c r="Y480">
        <f t="shared" si="389"/>
        <v>-173.4750618377256</v>
      </c>
      <c r="Z480">
        <f t="shared" si="406"/>
        <v>6.5249381622743954</v>
      </c>
      <c r="AC480">
        <v>1</v>
      </c>
      <c r="AD480">
        <f t="shared" si="390"/>
        <v>340.131816747198</v>
      </c>
      <c r="AE480">
        <f t="shared" si="391"/>
        <v>-0.34108295247530684</v>
      </c>
      <c r="AF480">
        <f t="shared" si="392"/>
        <v>4.0278987684179993E-2</v>
      </c>
      <c r="AG480">
        <f t="shared" si="367"/>
        <v>113.25097383881125</v>
      </c>
      <c r="AH480">
        <f t="shared" si="368"/>
        <v>-983.83744989722754</v>
      </c>
      <c r="AJ480">
        <f t="shared" si="393"/>
        <v>22100</v>
      </c>
      <c r="AK480">
        <f t="shared" si="394"/>
        <v>239901.48351424714</v>
      </c>
      <c r="AL480">
        <v>1</v>
      </c>
      <c r="AM480">
        <f t="shared" si="395"/>
        <v>287.87776903160102</v>
      </c>
      <c r="AN480">
        <f t="shared" si="369"/>
        <v>833.60155713113852</v>
      </c>
      <c r="AO480">
        <f t="shared" si="370"/>
        <v>-73.873013933682401</v>
      </c>
      <c r="AQ480">
        <f t="shared" si="396"/>
        <v>1.4133075056097708E-3</v>
      </c>
      <c r="AR480">
        <f t="shared" si="397"/>
        <v>-3.7593979649219902</v>
      </c>
      <c r="AT480">
        <f t="shared" si="418"/>
        <v>-3698.4764485063338</v>
      </c>
      <c r="AU480">
        <f t="shared" si="419"/>
        <v>-427.14594542730032</v>
      </c>
      <c r="AV480">
        <f t="shared" si="407"/>
        <v>-3.0266096745956461</v>
      </c>
      <c r="AW480">
        <f t="shared" si="408"/>
        <v>675.59692633862653</v>
      </c>
      <c r="AX480">
        <f t="shared" si="409"/>
        <v>-4393.1552551340883</v>
      </c>
      <c r="AY480">
        <f t="shared" si="417"/>
        <v>-1.418207729386878</v>
      </c>
      <c r="BA480">
        <f t="shared" si="398"/>
        <v>0.83762172764245835</v>
      </c>
      <c r="BB480">
        <f t="shared" si="410"/>
        <v>-1.5390413144343911</v>
      </c>
      <c r="BC480">
        <f t="shared" si="411"/>
        <v>-1.6084019452087681</v>
      </c>
      <c r="BD480">
        <f t="shared" si="399"/>
        <v>-272.15464332639635</v>
      </c>
      <c r="BF480">
        <f t="shared" si="400"/>
        <v>-53.908408836227181</v>
      </c>
      <c r="BG480">
        <f t="shared" si="401"/>
        <v>-187.26047533587683</v>
      </c>
      <c r="BH480">
        <f t="shared" si="412"/>
        <v>-7.2604753358768335</v>
      </c>
      <c r="BI480">
        <f t="shared" si="413"/>
        <v>-7.2604753358768335</v>
      </c>
      <c r="BJ480">
        <f t="shared" si="402"/>
        <v>0</v>
      </c>
      <c r="BK480">
        <f t="shared" si="414"/>
        <v>0</v>
      </c>
      <c r="BM480">
        <f t="shared" si="415"/>
        <v>-52.369367521792789</v>
      </c>
      <c r="BN480">
        <f t="shared" si="403"/>
        <v>-95.105832009480508</v>
      </c>
      <c r="BQ480" s="56">
        <f t="shared" si="416"/>
        <v>15.362919485850746</v>
      </c>
    </row>
    <row r="481" spans="1:69" x14ac:dyDescent="0.25">
      <c r="A481">
        <f t="shared" si="420"/>
        <v>1335000</v>
      </c>
      <c r="B481">
        <f t="shared" si="404"/>
        <v>1335</v>
      </c>
      <c r="C481">
        <f t="shared" si="373"/>
        <v>11.117295445950791</v>
      </c>
      <c r="D481">
        <f t="shared" si="374"/>
        <v>1.4807246509169385</v>
      </c>
      <c r="F481">
        <f t="shared" si="375"/>
        <v>1.4381305555240039E-5</v>
      </c>
      <c r="G481">
        <f t="shared" si="376"/>
        <v>1.2900213250996923E-3</v>
      </c>
      <c r="H481">
        <f t="shared" si="377"/>
        <v>-3.1403026286749007</v>
      </c>
      <c r="J481">
        <f t="shared" si="378"/>
        <v>15</v>
      </c>
      <c r="M481">
        <f t="shared" si="379"/>
        <v>1.1191790050210401E-3</v>
      </c>
      <c r="N481">
        <f t="shared" si="380"/>
        <v>-1.5707963250000001</v>
      </c>
      <c r="O481">
        <f t="shared" si="381"/>
        <v>341.41197229708797</v>
      </c>
      <c r="P481">
        <f t="shared" si="382"/>
        <v>1.5678673099149967</v>
      </c>
      <c r="Q481">
        <f t="shared" si="383"/>
        <v>288.96174662162139</v>
      </c>
      <c r="R481">
        <f t="shared" si="384"/>
        <v>1.5673356542050583</v>
      </c>
      <c r="S481">
        <f t="shared" si="385"/>
        <v>9.1392040717771419E-2</v>
      </c>
      <c r="T481">
        <f t="shared" si="386"/>
        <v>-1.4792765800787002</v>
      </c>
      <c r="U481">
        <f t="shared" si="387"/>
        <v>0.11684332655088703</v>
      </c>
      <c r="V481">
        <f t="shared" si="388"/>
        <v>-1.4536854889062978</v>
      </c>
      <c r="X481">
        <f t="shared" si="405"/>
        <v>-50.971606747493553</v>
      </c>
      <c r="Y481">
        <f t="shared" si="389"/>
        <v>-173.49926425761242</v>
      </c>
      <c r="Z481">
        <f t="shared" si="406"/>
        <v>6.500735742387576</v>
      </c>
      <c r="AC481">
        <v>1</v>
      </c>
      <c r="AD481">
        <f t="shared" si="390"/>
        <v>341.41050778760098</v>
      </c>
      <c r="AE481">
        <f t="shared" si="391"/>
        <v>-0.3436523065042138</v>
      </c>
      <c r="AF481">
        <f t="shared" si="392"/>
        <v>4.0430412449909997E-2</v>
      </c>
      <c r="AG481">
        <f t="shared" si="367"/>
        <v>112.4158004653077</v>
      </c>
      <c r="AH481">
        <f t="shared" si="368"/>
        <v>-980.25092290416865</v>
      </c>
      <c r="AJ481">
        <f t="shared" si="393"/>
        <v>22100</v>
      </c>
      <c r="AK481">
        <f t="shared" si="394"/>
        <v>240803.36879061649</v>
      </c>
      <c r="AL481">
        <v>1</v>
      </c>
      <c r="AM481">
        <f t="shared" si="395"/>
        <v>288.96001628359954</v>
      </c>
      <c r="AN481">
        <f t="shared" si="369"/>
        <v>833.59963856323429</v>
      </c>
      <c r="AO481">
        <f t="shared" si="370"/>
        <v>-73.596342618436438</v>
      </c>
      <c r="AQ481">
        <f t="shared" si="396"/>
        <v>1.402740759059496E-3</v>
      </c>
      <c r="AR481">
        <f t="shared" si="397"/>
        <v>-3.7453178266888543</v>
      </c>
      <c r="AT481">
        <f t="shared" si="418"/>
        <v>-3671.1935659559094</v>
      </c>
      <c r="AU481">
        <f t="shared" si="419"/>
        <v>-422.40793940787745</v>
      </c>
      <c r="AV481">
        <f t="shared" si="407"/>
        <v>-3.0270363007634007</v>
      </c>
      <c r="AW481">
        <f t="shared" si="408"/>
        <v>676.78840960417961</v>
      </c>
      <c r="AX481">
        <f t="shared" si="409"/>
        <v>-4376.7963087242524</v>
      </c>
      <c r="AY481">
        <f t="shared" si="417"/>
        <v>-1.4173803851809352</v>
      </c>
      <c r="BA481">
        <f t="shared" si="398"/>
        <v>0.83440290886277768</v>
      </c>
      <c r="BB481">
        <f t="shared" si="410"/>
        <v>-1.5724838111690795</v>
      </c>
      <c r="BC481">
        <f t="shared" si="411"/>
        <v>-1.6096559155824655</v>
      </c>
      <c r="BD481">
        <f t="shared" si="399"/>
        <v>-272.22649053652572</v>
      </c>
      <c r="BF481">
        <f t="shared" si="400"/>
        <v>-53.974709409197921</v>
      </c>
      <c r="BG481">
        <f t="shared" si="401"/>
        <v>-187.31330454356547</v>
      </c>
      <c r="BH481">
        <f t="shared" si="412"/>
        <v>-7.3133045435654651</v>
      </c>
      <c r="BI481">
        <f t="shared" si="413"/>
        <v>-7.3133045435654651</v>
      </c>
      <c r="BJ481">
        <f t="shared" si="402"/>
        <v>0</v>
      </c>
      <c r="BK481">
        <f t="shared" si="414"/>
        <v>0</v>
      </c>
      <c r="BM481">
        <f t="shared" si="415"/>
        <v>-52.402225598028842</v>
      </c>
      <c r="BN481">
        <f t="shared" si="403"/>
        <v>-95.086814007039763</v>
      </c>
      <c r="BQ481" s="56">
        <f t="shared" si="416"/>
        <v>15.329476989116058</v>
      </c>
    </row>
    <row r="482" spans="1:69" x14ac:dyDescent="0.25">
      <c r="A482">
        <f t="shared" si="420"/>
        <v>1340000</v>
      </c>
      <c r="B482">
        <f t="shared" si="404"/>
        <v>1340</v>
      </c>
      <c r="C482">
        <f t="shared" si="373"/>
        <v>11.158596988930022</v>
      </c>
      <c r="D482">
        <f t="shared" si="374"/>
        <v>1.4810589345176921</v>
      </c>
      <c r="F482">
        <f t="shared" si="375"/>
        <v>1.4274181159644807E-5</v>
      </c>
      <c r="G482">
        <f t="shared" si="376"/>
        <v>1.2852076795179606E-3</v>
      </c>
      <c r="H482">
        <f t="shared" si="377"/>
        <v>-3.1403074423204824</v>
      </c>
      <c r="J482">
        <f t="shared" si="378"/>
        <v>15</v>
      </c>
      <c r="M482">
        <f t="shared" si="379"/>
        <v>1.1150029639575287E-3</v>
      </c>
      <c r="N482">
        <f t="shared" si="380"/>
        <v>-1.5707963250000001</v>
      </c>
      <c r="O482">
        <f t="shared" si="381"/>
        <v>342.69065787292658</v>
      </c>
      <c r="P482">
        <f t="shared" si="382"/>
        <v>1.5678782390203001</v>
      </c>
      <c r="Q482">
        <f t="shared" si="383"/>
        <v>290.04398741717318</v>
      </c>
      <c r="R482">
        <f t="shared" si="384"/>
        <v>1.5673485670599603</v>
      </c>
      <c r="S482">
        <f t="shared" si="385"/>
        <v>9.1053858180495259E-2</v>
      </c>
      <c r="T482">
        <f t="shared" si="386"/>
        <v>-1.4796161785754907</v>
      </c>
      <c r="U482">
        <f t="shared" si="387"/>
        <v>0.11641326335970832</v>
      </c>
      <c r="V482">
        <f t="shared" si="388"/>
        <v>-1.4541185071759479</v>
      </c>
      <c r="X482">
        <f t="shared" si="405"/>
        <v>-51.036099470197513</v>
      </c>
      <c r="Y482">
        <f t="shared" si="389"/>
        <v>-173.52328865593518</v>
      </c>
      <c r="Z482">
        <f t="shared" si="406"/>
        <v>6.4767113440648245</v>
      </c>
      <c r="AC482">
        <v>1</v>
      </c>
      <c r="AD482">
        <f t="shared" si="390"/>
        <v>342.68919882800401</v>
      </c>
      <c r="AE482">
        <f t="shared" si="391"/>
        <v>-0.34623130163641869</v>
      </c>
      <c r="AF482">
        <f t="shared" si="392"/>
        <v>4.0581837215639995E-2</v>
      </c>
      <c r="AG482">
        <f t="shared" si="367"/>
        <v>111.58978966331222</v>
      </c>
      <c r="AH482">
        <f t="shared" si="368"/>
        <v>-976.69008709116144</v>
      </c>
      <c r="AJ482">
        <f t="shared" si="393"/>
        <v>22100</v>
      </c>
      <c r="AK482">
        <f t="shared" si="394"/>
        <v>241705.25406698583</v>
      </c>
      <c r="AL482">
        <v>1</v>
      </c>
      <c r="AM482">
        <f t="shared" si="395"/>
        <v>290.04226353559807</v>
      </c>
      <c r="AN482">
        <f t="shared" si="369"/>
        <v>833.59774143140328</v>
      </c>
      <c r="AO482">
        <f t="shared" si="370"/>
        <v>-73.32173594059158</v>
      </c>
      <c r="AQ482">
        <f t="shared" si="396"/>
        <v>1.3922920761455676E-3</v>
      </c>
      <c r="AR482">
        <f t="shared" si="397"/>
        <v>-3.7313427640701207</v>
      </c>
      <c r="AT482">
        <f t="shared" si="418"/>
        <v>-3644.210123626694</v>
      </c>
      <c r="AU482">
        <f t="shared" si="419"/>
        <v>-417.73959207341375</v>
      </c>
      <c r="AV482">
        <f t="shared" si="407"/>
        <v>-3.0274597874343998</v>
      </c>
      <c r="AW482">
        <f t="shared" si="408"/>
        <v>677.96640399243654</v>
      </c>
      <c r="AX482">
        <f t="shared" si="409"/>
        <v>-4360.5584092447816</v>
      </c>
      <c r="AY482">
        <f t="shared" si="417"/>
        <v>-1.4165542818061518</v>
      </c>
      <c r="BA482">
        <f t="shared" si="398"/>
        <v>0.8312074215919929</v>
      </c>
      <c r="BB482">
        <f t="shared" si="410"/>
        <v>-1.6058117550700313</v>
      </c>
      <c r="BC482">
        <f t="shared" si="411"/>
        <v>-1.610905505628248</v>
      </c>
      <c r="BD482">
        <f t="shared" si="399"/>
        <v>-272.29808677235246</v>
      </c>
      <c r="BF482">
        <f t="shared" si="400"/>
        <v>-54.040770636434587</v>
      </c>
      <c r="BG482">
        <f t="shared" si="401"/>
        <v>-187.36602354146291</v>
      </c>
      <c r="BH482">
        <f t="shared" si="412"/>
        <v>-7.3660235414629085</v>
      </c>
      <c r="BI482">
        <f t="shared" si="413"/>
        <v>-7.3660235414629085</v>
      </c>
      <c r="BJ482">
        <f t="shared" si="402"/>
        <v>0</v>
      </c>
      <c r="BK482">
        <f t="shared" si="414"/>
        <v>0</v>
      </c>
      <c r="BM482">
        <f t="shared" si="415"/>
        <v>-52.434958881364551</v>
      </c>
      <c r="BN482">
        <f t="shared" si="403"/>
        <v>-95.067936769110489</v>
      </c>
      <c r="BQ482" s="56">
        <f t="shared" si="416"/>
        <v>15.296149045215106</v>
      </c>
    </row>
    <row r="483" spans="1:69" x14ac:dyDescent="0.25">
      <c r="A483">
        <f t="shared" si="420"/>
        <v>1345000</v>
      </c>
      <c r="B483">
        <f t="shared" si="404"/>
        <v>1345</v>
      </c>
      <c r="C483">
        <f t="shared" si="373"/>
        <v>11.199899769635973</v>
      </c>
      <c r="D483">
        <f t="shared" si="374"/>
        <v>1.4813907526256875</v>
      </c>
      <c r="F483">
        <f t="shared" si="375"/>
        <v>1.416824925929946E-5</v>
      </c>
      <c r="G483">
        <f t="shared" si="376"/>
        <v>1.2804298245996822E-3</v>
      </c>
      <c r="H483">
        <f t="shared" si="377"/>
        <v>-3.1403122201754003</v>
      </c>
      <c r="J483">
        <f t="shared" si="378"/>
        <v>15</v>
      </c>
      <c r="M483">
        <f t="shared" si="379"/>
        <v>1.1108579715264598E-3</v>
      </c>
      <c r="N483">
        <f t="shared" si="380"/>
        <v>-1.5707963250000001</v>
      </c>
      <c r="O483">
        <f t="shared" si="381"/>
        <v>343.96934348939379</v>
      </c>
      <c r="P483">
        <f t="shared" si="382"/>
        <v>1.5678890868690041</v>
      </c>
      <c r="Q483">
        <f t="shared" si="383"/>
        <v>291.12622826072783</v>
      </c>
      <c r="R483">
        <f t="shared" si="384"/>
        <v>1.5673613839096434</v>
      </c>
      <c r="S483">
        <f t="shared" si="385"/>
        <v>9.0718158856836442E-2</v>
      </c>
      <c r="T483">
        <f t="shared" si="386"/>
        <v>-1.4799532730328275</v>
      </c>
      <c r="U483">
        <f t="shared" si="387"/>
        <v>0.11598633290159928</v>
      </c>
      <c r="V483">
        <f t="shared" si="388"/>
        <v>-1.4545483494496643</v>
      </c>
      <c r="X483">
        <f t="shared" si="405"/>
        <v>-51.100355273573456</v>
      </c>
      <c r="Y483">
        <f t="shared" si="389"/>
        <v>-173.54713698023204</v>
      </c>
      <c r="Z483">
        <f t="shared" si="406"/>
        <v>6.4528630197679604</v>
      </c>
      <c r="AC483">
        <v>1</v>
      </c>
      <c r="AD483">
        <f t="shared" si="390"/>
        <v>343.96788986840698</v>
      </c>
      <c r="AE483">
        <f t="shared" si="391"/>
        <v>-0.34881993787192156</v>
      </c>
      <c r="AF483">
        <f t="shared" si="392"/>
        <v>4.0733261981369999E-2</v>
      </c>
      <c r="AG483">
        <f t="shared" si="367"/>
        <v>110.77280850625901</v>
      </c>
      <c r="AH483">
        <f t="shared" si="368"/>
        <v>-973.15467146189781</v>
      </c>
      <c r="AJ483">
        <f t="shared" si="393"/>
        <v>22100</v>
      </c>
      <c r="AK483">
        <f t="shared" si="394"/>
        <v>242607.13934335517</v>
      </c>
      <c r="AL483">
        <v>1</v>
      </c>
      <c r="AM483">
        <f t="shared" si="395"/>
        <v>291.12451078759653</v>
      </c>
      <c r="AN483">
        <f t="shared" si="369"/>
        <v>833.59586541749275</v>
      </c>
      <c r="AO483">
        <f t="shared" si="370"/>
        <v>-73.049170875544746</v>
      </c>
      <c r="AQ483">
        <f t="shared" si="396"/>
        <v>1.3819597045425431E-3</v>
      </c>
      <c r="AR483">
        <f t="shared" si="397"/>
        <v>-3.7174716052194405</v>
      </c>
      <c r="AT483">
        <f t="shared" si="418"/>
        <v>-3617.521775088544</v>
      </c>
      <c r="AU483">
        <f t="shared" si="419"/>
        <v>-413.13963079467607</v>
      </c>
      <c r="AV483">
        <f t="shared" si="407"/>
        <v>-3.027880168975682</v>
      </c>
      <c r="AW483">
        <f t="shared" si="408"/>
        <v>679.13111290771178</v>
      </c>
      <c r="AX483">
        <f t="shared" si="409"/>
        <v>-4344.4402216564504</v>
      </c>
      <c r="AY483">
        <f t="shared" si="417"/>
        <v>-1.4157294074860203</v>
      </c>
      <c r="BA483">
        <f t="shared" si="398"/>
        <v>0.8280350108234954</v>
      </c>
      <c r="BB483">
        <f t="shared" si="410"/>
        <v>-1.6390260013555675</v>
      </c>
      <c r="BC483">
        <f t="shared" si="411"/>
        <v>-1.6121507614896617</v>
      </c>
      <c r="BD483">
        <f t="shared" si="399"/>
        <v>-272.36943467770686</v>
      </c>
      <c r="BF483">
        <f t="shared" si="400"/>
        <v>-54.106594324245705</v>
      </c>
      <c r="BG483">
        <f t="shared" si="401"/>
        <v>-187.41863342056371</v>
      </c>
      <c r="BH483">
        <f t="shared" si="412"/>
        <v>-7.4186334205637081</v>
      </c>
      <c r="BI483">
        <f t="shared" si="413"/>
        <v>-7.4186334205637081</v>
      </c>
      <c r="BJ483">
        <f t="shared" si="402"/>
        <v>0</v>
      </c>
      <c r="BK483">
        <f t="shared" si="414"/>
        <v>0</v>
      </c>
      <c r="BM483">
        <f t="shared" si="415"/>
        <v>-52.467568322890145</v>
      </c>
      <c r="BN483">
        <f t="shared" si="403"/>
        <v>-95.049198742856831</v>
      </c>
      <c r="BQ483" s="56">
        <f t="shared" si="416"/>
        <v>15.262934798929567</v>
      </c>
    </row>
    <row r="484" spans="1:69" x14ac:dyDescent="0.25">
      <c r="A484">
        <f t="shared" si="420"/>
        <v>1350000</v>
      </c>
      <c r="B484">
        <f t="shared" si="404"/>
        <v>1350</v>
      </c>
      <c r="C484">
        <f t="shared" si="373"/>
        <v>11.241203774425562</v>
      </c>
      <c r="D484">
        <f t="shared" si="374"/>
        <v>1.4817201323446263</v>
      </c>
      <c r="F484">
        <f t="shared" si="375"/>
        <v>1.4063492219971014E-5</v>
      </c>
      <c r="G484">
        <f t="shared" si="376"/>
        <v>1.2756873626490581E-3</v>
      </c>
      <c r="H484">
        <f t="shared" si="377"/>
        <v>-3.1403169626373511</v>
      </c>
      <c r="J484">
        <f t="shared" si="378"/>
        <v>15</v>
      </c>
      <c r="M484">
        <f t="shared" si="379"/>
        <v>1.1067436827430284E-3</v>
      </c>
      <c r="N484">
        <f t="shared" si="380"/>
        <v>-1.5707963250000001</v>
      </c>
      <c r="O484">
        <f t="shared" si="381"/>
        <v>345.24802914603794</v>
      </c>
      <c r="P484">
        <f t="shared" si="382"/>
        <v>1.5678998543639502</v>
      </c>
      <c r="Q484">
        <f t="shared" si="383"/>
        <v>292.20846915175207</v>
      </c>
      <c r="R484">
        <f t="shared" si="384"/>
        <v>1.567374105820815</v>
      </c>
      <c r="S484">
        <f t="shared" si="385"/>
        <v>9.0384915609816915E-2</v>
      </c>
      <c r="T484">
        <f t="shared" si="386"/>
        <v>-1.4802878909686221</v>
      </c>
      <c r="U484">
        <f t="shared" si="387"/>
        <v>0.11556250130655071</v>
      </c>
      <c r="V484">
        <f t="shared" si="388"/>
        <v>-1.4549750503844381</v>
      </c>
      <c r="X484">
        <f t="shared" si="405"/>
        <v>-51.164375880213264</v>
      </c>
      <c r="Y484">
        <f t="shared" si="389"/>
        <v>-173.5708111498744</v>
      </c>
      <c r="Z484">
        <f t="shared" si="406"/>
        <v>6.4291888501255983</v>
      </c>
      <c r="AC484">
        <v>1</v>
      </c>
      <c r="AD484">
        <f t="shared" si="390"/>
        <v>345.24658090881002</v>
      </c>
      <c r="AE484">
        <f t="shared" si="391"/>
        <v>-0.35141821521072242</v>
      </c>
      <c r="AF484">
        <f t="shared" si="392"/>
        <v>4.0884686747099996E-2</v>
      </c>
      <c r="AG484">
        <f t="shared" si="367"/>
        <v>109.96472645825261</v>
      </c>
      <c r="AH484">
        <f t="shared" si="368"/>
        <v>-969.64440875669459</v>
      </c>
      <c r="AJ484">
        <f t="shared" si="393"/>
        <v>22100</v>
      </c>
      <c r="AK484">
        <f t="shared" si="394"/>
        <v>243509.02461972451</v>
      </c>
      <c r="AL484">
        <v>1</v>
      </c>
      <c r="AM484">
        <f t="shared" si="395"/>
        <v>292.20675803959506</v>
      </c>
      <c r="AN484">
        <f t="shared" si="369"/>
        <v>833.59401020923019</v>
      </c>
      <c r="AO484">
        <f t="shared" si="370"/>
        <v>-72.778624739777896</v>
      </c>
      <c r="AQ484">
        <f t="shared" si="396"/>
        <v>1.3717419243152367E-3</v>
      </c>
      <c r="AR484">
        <f t="shared" si="397"/>
        <v>-3.7037031956511393</v>
      </c>
      <c r="AT484">
        <f t="shared" si="418"/>
        <v>-3591.1242521319505</v>
      </c>
      <c r="AU484">
        <f t="shared" si="419"/>
        <v>-408.60681067950298</v>
      </c>
      <c r="AV484">
        <f t="shared" si="407"/>
        <v>-3.028297479256846</v>
      </c>
      <c r="AW484">
        <f t="shared" si="408"/>
        <v>680.28273592531536</v>
      </c>
      <c r="AX484">
        <f t="shared" si="409"/>
        <v>-4328.4404304315867</v>
      </c>
      <c r="AY484">
        <f t="shared" si="417"/>
        <v>-1.4149057506361726</v>
      </c>
      <c r="BA484">
        <f t="shared" si="398"/>
        <v>0.82488542524258657</v>
      </c>
      <c r="BB484">
        <f t="shared" si="410"/>
        <v>-1.6721273960432033</v>
      </c>
      <c r="BC484">
        <f t="shared" si="411"/>
        <v>-1.6133917286206734</v>
      </c>
      <c r="BD484">
        <f t="shared" si="399"/>
        <v>-272.44053685690955</v>
      </c>
      <c r="BF484">
        <f t="shared" si="400"/>
        <v>-54.172182258838106</v>
      </c>
      <c r="BG484">
        <f t="shared" si="401"/>
        <v>-187.47113525504702</v>
      </c>
      <c r="BH484">
        <f t="shared" si="412"/>
        <v>-7.4711352550470167</v>
      </c>
      <c r="BI484">
        <f t="shared" si="413"/>
        <v>-7.4711352550470167</v>
      </c>
      <c r="BJ484">
        <f t="shared" si="402"/>
        <v>0</v>
      </c>
      <c r="BK484">
        <f t="shared" si="414"/>
        <v>0</v>
      </c>
      <c r="BM484">
        <f t="shared" si="415"/>
        <v>-52.500054862794904</v>
      </c>
      <c r="BN484">
        <f t="shared" si="403"/>
        <v>-95.030598398137457</v>
      </c>
      <c r="BQ484" s="56">
        <f t="shared" si="416"/>
        <v>15.229833404241935</v>
      </c>
    </row>
    <row r="485" spans="1:69" x14ac:dyDescent="0.25">
      <c r="A485">
        <f t="shared" si="420"/>
        <v>1355000</v>
      </c>
      <c r="B485">
        <f t="shared" si="404"/>
        <v>1355</v>
      </c>
      <c r="C485">
        <f t="shared" si="373"/>
        <v>11.282508989855092</v>
      </c>
      <c r="D485">
        <f t="shared" si="374"/>
        <v>1.4820471003834383</v>
      </c>
      <c r="F485">
        <f t="shared" si="375"/>
        <v>1.3959892732188568E-5</v>
      </c>
      <c r="G485">
        <f t="shared" si="376"/>
        <v>1.2709799018407379E-3</v>
      </c>
      <c r="H485">
        <f t="shared" si="377"/>
        <v>-3.1403216700981593</v>
      </c>
      <c r="J485">
        <f t="shared" si="378"/>
        <v>15</v>
      </c>
      <c r="M485">
        <f t="shared" si="379"/>
        <v>1.1026597577144565E-3</v>
      </c>
      <c r="N485">
        <f t="shared" si="380"/>
        <v>-1.5707963250000001</v>
      </c>
      <c r="O485">
        <f t="shared" si="381"/>
        <v>346.52671484241444</v>
      </c>
      <c r="P485">
        <f t="shared" si="382"/>
        <v>1.5679105423946529</v>
      </c>
      <c r="Q485">
        <f t="shared" si="383"/>
        <v>293.29071008972033</v>
      </c>
      <c r="R485">
        <f t="shared" si="384"/>
        <v>1.5673867338444389</v>
      </c>
      <c r="S485">
        <f t="shared" si="385"/>
        <v>9.0054101694771169E-2</v>
      </c>
      <c r="T485">
        <f t="shared" si="386"/>
        <v>-1.480620059500154</v>
      </c>
      <c r="U485">
        <f t="shared" si="387"/>
        <v>0.11514173518761127</v>
      </c>
      <c r="V485">
        <f t="shared" si="388"/>
        <v>-1.4553986441371269</v>
      </c>
      <c r="X485">
        <f t="shared" si="405"/>
        <v>-51.228162994116389</v>
      </c>
      <c r="Y485">
        <f t="shared" si="389"/>
        <v>-173.59431305657139</v>
      </c>
      <c r="Z485">
        <f t="shared" si="406"/>
        <v>6.4056869434286057</v>
      </c>
      <c r="AC485">
        <v>1</v>
      </c>
      <c r="AD485">
        <f t="shared" si="390"/>
        <v>346.52527194921299</v>
      </c>
      <c r="AE485">
        <f t="shared" si="391"/>
        <v>-0.35402613365282115</v>
      </c>
      <c r="AF485">
        <f t="shared" si="392"/>
        <v>4.1036111512829994E-2</v>
      </c>
      <c r="AG485">
        <f t="shared" si="367"/>
        <v>109.16541532290107</v>
      </c>
      <c r="AH485">
        <f t="shared" si="368"/>
        <v>-966.15903538948351</v>
      </c>
      <c r="AJ485">
        <f t="shared" si="393"/>
        <v>22100</v>
      </c>
      <c r="AK485">
        <f t="shared" si="394"/>
        <v>244410.90989609386</v>
      </c>
      <c r="AL485">
        <v>1</v>
      </c>
      <c r="AM485">
        <f t="shared" si="395"/>
        <v>293.28900529159353</v>
      </c>
      <c r="AN485">
        <f t="shared" si="369"/>
        <v>833.59217550009532</v>
      </c>
      <c r="AO485">
        <f t="shared" si="370"/>
        <v>-72.510075184565594</v>
      </c>
      <c r="AQ485">
        <f t="shared" si="396"/>
        <v>1.3616370472029184E-3</v>
      </c>
      <c r="AR485">
        <f t="shared" si="397"/>
        <v>-3.6900363979199087</v>
      </c>
      <c r="AT485">
        <f t="shared" si="418"/>
        <v>-3565.0133630926066</v>
      </c>
      <c r="AU485">
        <f t="shared" si="419"/>
        <v>-404.13991387162486</v>
      </c>
      <c r="AV485">
        <f t="shared" si="407"/>
        <v>-3.0287117516589785</v>
      </c>
      <c r="AW485">
        <f t="shared" si="408"/>
        <v>681.42146887791057</v>
      </c>
      <c r="AX485">
        <f t="shared" si="409"/>
        <v>-4312.5577391997567</v>
      </c>
      <c r="AY485">
        <f t="shared" si="417"/>
        <v>-1.4140832998606021</v>
      </c>
      <c r="BA485">
        <f t="shared" si="398"/>
        <v>0.8217584171602742</v>
      </c>
      <c r="BB485">
        <f t="shared" si="410"/>
        <v>-1.7051167760788433</v>
      </c>
      <c r="BC485">
        <f t="shared" si="411"/>
        <v>-1.6146284517983764</v>
      </c>
      <c r="BD485">
        <f t="shared" si="399"/>
        <v>-272.51139587549892</v>
      </c>
      <c r="BF485">
        <f t="shared" si="400"/>
        <v>-54.237536206612951</v>
      </c>
      <c r="BG485">
        <f t="shared" si="401"/>
        <v>-187.52353010259222</v>
      </c>
      <c r="BH485">
        <f t="shared" si="412"/>
        <v>-7.5235301025922183</v>
      </c>
      <c r="BI485">
        <f t="shared" si="413"/>
        <v>-7.5235301025922183</v>
      </c>
      <c r="BJ485">
        <f t="shared" si="402"/>
        <v>0</v>
      </c>
      <c r="BK485">
        <f t="shared" si="414"/>
        <v>0</v>
      </c>
      <c r="BM485">
        <f t="shared" si="415"/>
        <v>-52.532419430534112</v>
      </c>
      <c r="BN485">
        <f t="shared" si="403"/>
        <v>-95.012134227093298</v>
      </c>
      <c r="BQ485" s="56">
        <f t="shared" si="416"/>
        <v>15.196844024206293</v>
      </c>
    </row>
    <row r="486" spans="1:69" x14ac:dyDescent="0.25">
      <c r="A486">
        <f t="shared" si="420"/>
        <v>1360000</v>
      </c>
      <c r="B486">
        <f t="shared" si="404"/>
        <v>1360</v>
      </c>
      <c r="C486">
        <f t="shared" si="373"/>
        <v>11.323815402676617</v>
      </c>
      <c r="D486">
        <f t="shared" si="374"/>
        <v>1.4823716830634235</v>
      </c>
      <c r="F486">
        <f t="shared" si="375"/>
        <v>1.3857433804092435E-5</v>
      </c>
      <c r="G486">
        <f t="shared" si="376"/>
        <v>1.2663070561118978E-3</v>
      </c>
      <c r="H486">
        <f t="shared" si="377"/>
        <v>-3.1403263429438883</v>
      </c>
      <c r="J486">
        <f t="shared" si="378"/>
        <v>15</v>
      </c>
      <c r="M486">
        <f t="shared" si="379"/>
        <v>1.0986058615463884E-3</v>
      </c>
      <c r="N486">
        <f t="shared" si="380"/>
        <v>-1.5707963250000001</v>
      </c>
      <c r="O486">
        <f t="shared" si="381"/>
        <v>347.80540057808497</v>
      </c>
      <c r="P486">
        <f t="shared" si="382"/>
        <v>1.5679211518375467</v>
      </c>
      <c r="Q486">
        <f t="shared" si="383"/>
        <v>294.37295107411489</v>
      </c>
      <c r="R486">
        <f t="shared" si="384"/>
        <v>1.5673992690160234</v>
      </c>
      <c r="S486">
        <f t="shared" si="385"/>
        <v>8.9725690752312709E-2</v>
      </c>
      <c r="T486">
        <f t="shared" si="386"/>
        <v>-1.4809498053513153</v>
      </c>
      <c r="U486">
        <f t="shared" si="387"/>
        <v>0.11472400163236929</v>
      </c>
      <c r="V486">
        <f t="shared" si="388"/>
        <v>-1.4558191643734015</v>
      </c>
      <c r="X486">
        <f t="shared" si="405"/>
        <v>-51.291718300954585</v>
      </c>
      <c r="Y486">
        <f t="shared" si="389"/>
        <v>-173.61764456486426</v>
      </c>
      <c r="Z486">
        <f t="shared" si="406"/>
        <v>6.3823554351357359</v>
      </c>
      <c r="AC486">
        <v>1</v>
      </c>
      <c r="AD486">
        <f t="shared" si="390"/>
        <v>347.80396298961597</v>
      </c>
      <c r="AE486">
        <f t="shared" si="391"/>
        <v>-0.35664369319821793</v>
      </c>
      <c r="AF486">
        <f t="shared" si="392"/>
        <v>4.1187536278559998E-2</v>
      </c>
      <c r="AG486">
        <f t="shared" si="367"/>
        <v>108.37474919341562</v>
      </c>
      <c r="AH486">
        <f t="shared" si="368"/>
        <v>-962.69829138604223</v>
      </c>
      <c r="AJ486">
        <f t="shared" si="393"/>
        <v>22100</v>
      </c>
      <c r="AK486">
        <f t="shared" si="394"/>
        <v>245312.7951724632</v>
      </c>
      <c r="AL486">
        <v>1</v>
      </c>
      <c r="AM486">
        <f t="shared" si="395"/>
        <v>294.37125254359205</v>
      </c>
      <c r="AN486">
        <f t="shared" si="369"/>
        <v>833.59036098919034</v>
      </c>
      <c r="AO486">
        <f t="shared" si="370"/>
        <v>-72.243500189820892</v>
      </c>
      <c r="AQ486">
        <f t="shared" si="396"/>
        <v>1.3516434159218998E-3</v>
      </c>
      <c r="AR486">
        <f t="shared" si="397"/>
        <v>-3.6764700913075679</v>
      </c>
      <c r="AT486">
        <f t="shared" si="418"/>
        <v>-3539.184991217483</v>
      </c>
      <c r="AU486">
        <f t="shared" si="419"/>
        <v>-399.73774886962269</v>
      </c>
      <c r="AV486">
        <f t="shared" si="407"/>
        <v>-3.0291230190833889</v>
      </c>
      <c r="AW486">
        <f t="shared" si="408"/>
        <v>682.54750393959853</v>
      </c>
      <c r="AX486">
        <f t="shared" si="409"/>
        <v>-4296.7908704011061</v>
      </c>
      <c r="AY486">
        <f t="shared" si="417"/>
        <v>-1.4132620439479713</v>
      </c>
      <c r="BA486">
        <f t="shared" si="398"/>
        <v>0.81865374244848177</v>
      </c>
      <c r="BB486">
        <f t="shared" si="410"/>
        <v>-1.7379949694637351</v>
      </c>
      <c r="BC486">
        <f t="shared" si="411"/>
        <v>-1.6158609751354176</v>
      </c>
      <c r="BD486">
        <f t="shared" si="399"/>
        <v>-272.58201426094342</v>
      </c>
      <c r="BF486">
        <f t="shared" si="400"/>
        <v>-54.302657914456418</v>
      </c>
      <c r="BG486">
        <f t="shared" si="401"/>
        <v>-187.57581900468821</v>
      </c>
      <c r="BH486">
        <f t="shared" si="412"/>
        <v>-7.5758190046882135</v>
      </c>
      <c r="BI486">
        <f t="shared" si="413"/>
        <v>-7.5758190046882135</v>
      </c>
      <c r="BJ486">
        <f t="shared" si="402"/>
        <v>0</v>
      </c>
      <c r="BK486">
        <f t="shared" si="414"/>
        <v>0</v>
      </c>
      <c r="BM486">
        <f t="shared" si="415"/>
        <v>-52.564662944992683</v>
      </c>
      <c r="BN486">
        <f t="shared" si="403"/>
        <v>-94.993804743744747</v>
      </c>
      <c r="BQ486" s="56">
        <f t="shared" si="416"/>
        <v>15.163965830821402</v>
      </c>
    </row>
    <row r="487" spans="1:69" x14ac:dyDescent="0.25">
      <c r="A487">
        <f t="shared" si="420"/>
        <v>1365000</v>
      </c>
      <c r="B487">
        <f t="shared" si="404"/>
        <v>1365</v>
      </c>
      <c r="C487">
        <f t="shared" si="373"/>
        <v>11.365122999834419</v>
      </c>
      <c r="D487">
        <f t="shared" si="374"/>
        <v>1.48269390632524</v>
      </c>
      <c r="F487">
        <f t="shared" si="375"/>
        <v>1.3756098754466268E-5</v>
      </c>
      <c r="G487">
        <f t="shared" si="376"/>
        <v>1.2616684450566912E-3</v>
      </c>
      <c r="H487">
        <f t="shared" si="377"/>
        <v>-3.1403309815549436</v>
      </c>
      <c r="J487">
        <f t="shared" si="378"/>
        <v>15</v>
      </c>
      <c r="M487">
        <f t="shared" si="379"/>
        <v>1.0945816642513469E-3</v>
      </c>
      <c r="N487">
        <f t="shared" si="380"/>
        <v>-1.5707963250000001</v>
      </c>
      <c r="O487">
        <f t="shared" si="381"/>
        <v>349.08408635261776</v>
      </c>
      <c r="P487">
        <f t="shared" si="382"/>
        <v>1.5679316835562243</v>
      </c>
      <c r="Q487">
        <f t="shared" si="383"/>
        <v>295.45519210442558</v>
      </c>
      <c r="R487">
        <f t="shared" si="384"/>
        <v>1.567411712355905</v>
      </c>
      <c r="S487">
        <f t="shared" si="385"/>
        <v>8.9399656801450525E-2</v>
      </c>
      <c r="T487">
        <f t="shared" si="386"/>
        <v>-1.4812771548596997</v>
      </c>
      <c r="U487">
        <f t="shared" si="387"/>
        <v>0.1143092681946126</v>
      </c>
      <c r="V487">
        <f t="shared" si="388"/>
        <v>-1.456236644276504</v>
      </c>
      <c r="X487">
        <f t="shared" si="405"/>
        <v>-51.355043468332092</v>
      </c>
      <c r="Y487">
        <f t="shared" si="389"/>
        <v>-173.64080751260988</v>
      </c>
      <c r="Z487">
        <f t="shared" si="406"/>
        <v>6.3591924873901178</v>
      </c>
      <c r="AC487">
        <v>1</v>
      </c>
      <c r="AD487">
        <f t="shared" si="390"/>
        <v>349.082654030019</v>
      </c>
      <c r="AE487">
        <f t="shared" si="391"/>
        <v>-0.35927089384691258</v>
      </c>
      <c r="AF487">
        <f t="shared" si="392"/>
        <v>4.1338961044289996E-2</v>
      </c>
      <c r="AG487">
        <f t="shared" si="367"/>
        <v>107.5926044039428</v>
      </c>
      <c r="AH487">
        <f t="shared" si="368"/>
        <v>-959.26192032344704</v>
      </c>
      <c r="AJ487">
        <f t="shared" si="393"/>
        <v>22100</v>
      </c>
      <c r="AK487">
        <f t="shared" si="394"/>
        <v>246214.6804488326</v>
      </c>
      <c r="AL487">
        <v>1</v>
      </c>
      <c r="AM487">
        <f t="shared" si="395"/>
        <v>295.45349979559052</v>
      </c>
      <c r="AN487">
        <f t="shared" si="369"/>
        <v>833.58856638111945</v>
      </c>
      <c r="AO487">
        <f t="shared" si="370"/>
        <v>-71.978878058076972</v>
      </c>
      <c r="AQ487">
        <f t="shared" si="396"/>
        <v>1.3417594034859715E-3</v>
      </c>
      <c r="AR487">
        <f t="shared" si="397"/>
        <v>-3.663003171516702</v>
      </c>
      <c r="AT487">
        <f t="shared" si="418"/>
        <v>-3513.6350930712838</v>
      </c>
      <c r="AU487">
        <f t="shared" si="419"/>
        <v>-395.39914986538435</v>
      </c>
      <c r="AV487">
        <f t="shared" si="407"/>
        <v>-3.0295313139601552</v>
      </c>
      <c r="AW487">
        <f t="shared" si="408"/>
        <v>683.66102970780889</v>
      </c>
      <c r="AX487">
        <f t="shared" si="409"/>
        <v>-4281.1385649472186</v>
      </c>
      <c r="AY487">
        <f t="shared" si="417"/>
        <v>-1.4124419718680075</v>
      </c>
      <c r="BA487">
        <f t="shared" si="398"/>
        <v>0.8155711604766317</v>
      </c>
      <c r="BB487">
        <f t="shared" si="410"/>
        <v>-1.7707627953792606</v>
      </c>
      <c r="BC487">
        <f t="shared" si="411"/>
        <v>-1.6170893420921477</v>
      </c>
      <c r="BD487">
        <f t="shared" si="399"/>
        <v>-272.65239450333786</v>
      </c>
      <c r="BF487">
        <f t="shared" si="400"/>
        <v>-54.367549110024981</v>
      </c>
      <c r="BG487">
        <f t="shared" si="401"/>
        <v>-187.62800298693503</v>
      </c>
      <c r="BH487">
        <f t="shared" si="412"/>
        <v>-7.6280029869350301</v>
      </c>
      <c r="BI487">
        <f t="shared" si="413"/>
        <v>-7.6280029869350301</v>
      </c>
      <c r="BJ487">
        <f t="shared" si="402"/>
        <v>0</v>
      </c>
      <c r="BK487">
        <f t="shared" si="414"/>
        <v>0</v>
      </c>
      <c r="BM487">
        <f t="shared" si="415"/>
        <v>-52.596786314645712</v>
      </c>
      <c r="BN487">
        <f t="shared" si="403"/>
        <v>-94.975608483597199</v>
      </c>
      <c r="BQ487" s="56">
        <f t="shared" si="416"/>
        <v>15.131198004905876</v>
      </c>
    </row>
    <row r="488" spans="1:69" x14ac:dyDescent="0.25">
      <c r="A488">
        <f t="shared" si="420"/>
        <v>1370000</v>
      </c>
      <c r="B488">
        <f t="shared" si="404"/>
        <v>1370</v>
      </c>
      <c r="C488">
        <f t="shared" si="373"/>
        <v>11.406431768461523</v>
      </c>
      <c r="D488">
        <f t="shared" si="374"/>
        <v>1.4830137957357421</v>
      </c>
      <c r="F488">
        <f t="shared" si="375"/>
        <v>1.3655871205946888E-5</v>
      </c>
      <c r="G488">
        <f t="shared" si="376"/>
        <v>1.2570636938230111E-3</v>
      </c>
      <c r="H488">
        <f t="shared" si="377"/>
        <v>-3.1403355863061773</v>
      </c>
      <c r="J488">
        <f t="shared" si="378"/>
        <v>15</v>
      </c>
      <c r="M488">
        <f t="shared" si="379"/>
        <v>1.0905868406591887E-3</v>
      </c>
      <c r="N488">
        <f t="shared" si="380"/>
        <v>-1.5707963250000001</v>
      </c>
      <c r="O488">
        <f t="shared" si="381"/>
        <v>350.36277216558739</v>
      </c>
      <c r="P488">
        <f t="shared" si="382"/>
        <v>1.5679421384016716</v>
      </c>
      <c r="Q488">
        <f t="shared" si="383"/>
        <v>296.53743318014966</v>
      </c>
      <c r="R488">
        <f t="shared" si="384"/>
        <v>1.5674240648695248</v>
      </c>
      <c r="S488">
        <f t="shared" si="385"/>
        <v>8.9075974232852115E-2</v>
      </c>
      <c r="T488">
        <f t="shared" si="386"/>
        <v>-1.4816021339835381</v>
      </c>
      <c r="U488">
        <f t="shared" si="387"/>
        <v>0.11389750288616243</v>
      </c>
      <c r="V488">
        <f t="shared" si="388"/>
        <v>-1.4566511165558189</v>
      </c>
      <c r="X488">
        <f t="shared" si="405"/>
        <v>-51.418140146041161</v>
      </c>
      <c r="Y488">
        <f t="shared" si="389"/>
        <v>-173.66380371145419</v>
      </c>
      <c r="Z488">
        <f t="shared" si="406"/>
        <v>6.336196288545807</v>
      </c>
      <c r="AC488">
        <v>1</v>
      </c>
      <c r="AD488">
        <f t="shared" si="390"/>
        <v>350.36134507042198</v>
      </c>
      <c r="AE488">
        <f t="shared" si="391"/>
        <v>-0.36190773559890527</v>
      </c>
      <c r="AF488">
        <f t="shared" si="392"/>
        <v>4.149038581002E-2</v>
      </c>
      <c r="AG488">
        <f t="shared" ref="AG488:AG551" si="421">AC488*AE488/(AE488^2+AF488^2)+AD488*AF488/(AE488^2+AF488^2)</f>
        <v>106.81885948209211</v>
      </c>
      <c r="AH488">
        <f t="shared" ref="AH488:AH551" si="422">AD488*AE488/(AE488^2+AF488^2)-AC488*AF488/(AE488^2+AF488^2)</f>
        <v>-955.8496692707057</v>
      </c>
      <c r="AJ488">
        <f t="shared" si="393"/>
        <v>22100</v>
      </c>
      <c r="AK488">
        <f t="shared" si="394"/>
        <v>247116.56572520194</v>
      </c>
      <c r="AL488">
        <v>1</v>
      </c>
      <c r="AM488">
        <f t="shared" si="395"/>
        <v>296.53574704758904</v>
      </c>
      <c r="AN488">
        <f t="shared" ref="AN488:AN551" si="423">AJ488*AL488/(AL488^2+AM488^2)+AK488*AM488/(AL488^2+AM488^2)</f>
        <v>833.58679138586604</v>
      </c>
      <c r="AO488">
        <f t="shared" ref="AO488:AO551" si="424">AK488*AL488/(AL488^2+AM488^2)-AJ488*AM488/(AL488^2+AM488^2)</f>
        <v>-71.716187408600106</v>
      </c>
      <c r="AQ488">
        <f t="shared" si="396"/>
        <v>1.3319834125441669E-3</v>
      </c>
      <c r="AR488">
        <f t="shared" si="397"/>
        <v>-3.6496345503710175</v>
      </c>
      <c r="AT488">
        <f t="shared" si="418"/>
        <v>-3488.3596969821006</v>
      </c>
      <c r="AU488">
        <f t="shared" si="419"/>
        <v>-391.12297610142451</v>
      </c>
      <c r="AV488">
        <f t="shared" si="407"/>
        <v>-3.0299366682564952</v>
      </c>
      <c r="AW488">
        <f t="shared" si="408"/>
        <v>684.76223128305128</v>
      </c>
      <c r="AX488">
        <f t="shared" si="409"/>
        <v>-4265.5995818892407</v>
      </c>
      <c r="AY488">
        <f t="shared" si="417"/>
        <v>-1.411623072767981</v>
      </c>
      <c r="BA488">
        <f t="shared" si="398"/>
        <v>0.81251043404957146</v>
      </c>
      <c r="BB488">
        <f t="shared" si="410"/>
        <v>-1.8034210643095927</v>
      </c>
      <c r="BC488">
        <f t="shared" si="411"/>
        <v>-1.6183135954885142</v>
      </c>
      <c r="BD488">
        <f t="shared" si="399"/>
        <v>-272.72253905608432</v>
      </c>
      <c r="BF488">
        <f t="shared" si="400"/>
        <v>-54.432211502025602</v>
      </c>
      <c r="BG488">
        <f t="shared" si="401"/>
        <v>-187.68008305933961</v>
      </c>
      <c r="BH488">
        <f t="shared" si="412"/>
        <v>-7.6800830593396086</v>
      </c>
      <c r="BI488">
        <f t="shared" si="413"/>
        <v>-7.6800830593396086</v>
      </c>
      <c r="BJ488">
        <f t="shared" si="402"/>
        <v>0</v>
      </c>
      <c r="BK488">
        <f t="shared" si="414"/>
        <v>0</v>
      </c>
      <c r="BM488">
        <f t="shared" si="415"/>
        <v>-52.628790437716006</v>
      </c>
      <c r="BN488">
        <f t="shared" si="403"/>
        <v>-94.957544003255251</v>
      </c>
      <c r="BQ488" s="56">
        <f t="shared" si="416"/>
        <v>15.098539735975544</v>
      </c>
    </row>
    <row r="489" spans="1:69" x14ac:dyDescent="0.25">
      <c r="A489">
        <f t="shared" si="420"/>
        <v>1375000</v>
      </c>
      <c r="B489">
        <f t="shared" si="404"/>
        <v>1375</v>
      </c>
      <c r="C489">
        <f t="shared" si="373"/>
        <v>11.44774169587631</v>
      </c>
      <c r="D489">
        <f t="shared" si="374"/>
        <v>1.4833313764946721</v>
      </c>
      <c r="F489">
        <f t="shared" si="375"/>
        <v>1.3556735078406634E-5</v>
      </c>
      <c r="G489">
        <f t="shared" si="376"/>
        <v>1.2524924330115043E-3</v>
      </c>
      <c r="H489">
        <f t="shared" si="377"/>
        <v>-3.1403401575669889</v>
      </c>
      <c r="J489">
        <f t="shared" si="378"/>
        <v>15</v>
      </c>
      <c r="M489">
        <f t="shared" si="379"/>
        <v>1.0866210703295188E-3</v>
      </c>
      <c r="N489">
        <f t="shared" si="380"/>
        <v>-1.5707963250000001</v>
      </c>
      <c r="O489">
        <f t="shared" si="381"/>
        <v>351.6414580165744</v>
      </c>
      <c r="P489">
        <f t="shared" si="382"/>
        <v>1.5679525172124962</v>
      </c>
      <c r="Q489">
        <f t="shared" si="383"/>
        <v>297.6196743007917</v>
      </c>
      <c r="R489">
        <f t="shared" si="384"/>
        <v>1.5674363275476997</v>
      </c>
      <c r="S489">
        <f t="shared" si="385"/>
        <v>8.8754617802249178E-2</v>
      </c>
      <c r="T489">
        <f t="shared" si="386"/>
        <v>-1.4819247683084855</v>
      </c>
      <c r="U489">
        <f t="shared" si="387"/>
        <v>0.11348867416887709</v>
      </c>
      <c r="V489">
        <f t="shared" si="388"/>
        <v>-1.457062613455264</v>
      </c>
      <c r="X489">
        <f t="shared" si="405"/>
        <v>-51.481009966313209</v>
      </c>
      <c r="Y489">
        <f t="shared" si="389"/>
        <v>-173.68663494729549</v>
      </c>
      <c r="Z489">
        <f t="shared" si="406"/>
        <v>6.313365052704512</v>
      </c>
      <c r="AC489">
        <v>1</v>
      </c>
      <c r="AD489">
        <f t="shared" si="390"/>
        <v>351.64003611082501</v>
      </c>
      <c r="AE489">
        <f t="shared" si="391"/>
        <v>-0.36455421845419594</v>
      </c>
      <c r="AF489">
        <f t="shared" si="392"/>
        <v>4.1641810575749998E-2</v>
      </c>
      <c r="AG489">
        <f t="shared" si="421"/>
        <v>106.05339510262849</v>
      </c>
      <c r="AH489">
        <f t="shared" si="422"/>
        <v>-952.46128873056171</v>
      </c>
      <c r="AJ489">
        <f t="shared" si="393"/>
        <v>22100</v>
      </c>
      <c r="AK489">
        <f t="shared" si="394"/>
        <v>248018.45100157129</v>
      </c>
      <c r="AL489">
        <v>1</v>
      </c>
      <c r="AM489">
        <f t="shared" si="395"/>
        <v>297.61799429958756</v>
      </c>
      <c r="AN489">
        <f t="shared" si="423"/>
        <v>833.58503571867766</v>
      </c>
      <c r="AO489">
        <f t="shared" si="424"/>
        <v>-71.455407171631464</v>
      </c>
      <c r="AQ489">
        <f t="shared" si="396"/>
        <v>1.3223138747353554E-3</v>
      </c>
      <c r="AR489">
        <f t="shared" si="397"/>
        <v>-3.6363631555222273</v>
      </c>
      <c r="AT489">
        <f t="shared" si="418"/>
        <v>-3463.3549015252256</v>
      </c>
      <c r="AU489">
        <f t="shared" si="419"/>
        <v>-386.90811124647638</v>
      </c>
      <c r="AV489">
        <f t="shared" si="407"/>
        <v>-3.0303391134849527</v>
      </c>
      <c r="AW489">
        <f t="shared" si="408"/>
        <v>685.85129034660054</v>
      </c>
      <c r="AX489">
        <f t="shared" si="409"/>
        <v>-4250.1726980931398</v>
      </c>
      <c r="AY489">
        <f t="shared" si="417"/>
        <v>-1.4108053359692674</v>
      </c>
      <c r="BA489">
        <f t="shared" si="398"/>
        <v>0.80947132934681221</v>
      </c>
      <c r="BB489">
        <f t="shared" si="410"/>
        <v>-1.835970578162224</v>
      </c>
      <c r="BC489">
        <f t="shared" si="411"/>
        <v>-1.6195337775156853</v>
      </c>
      <c r="BD489">
        <f t="shared" si="399"/>
        <v>-272.79245033655889</v>
      </c>
      <c r="BF489">
        <f t="shared" si="400"/>
        <v>-54.496646780490792</v>
      </c>
      <c r="BG489">
        <f t="shared" si="401"/>
        <v>-187.73206021660394</v>
      </c>
      <c r="BH489">
        <f t="shared" si="412"/>
        <v>-7.7320602166039407</v>
      </c>
      <c r="BI489">
        <f t="shared" si="413"/>
        <v>-7.7320602166039407</v>
      </c>
      <c r="BJ489">
        <f t="shared" si="402"/>
        <v>0</v>
      </c>
      <c r="BK489">
        <f t="shared" si="414"/>
        <v>0</v>
      </c>
      <c r="BM489">
        <f t="shared" si="415"/>
        <v>-52.660676202328567</v>
      </c>
      <c r="BN489">
        <f t="shared" si="403"/>
        <v>-94.939609880045083</v>
      </c>
      <c r="BQ489" s="56">
        <f t="shared" si="416"/>
        <v>15.065990222122911</v>
      </c>
    </row>
    <row r="490" spans="1:69" x14ac:dyDescent="0.25">
      <c r="A490">
        <f t="shared" si="420"/>
        <v>1380000</v>
      </c>
      <c r="B490">
        <f t="shared" si="404"/>
        <v>1380</v>
      </c>
      <c r="C490">
        <f t="shared" si="373"/>
        <v>11.489052769579203</v>
      </c>
      <c r="D490">
        <f t="shared" si="374"/>
        <v>1.4836466734412082</v>
      </c>
      <c r="F490">
        <f t="shared" si="375"/>
        <v>1.3458674582503285E-5</v>
      </c>
      <c r="G490">
        <f t="shared" si="376"/>
        <v>1.2479542985767826E-3</v>
      </c>
      <c r="H490">
        <f t="shared" si="377"/>
        <v>-3.1403446957014234</v>
      </c>
      <c r="J490">
        <f t="shared" si="378"/>
        <v>15</v>
      </c>
      <c r="M490">
        <f t="shared" si="379"/>
        <v>1.0826840374660062E-3</v>
      </c>
      <c r="N490">
        <f t="shared" si="380"/>
        <v>-1.5707963250000001</v>
      </c>
      <c r="O490">
        <f t="shared" si="381"/>
        <v>352.92014390516573</v>
      </c>
      <c r="P490">
        <f t="shared" si="382"/>
        <v>1.567962820815153</v>
      </c>
      <c r="Q490">
        <f t="shared" si="383"/>
        <v>298.70191546586346</v>
      </c>
      <c r="R490">
        <f t="shared" si="384"/>
        <v>1.5674485013668875</v>
      </c>
      <c r="S490">
        <f t="shared" si="385"/>
        <v>8.8435562623982666E-2</v>
      </c>
      <c r="T490">
        <f t="shared" si="386"/>
        <v>-1.4822450830542651</v>
      </c>
      <c r="U490">
        <f t="shared" si="387"/>
        <v>0.11308275094682121</v>
      </c>
      <c r="V490">
        <f t="shared" si="388"/>
        <v>-1.4574711667615041</v>
      </c>
      <c r="X490">
        <f t="shared" si="405"/>
        <v>-51.54365454406544</v>
      </c>
      <c r="Y490">
        <f t="shared" si="389"/>
        <v>-173.70930298073807</v>
      </c>
      <c r="Z490">
        <f t="shared" si="406"/>
        <v>6.2906970192619269</v>
      </c>
      <c r="AC490">
        <v>1</v>
      </c>
      <c r="AD490">
        <f t="shared" si="390"/>
        <v>352.91872715122804</v>
      </c>
      <c r="AE490">
        <f t="shared" si="391"/>
        <v>-0.36721034241278433</v>
      </c>
      <c r="AF490">
        <f t="shared" si="392"/>
        <v>4.1793235341480002E-2</v>
      </c>
      <c r="AG490">
        <f t="shared" si="421"/>
        <v>105.29609404229548</v>
      </c>
      <c r="AH490">
        <f t="shared" si="422"/>
        <v>-949.09653258242815</v>
      </c>
      <c r="AJ490">
        <f t="shared" si="393"/>
        <v>22100</v>
      </c>
      <c r="AK490">
        <f t="shared" si="394"/>
        <v>248920.33627794063</v>
      </c>
      <c r="AL490">
        <v>1</v>
      </c>
      <c r="AM490">
        <f t="shared" si="395"/>
        <v>298.70024155158603</v>
      </c>
      <c r="AN490">
        <f t="shared" si="423"/>
        <v>833.5832990999512</v>
      </c>
      <c r="AO490">
        <f t="shared" si="424"/>
        <v>-71.196516582753773</v>
      </c>
      <c r="AQ490">
        <f t="shared" si="396"/>
        <v>1.3127492500591721E-3</v>
      </c>
      <c r="AR490">
        <f t="shared" si="397"/>
        <v>-3.6231879301633154</v>
      </c>
      <c r="AT490">
        <f t="shared" si="418"/>
        <v>-3438.6168740440194</v>
      </c>
      <c r="AU490">
        <f t="shared" si="419"/>
        <v>-382.75346278876771</v>
      </c>
      <c r="AV490">
        <f t="shared" si="407"/>
        <v>-3.0307386807114192</v>
      </c>
      <c r="AW490">
        <f t="shared" si="408"/>
        <v>686.92838523616842</v>
      </c>
      <c r="AX490">
        <f t="shared" si="409"/>
        <v>-4234.8567079218883</v>
      </c>
      <c r="AY490">
        <f t="shared" si="417"/>
        <v>-1.409988750963985</v>
      </c>
      <c r="BA490">
        <f t="shared" si="398"/>
        <v>0.80645361586304254</v>
      </c>
      <c r="BB490">
        <f t="shared" si="410"/>
        <v>-1.8684121303864734</v>
      </c>
      <c r="BC490">
        <f t="shared" si="411"/>
        <v>-1.6207499297474341</v>
      </c>
      <c r="BD490">
        <f t="shared" si="399"/>
        <v>-272.8621307267631</v>
      </c>
      <c r="BF490">
        <f t="shared" si="400"/>
        <v>-54.560856617048721</v>
      </c>
      <c r="BG490">
        <f t="shared" si="401"/>
        <v>-187.78393543840789</v>
      </c>
      <c r="BH490">
        <f t="shared" si="412"/>
        <v>-7.7839354384078945</v>
      </c>
      <c r="BI490">
        <f t="shared" si="413"/>
        <v>-7.7839354384078945</v>
      </c>
      <c r="BJ490">
        <f t="shared" si="402"/>
        <v>0</v>
      </c>
      <c r="BK490">
        <f t="shared" si="414"/>
        <v>0</v>
      </c>
      <c r="BM490">
        <f t="shared" si="415"/>
        <v>-52.692444486662247</v>
      </c>
      <c r="BN490">
        <f t="shared" si="403"/>
        <v>-94.92180471164481</v>
      </c>
      <c r="BQ490" s="56">
        <f t="shared" si="416"/>
        <v>15.033548669898662</v>
      </c>
    </row>
    <row r="491" spans="1:69" x14ac:dyDescent="0.25">
      <c r="A491">
        <f t="shared" si="420"/>
        <v>1385000</v>
      </c>
      <c r="B491">
        <f t="shared" si="404"/>
        <v>1385</v>
      </c>
      <c r="C491">
        <f t="shared" si="373"/>
        <v>11.53036497724942</v>
      </c>
      <c r="D491">
        <f t="shared" si="374"/>
        <v>1.4839597110603735</v>
      </c>
      <c r="F491">
        <f t="shared" si="375"/>
        <v>1.3361674213392645E-5</v>
      </c>
      <c r="G491">
        <f t="shared" si="376"/>
        <v>1.243448931730774E-3</v>
      </c>
      <c r="H491">
        <f t="shared" si="377"/>
        <v>-3.1403492010682696</v>
      </c>
      <c r="J491">
        <f t="shared" si="378"/>
        <v>15</v>
      </c>
      <c r="M491">
        <f t="shared" si="379"/>
        <v>1.0787754308325549E-3</v>
      </c>
      <c r="N491">
        <f t="shared" si="380"/>
        <v>-1.5707963250000001</v>
      </c>
      <c r="O491">
        <f t="shared" si="381"/>
        <v>354.19882983095397</v>
      </c>
      <c r="P491">
        <f t="shared" si="382"/>
        <v>1.5679730500241618</v>
      </c>
      <c r="Q491">
        <f t="shared" si="383"/>
        <v>299.78415667488383</v>
      </c>
      <c r="R491">
        <f t="shared" si="384"/>
        <v>1.5674605872894456</v>
      </c>
      <c r="S491">
        <f t="shared" si="385"/>
        <v>8.8118784164683772E-2</v>
      </c>
      <c r="T491">
        <f t="shared" si="386"/>
        <v>-1.4825631030811679</v>
      </c>
      <c r="U491">
        <f t="shared" si="387"/>
        <v>0.11267970255859687</v>
      </c>
      <c r="V491">
        <f t="shared" si="388"/>
        <v>-1.4578768078119915</v>
      </c>
      <c r="X491">
        <f t="shared" si="405"/>
        <v>-51.606075477143342</v>
      </c>
      <c r="Y491">
        <f t="shared" si="389"/>
        <v>-173.73180954753653</v>
      </c>
      <c r="Z491">
        <f t="shared" si="406"/>
        <v>6.2681904524634717</v>
      </c>
      <c r="AC491">
        <v>1</v>
      </c>
      <c r="AD491">
        <f t="shared" si="390"/>
        <v>354.19741819163096</v>
      </c>
      <c r="AE491">
        <f t="shared" si="391"/>
        <v>-0.36987610747467092</v>
      </c>
      <c r="AF491">
        <f t="shared" si="392"/>
        <v>4.1944660107209999E-2</v>
      </c>
      <c r="AG491">
        <f t="shared" si="421"/>
        <v>104.54684113573776</v>
      </c>
      <c r="AH491">
        <f t="shared" si="422"/>
        <v>-945.75515802643474</v>
      </c>
      <c r="AJ491">
        <f t="shared" si="393"/>
        <v>22100</v>
      </c>
      <c r="AK491">
        <f t="shared" si="394"/>
        <v>249822.22155430997</v>
      </c>
      <c r="AL491">
        <v>1</v>
      </c>
      <c r="AM491">
        <f t="shared" si="395"/>
        <v>299.78248880358456</v>
      </c>
      <c r="AN491">
        <f t="shared" si="423"/>
        <v>833.58158125512</v>
      </c>
      <c r="AO491">
        <f t="shared" si="424"/>
        <v>-70.939495177380067</v>
      </c>
      <c r="AQ491">
        <f t="shared" si="396"/>
        <v>1.3032880262628178E-3</v>
      </c>
      <c r="AR491">
        <f t="shared" si="397"/>
        <v>-3.610107832748005</v>
      </c>
      <c r="AT491">
        <f t="shared" si="418"/>
        <v>-3414.1418492068233</v>
      </c>
      <c r="AU491">
        <f t="shared" si="419"/>
        <v>-378.65796144642036</v>
      </c>
      <c r="AV491">
        <f t="shared" si="407"/>
        <v>-3.0311354005629814</v>
      </c>
      <c r="AW491">
        <f t="shared" si="408"/>
        <v>687.99369101962577</v>
      </c>
      <c r="AX491">
        <f t="shared" si="409"/>
        <v>-4219.6504229244092</v>
      </c>
      <c r="AY491">
        <f t="shared" si="417"/>
        <v>-1.4091733074117145</v>
      </c>
      <c r="BA491">
        <f t="shared" si="398"/>
        <v>0.80345706634989145</v>
      </c>
      <c r="BB491">
        <f t="shared" si="410"/>
        <v>-1.9007465060899542</v>
      </c>
      <c r="BC491">
        <f t="shared" si="411"/>
        <v>-1.6219620931512668</v>
      </c>
      <c r="BD491">
        <f t="shared" si="399"/>
        <v>-272.93158257396226</v>
      </c>
      <c r="BF491">
        <f t="shared" si="400"/>
        <v>-54.62484266518841</v>
      </c>
      <c r="BG491">
        <f t="shared" si="401"/>
        <v>-187.83570968968536</v>
      </c>
      <c r="BH491">
        <f t="shared" si="412"/>
        <v>-7.8357096896853591</v>
      </c>
      <c r="BI491">
        <f t="shared" si="413"/>
        <v>-7.8357096896853591</v>
      </c>
      <c r="BJ491">
        <f t="shared" si="402"/>
        <v>0</v>
      </c>
      <c r="BK491">
        <f t="shared" si="414"/>
        <v>0</v>
      </c>
      <c r="BM491">
        <f t="shared" si="415"/>
        <v>-52.724096159098444</v>
      </c>
      <c r="BN491">
        <f t="shared" si="403"/>
        <v>-94.904127115723057</v>
      </c>
      <c r="BQ491" s="56">
        <f t="shared" si="416"/>
        <v>15.001214294195183</v>
      </c>
    </row>
    <row r="492" spans="1:69" x14ac:dyDescent="0.25">
      <c r="A492">
        <f t="shared" si="420"/>
        <v>1390000</v>
      </c>
      <c r="B492">
        <f t="shared" si="404"/>
        <v>1390</v>
      </c>
      <c r="C492">
        <f t="shared" si="373"/>
        <v>11.571678306741779</v>
      </c>
      <c r="D492">
        <f t="shared" si="374"/>
        <v>1.4842705134893113</v>
      </c>
      <c r="F492">
        <f t="shared" si="375"/>
        <v>1.3265718744599208E-5</v>
      </c>
      <c r="G492">
        <f t="shared" si="376"/>
        <v>1.2389759788481577E-3</v>
      </c>
      <c r="H492">
        <f t="shared" si="377"/>
        <v>-3.140353674021152</v>
      </c>
      <c r="J492">
        <f t="shared" si="378"/>
        <v>15</v>
      </c>
      <c r="M492">
        <f t="shared" si="379"/>
        <v>1.0748949436712866E-3</v>
      </c>
      <c r="N492">
        <f t="shared" si="380"/>
        <v>-1.5707963250000001</v>
      </c>
      <c r="O492">
        <f t="shared" si="381"/>
        <v>355.47751579353786</v>
      </c>
      <c r="P492">
        <f t="shared" si="382"/>
        <v>1.5679832056423233</v>
      </c>
      <c r="Q492">
        <f t="shared" si="383"/>
        <v>300.8663979273785</v>
      </c>
      <c r="R492">
        <f t="shared" si="384"/>
        <v>1.5674725862638843</v>
      </c>
      <c r="S492">
        <f t="shared" si="385"/>
        <v>8.7804258237087388E-2</v>
      </c>
      <c r="T492">
        <f t="shared" si="386"/>
        <v>-1.4828788528964176</v>
      </c>
      <c r="U492">
        <f t="shared" si="387"/>
        <v>0.11227949876983248</v>
      </c>
      <c r="V492">
        <f t="shared" si="388"/>
        <v>-1.4582795675028386</v>
      </c>
      <c r="X492">
        <f t="shared" si="405"/>
        <v>-51.668274346558889</v>
      </c>
      <c r="Y492">
        <f t="shared" si="389"/>
        <v>-173.75415635903022</v>
      </c>
      <c r="Z492">
        <f t="shared" si="406"/>
        <v>6.2458436409697811</v>
      </c>
      <c r="AC492">
        <v>1</v>
      </c>
      <c r="AD492">
        <f t="shared" si="390"/>
        <v>355.47610923203399</v>
      </c>
      <c r="AE492">
        <f t="shared" si="391"/>
        <v>-0.37255151363985545</v>
      </c>
      <c r="AF492">
        <f t="shared" si="392"/>
        <v>4.2096084872940004E-2</v>
      </c>
      <c r="AG492">
        <f t="shared" si="421"/>
        <v>103.80552323249489</v>
      </c>
      <c r="AH492">
        <f t="shared" si="422"/>
        <v>-942.43692552856601</v>
      </c>
      <c r="AJ492">
        <f t="shared" si="393"/>
        <v>22100</v>
      </c>
      <c r="AK492">
        <f t="shared" si="394"/>
        <v>250724.10683067932</v>
      </c>
      <c r="AL492">
        <v>1</v>
      </c>
      <c r="AM492">
        <f t="shared" si="395"/>
        <v>300.86473605558302</v>
      </c>
      <c r="AN492">
        <f t="shared" si="423"/>
        <v>833.57988191454831</v>
      </c>
      <c r="AO492">
        <f t="shared" si="424"/>
        <v>-70.684322785361601</v>
      </c>
      <c r="AQ492">
        <f t="shared" si="396"/>
        <v>1.2939287182432693E-3</v>
      </c>
      <c r="AR492">
        <f t="shared" si="397"/>
        <v>-3.5971218367162883</v>
      </c>
      <c r="AT492">
        <f t="shared" si="418"/>
        <v>-3389.9261275989443</v>
      </c>
      <c r="AU492">
        <f t="shared" si="419"/>
        <v>-374.62056059444166</v>
      </c>
      <c r="AV492">
        <f t="shared" si="407"/>
        <v>-3.0315293032356072</v>
      </c>
      <c r="AW492">
        <f t="shared" si="408"/>
        <v>689.04737956683618</v>
      </c>
      <c r="AX492">
        <f t="shared" si="409"/>
        <v>-4204.5526715311489</v>
      </c>
      <c r="AY492">
        <f t="shared" si="417"/>
        <v>-1.4083589951362894</v>
      </c>
      <c r="BA492">
        <f t="shared" si="398"/>
        <v>0.80048145675890536</v>
      </c>
      <c r="BB492">
        <f t="shared" si="410"/>
        <v>-1.9329744821530979</v>
      </c>
      <c r="BC492">
        <f t="shared" si="411"/>
        <v>-1.6231703080993178</v>
      </c>
      <c r="BD492">
        <f t="shared" si="399"/>
        <v>-273.00080819130932</v>
      </c>
      <c r="BF492">
        <f t="shared" si="400"/>
        <v>-54.688606560520256</v>
      </c>
      <c r="BG492">
        <f t="shared" si="401"/>
        <v>-187.88738392089391</v>
      </c>
      <c r="BH492">
        <f t="shared" si="412"/>
        <v>-7.8873839208939103</v>
      </c>
      <c r="BI492">
        <f t="shared" si="413"/>
        <v>-7.8873839208939103</v>
      </c>
      <c r="BJ492">
        <f t="shared" si="402"/>
        <v>0</v>
      </c>
      <c r="BK492">
        <f t="shared" si="414"/>
        <v>0</v>
      </c>
      <c r="BM492">
        <f t="shared" si="415"/>
        <v>-52.755632078367157</v>
      </c>
      <c r="BN492">
        <f t="shared" si="403"/>
        <v>-94.886575729584578</v>
      </c>
      <c r="BQ492" s="56">
        <f t="shared" si="416"/>
        <v>14.968986318132039</v>
      </c>
    </row>
    <row r="493" spans="1:69" x14ac:dyDescent="0.25">
      <c r="A493">
        <f t="shared" si="420"/>
        <v>1395000</v>
      </c>
      <c r="B493">
        <f t="shared" si="404"/>
        <v>1395</v>
      </c>
      <c r="C493">
        <f t="shared" si="373"/>
        <v>11.6129927460836</v>
      </c>
      <c r="D493">
        <f t="shared" si="374"/>
        <v>1.4845791045234231</v>
      </c>
      <c r="F493">
        <f t="shared" si="375"/>
        <v>1.3170793222040292E-5</v>
      </c>
      <c r="G493">
        <f t="shared" si="376"/>
        <v>1.2345350913738346E-3</v>
      </c>
      <c r="H493">
        <f t="shared" si="377"/>
        <v>-3.1403581149086262</v>
      </c>
      <c r="J493">
        <f t="shared" si="378"/>
        <v>15</v>
      </c>
      <c r="M493">
        <f t="shared" si="379"/>
        <v>1.0710422736222856E-3</v>
      </c>
      <c r="N493">
        <f t="shared" si="380"/>
        <v>-1.5707963250000001</v>
      </c>
      <c r="O493">
        <f t="shared" si="381"/>
        <v>356.75620179252161</v>
      </c>
      <c r="P493">
        <f t="shared" si="382"/>
        <v>1.5679932884609289</v>
      </c>
      <c r="Q493">
        <f t="shared" si="383"/>
        <v>301.94863922287993</v>
      </c>
      <c r="R493">
        <f t="shared" si="384"/>
        <v>1.5674844992251162</v>
      </c>
      <c r="S493">
        <f t="shared" si="385"/>
        <v>8.749196099397516E-2</v>
      </c>
      <c r="T493">
        <f t="shared" si="386"/>
        <v>-1.4831923566604002</v>
      </c>
      <c r="U493">
        <f t="shared" si="387"/>
        <v>0.11188210976582588</v>
      </c>
      <c r="V493">
        <f t="shared" si="388"/>
        <v>-1.4586794762965276</v>
      </c>
      <c r="X493">
        <f t="shared" si="405"/>
        <v>-51.730252716724642</v>
      </c>
      <c r="Y493">
        <f t="shared" si="389"/>
        <v>-173.77634510256937</v>
      </c>
      <c r="Z493">
        <f t="shared" si="406"/>
        <v>6.2236548974306345</v>
      </c>
      <c r="AC493">
        <v>1</v>
      </c>
      <c r="AD493">
        <f t="shared" si="390"/>
        <v>356.75480027243702</v>
      </c>
      <c r="AE493">
        <f t="shared" si="391"/>
        <v>-0.3752365609083379</v>
      </c>
      <c r="AF493">
        <f t="shared" si="392"/>
        <v>4.2247509638670001E-2</v>
      </c>
      <c r="AG493">
        <f t="shared" si="421"/>
        <v>103.07202915503328</v>
      </c>
      <c r="AH493">
        <f t="shared" si="422"/>
        <v>-939.14159876685414</v>
      </c>
      <c r="AJ493">
        <f t="shared" si="393"/>
        <v>22100</v>
      </c>
      <c r="AK493">
        <f t="shared" si="394"/>
        <v>251625.99210704866</v>
      </c>
      <c r="AL493">
        <v>1</v>
      </c>
      <c r="AM493">
        <f t="shared" si="395"/>
        <v>301.94698330758155</v>
      </c>
      <c r="AN493">
        <f t="shared" si="423"/>
        <v>833.57820081342265</v>
      </c>
      <c r="AO493">
        <f t="shared" si="424"/>
        <v>-70.430979525711351</v>
      </c>
      <c r="AQ493">
        <f t="shared" si="396"/>
        <v>1.2846698674644638E-3</v>
      </c>
      <c r="AR493">
        <f t="shared" si="397"/>
        <v>-3.5842289302258541</v>
      </c>
      <c r="AT493">
        <f t="shared" si="418"/>
        <v>-3365.9660743486861</v>
      </c>
      <c r="AU493">
        <f t="shared" si="419"/>
        <v>-370.64023570777113</v>
      </c>
      <c r="AV493">
        <f t="shared" si="407"/>
        <v>-3.0319204185016724</v>
      </c>
      <c r="AW493">
        <f t="shared" si="408"/>
        <v>690.08961961964462</v>
      </c>
      <c r="AX493">
        <f t="shared" si="409"/>
        <v>-4189.5622987560382</v>
      </c>
      <c r="AY493">
        <f t="shared" si="417"/>
        <v>-1.4075458041226632</v>
      </c>
      <c r="BA493">
        <f t="shared" si="398"/>
        <v>0.7975265661857156</v>
      </c>
      <c r="BB493">
        <f t="shared" si="410"/>
        <v>-1.9650968273417107</v>
      </c>
      <c r="BC493">
        <f t="shared" si="411"/>
        <v>-1.6243746143790092</v>
      </c>
      <c r="BD493">
        <f t="shared" si="399"/>
        <v>-273.06980985845559</v>
      </c>
      <c r="BF493">
        <f t="shared" si="400"/>
        <v>-54.752149921031886</v>
      </c>
      <c r="BG493">
        <f t="shared" si="401"/>
        <v>-187.93895906827962</v>
      </c>
      <c r="BH493">
        <f t="shared" si="412"/>
        <v>-7.9389590682796154</v>
      </c>
      <c r="BI493">
        <f t="shared" si="413"/>
        <v>-7.9389590682796154</v>
      </c>
      <c r="BJ493">
        <f t="shared" si="402"/>
        <v>0</v>
      </c>
      <c r="BK493">
        <f t="shared" si="414"/>
        <v>0</v>
      </c>
      <c r="BM493">
        <f t="shared" si="415"/>
        <v>-52.787053093690169</v>
      </c>
      <c r="BN493">
        <f t="shared" si="403"/>
        <v>-94.869149209824045</v>
      </c>
      <c r="BQ493" s="56">
        <f t="shared" si="416"/>
        <v>14.936863972943426</v>
      </c>
    </row>
    <row r="494" spans="1:69" x14ac:dyDescent="0.25">
      <c r="A494">
        <f t="shared" si="420"/>
        <v>1400000</v>
      </c>
      <c r="B494">
        <f t="shared" si="404"/>
        <v>1400</v>
      </c>
      <c r="C494">
        <f t="shared" si="373"/>
        <v>11.654308283471664</v>
      </c>
      <c r="D494">
        <f t="shared" si="374"/>
        <v>1.4848855076223828</v>
      </c>
      <c r="F494">
        <f t="shared" si="375"/>
        <v>1.307688295819935E-5</v>
      </c>
      <c r="G494">
        <f t="shared" si="376"/>
        <v>1.230125925732383E-3</v>
      </c>
      <c r="H494">
        <f t="shared" si="377"/>
        <v>-3.1403625240742676</v>
      </c>
      <c r="J494">
        <f t="shared" si="378"/>
        <v>15</v>
      </c>
      <c r="M494">
        <f t="shared" si="379"/>
        <v>1.0672171226450632E-3</v>
      </c>
      <c r="N494">
        <f t="shared" si="380"/>
        <v>-1.5707963250000001</v>
      </c>
      <c r="O494">
        <f t="shared" si="381"/>
        <v>358.03488782751526</v>
      </c>
      <c r="P494">
        <f t="shared" si="382"/>
        <v>1.5680032992599653</v>
      </c>
      <c r="Q494">
        <f t="shared" si="383"/>
        <v>303.03088056092753</v>
      </c>
      <c r="R494">
        <f t="shared" si="384"/>
        <v>1.567496327094698</v>
      </c>
      <c r="S494">
        <f t="shared" si="385"/>
        <v>8.7181868922244443E-2</v>
      </c>
      <c r="T494">
        <f t="shared" si="386"/>
        <v>-1.4835036381927609</v>
      </c>
      <c r="U494">
        <f t="shared" si="387"/>
        <v>0.11148750614433779</v>
      </c>
      <c r="V494">
        <f t="shared" si="388"/>
        <v>-1.459076564229457</v>
      </c>
      <c r="X494">
        <f t="shared" si="405"/>
        <v>-51.792012135683827</v>
      </c>
      <c r="Y494">
        <f t="shared" si="389"/>
        <v>-173.7983774419319</v>
      </c>
      <c r="Z494">
        <f t="shared" si="406"/>
        <v>6.2016225580680953</v>
      </c>
      <c r="AC494">
        <v>1</v>
      </c>
      <c r="AD494">
        <f t="shared" si="390"/>
        <v>358.03349131284</v>
      </c>
      <c r="AE494">
        <f t="shared" si="391"/>
        <v>-0.37793124928011834</v>
      </c>
      <c r="AF494">
        <f t="shared" si="392"/>
        <v>4.2398934404399999E-2</v>
      </c>
      <c r="AG494">
        <f t="shared" si="421"/>
        <v>102.34624965779112</v>
      </c>
      <c r="AH494">
        <f t="shared" si="422"/>
        <v>-935.86894457861797</v>
      </c>
      <c r="AJ494">
        <f t="shared" si="393"/>
        <v>22100</v>
      </c>
      <c r="AK494">
        <f t="shared" si="394"/>
        <v>252527.87738341806</v>
      </c>
      <c r="AL494">
        <v>1</v>
      </c>
      <c r="AM494">
        <f t="shared" si="395"/>
        <v>303.02923055958001</v>
      </c>
      <c r="AN494">
        <f t="shared" si="423"/>
        <v>833.57653769165006</v>
      </c>
      <c r="AO494">
        <f t="shared" si="424"/>
        <v>-70.179445801440792</v>
      </c>
      <c r="AQ494">
        <f t="shared" si="396"/>
        <v>1.2755100413890253E-3</v>
      </c>
      <c r="AR494">
        <f t="shared" si="397"/>
        <v>-3.5714281158892711</v>
      </c>
      <c r="AT494">
        <f t="shared" si="418"/>
        <v>-3342.2581177865572</v>
      </c>
      <c r="AU494">
        <f t="shared" si="419"/>
        <v>-366.71598381989207</v>
      </c>
      <c r="AV494">
        <f t="shared" si="407"/>
        <v>-3.0323087757173268</v>
      </c>
      <c r="AW494">
        <f t="shared" si="408"/>
        <v>691.12057686008916</v>
      </c>
      <c r="AX494">
        <f t="shared" si="409"/>
        <v>-4174.6781659047701</v>
      </c>
      <c r="AY494">
        <f t="shared" si="417"/>
        <v>-1.4067337245138443</v>
      </c>
      <c r="BA494">
        <f t="shared" si="398"/>
        <v>0.79459217681536187</v>
      </c>
      <c r="BB494">
        <f t="shared" si="410"/>
        <v>-1.9971143024176652</v>
      </c>
      <c r="BC494">
        <f t="shared" si="411"/>
        <v>-1.6255750512034826</v>
      </c>
      <c r="BD494">
        <f t="shared" si="399"/>
        <v>-273.13858982214856</v>
      </c>
      <c r="BF494">
        <f t="shared" si="400"/>
        <v>-54.815474347339347</v>
      </c>
      <c r="BG494">
        <f t="shared" si="401"/>
        <v>-187.99043605413516</v>
      </c>
      <c r="BH494">
        <f t="shared" si="412"/>
        <v>-7.9904360541351593</v>
      </c>
      <c r="BI494">
        <f t="shared" si="413"/>
        <v>-7.9904360541351593</v>
      </c>
      <c r="BJ494">
        <f t="shared" si="402"/>
        <v>0</v>
      </c>
      <c r="BK494">
        <f t="shared" si="414"/>
        <v>0</v>
      </c>
      <c r="BM494">
        <f t="shared" si="415"/>
        <v>-52.81836004492169</v>
      </c>
      <c r="BN494">
        <f t="shared" si="403"/>
        <v>-94.851846231986585</v>
      </c>
      <c r="BQ494" s="56">
        <f t="shared" si="416"/>
        <v>14.904846497867473</v>
      </c>
    </row>
    <row r="495" spans="1:69" x14ac:dyDescent="0.25">
      <c r="A495">
        <f t="shared" si="420"/>
        <v>1405000</v>
      </c>
      <c r="B495">
        <f t="shared" si="404"/>
        <v>1405</v>
      </c>
      <c r="C495">
        <f t="shared" si="373"/>
        <v>11.695624907269213</v>
      </c>
      <c r="D495">
        <f t="shared" si="374"/>
        <v>1.4851897459160204</v>
      </c>
      <c r="F495">
        <f t="shared" si="375"/>
        <v>1.2983973526444134E-5</v>
      </c>
      <c r="G495">
        <f t="shared" si="376"/>
        <v>1.2257481432394423E-3</v>
      </c>
      <c r="H495">
        <f t="shared" si="377"/>
        <v>-3.1403669018567606</v>
      </c>
      <c r="J495">
        <f t="shared" si="378"/>
        <v>15</v>
      </c>
      <c r="M495">
        <f t="shared" si="379"/>
        <v>1.0634191969416998E-3</v>
      </c>
      <c r="N495">
        <f t="shared" si="380"/>
        <v>-1.5707963250000001</v>
      </c>
      <c r="O495">
        <f t="shared" si="381"/>
        <v>359.31357389813445</v>
      </c>
      <c r="P495">
        <f t="shared" si="382"/>
        <v>1.5680132388083168</v>
      </c>
      <c r="Q495">
        <f t="shared" si="383"/>
        <v>304.11312194106688</v>
      </c>
      <c r="R495">
        <f t="shared" si="384"/>
        <v>1.567508070781068</v>
      </c>
      <c r="S495">
        <f t="shared" si="385"/>
        <v>8.6873958837100682E-2</v>
      </c>
      <c r="T495">
        <f t="shared" si="386"/>
        <v>-1.4838127209783754</v>
      </c>
      <c r="U495">
        <f t="shared" si="387"/>
        <v>0.11109565890853242</v>
      </c>
      <c r="V495">
        <f t="shared" si="388"/>
        <v>-1.4594708609193345</v>
      </c>
      <c r="X495">
        <f t="shared" si="405"/>
        <v>-51.853554135336488</v>
      </c>
      <c r="Y495">
        <f t="shared" si="389"/>
        <v>-173.82025501773177</v>
      </c>
      <c r="Z495">
        <f t="shared" si="406"/>
        <v>6.1797449822682324</v>
      </c>
      <c r="AC495">
        <v>1</v>
      </c>
      <c r="AD495">
        <f t="shared" si="390"/>
        <v>359.31218235324303</v>
      </c>
      <c r="AE495">
        <f t="shared" si="391"/>
        <v>-0.38063557875519677</v>
      </c>
      <c r="AF495">
        <f t="shared" si="392"/>
        <v>4.2550359170130003E-2</v>
      </c>
      <c r="AG495">
        <f t="shared" si="421"/>
        <v>101.62807738720693</v>
      </c>
      <c r="AH495">
        <f t="shared" si="422"/>
        <v>-932.61873290871654</v>
      </c>
      <c r="AJ495">
        <f t="shared" si="393"/>
        <v>22100</v>
      </c>
      <c r="AK495">
        <f t="shared" si="394"/>
        <v>253429.7626597874</v>
      </c>
      <c r="AL495">
        <v>1</v>
      </c>
      <c r="AM495">
        <f t="shared" si="395"/>
        <v>304.11147781157854</v>
      </c>
      <c r="AN495">
        <f t="shared" si="423"/>
        <v>833.57489229375722</v>
      </c>
      <c r="AO495">
        <f t="shared" si="424"/>
        <v>-69.929702294506953</v>
      </c>
      <c r="AQ495">
        <f t="shared" si="396"/>
        <v>1.2664478329241229E-3</v>
      </c>
      <c r="AR495">
        <f t="shared" si="397"/>
        <v>-3.5587184105167853</v>
      </c>
      <c r="AT495">
        <f t="shared" si="418"/>
        <v>-3318.7987481367145</v>
      </c>
      <c r="AU495">
        <f t="shared" si="419"/>
        <v>-362.84682299651456</v>
      </c>
      <c r="AV495">
        <f t="shared" si="407"/>
        <v>-3.032694403829713</v>
      </c>
      <c r="AW495">
        <f t="shared" si="408"/>
        <v>692.14041397687618</v>
      </c>
      <c r="AX495">
        <f t="shared" si="409"/>
        <v>-4159.8991502891868</v>
      </c>
      <c r="AY495">
        <f t="shared" si="417"/>
        <v>-1.4059227466079041</v>
      </c>
      <c r="BA495">
        <f t="shared" si="398"/>
        <v>0.79167807386874878</v>
      </c>
      <c r="BB495">
        <f t="shared" si="410"/>
        <v>-2.0290276602477113</v>
      </c>
      <c r="BC495">
        <f t="shared" si="411"/>
        <v>-1.6267716572218089</v>
      </c>
      <c r="BD495">
        <f t="shared" si="399"/>
        <v>-273.20715029681696</v>
      </c>
      <c r="BF495">
        <f t="shared" si="400"/>
        <v>-54.878581422934033</v>
      </c>
      <c r="BG495">
        <f t="shared" si="401"/>
        <v>-188.04181578705271</v>
      </c>
      <c r="BH495">
        <f t="shared" si="412"/>
        <v>-8.0418157870527125</v>
      </c>
      <c r="BI495">
        <f t="shared" si="413"/>
        <v>-8.0418157870527125</v>
      </c>
      <c r="BJ495">
        <f t="shared" si="402"/>
        <v>0</v>
      </c>
      <c r="BK495">
        <f t="shared" si="414"/>
        <v>0</v>
      </c>
      <c r="BM495">
        <f t="shared" si="415"/>
        <v>-52.849553762686327</v>
      </c>
      <c r="BN495">
        <f t="shared" si="403"/>
        <v>-94.834665490235736</v>
      </c>
      <c r="BQ495" s="56">
        <f t="shared" si="416"/>
        <v>14.872933140037425</v>
      </c>
    </row>
    <row r="496" spans="1:69" x14ac:dyDescent="0.25">
      <c r="A496">
        <f t="shared" si="420"/>
        <v>1410000</v>
      </c>
      <c r="B496">
        <f t="shared" si="404"/>
        <v>1410</v>
      </c>
      <c r="C496">
        <f t="shared" si="373"/>
        <v>11.736942606003046</v>
      </c>
      <c r="D496">
        <f t="shared" si="374"/>
        <v>1.4854918422100849</v>
      </c>
      <c r="F496">
        <f t="shared" si="375"/>
        <v>1.2892050755485687E-5</v>
      </c>
      <c r="G496">
        <f t="shared" si="376"/>
        <v>1.2214014100149879E-3</v>
      </c>
      <c r="H496">
        <f t="shared" si="377"/>
        <v>-3.1403712485899851</v>
      </c>
      <c r="J496">
        <f t="shared" si="378"/>
        <v>15</v>
      </c>
      <c r="M496">
        <f t="shared" si="379"/>
        <v>1.059648206881623E-3</v>
      </c>
      <c r="N496">
        <f t="shared" si="380"/>
        <v>-1.5707963250000001</v>
      </c>
      <c r="O496">
        <f t="shared" si="381"/>
        <v>360.59226000400008</v>
      </c>
      <c r="P496">
        <f t="shared" si="382"/>
        <v>1.5680231078639617</v>
      </c>
      <c r="Q496">
        <f t="shared" si="383"/>
        <v>305.19536336285034</v>
      </c>
      <c r="R496">
        <f t="shared" si="384"/>
        <v>1.5675197311797797</v>
      </c>
      <c r="S496">
        <f t="shared" si="385"/>
        <v>8.6568207876370012E-2</v>
      </c>
      <c r="T496">
        <f t="shared" si="386"/>
        <v>-1.4841196281731956</v>
      </c>
      <c r="U496">
        <f t="shared" si="387"/>
        <v>0.11070653946006125</v>
      </c>
      <c r="V496">
        <f t="shared" si="388"/>
        <v>-1.4598623955724157</v>
      </c>
      <c r="X496">
        <f t="shared" si="405"/>
        <v>-51.914880231661719</v>
      </c>
      <c r="Y496">
        <f t="shared" si="389"/>
        <v>-173.8419794478188</v>
      </c>
      <c r="Z496">
        <f t="shared" si="406"/>
        <v>6.158020552181199</v>
      </c>
      <c r="AC496">
        <v>1</v>
      </c>
      <c r="AD496">
        <f t="shared" si="390"/>
        <v>360.59087339364601</v>
      </c>
      <c r="AE496">
        <f t="shared" si="391"/>
        <v>-0.38334954933357313</v>
      </c>
      <c r="AF496">
        <f t="shared" si="392"/>
        <v>4.2701783935860001E-2</v>
      </c>
      <c r="AG496">
        <f t="shared" si="421"/>
        <v>100.91740684270498</v>
      </c>
      <c r="AH496">
        <f t="shared" si="422"/>
        <v>-929.3907367587949</v>
      </c>
      <c r="AJ496">
        <f t="shared" si="393"/>
        <v>22100</v>
      </c>
      <c r="AK496">
        <f t="shared" si="394"/>
        <v>254331.64793615675</v>
      </c>
      <c r="AL496">
        <v>1</v>
      </c>
      <c r="AM496">
        <f t="shared" si="395"/>
        <v>305.19372506357701</v>
      </c>
      <c r="AN496">
        <f t="shared" si="423"/>
        <v>833.57326436879237</v>
      </c>
      <c r="AO496">
        <f t="shared" si="424"/>
        <v>-69.681729960866818</v>
      </c>
      <c r="AQ496">
        <f t="shared" si="396"/>
        <v>1.2574818598810598E-3</v>
      </c>
      <c r="AR496">
        <f t="shared" si="397"/>
        <v>-3.5460988448645887</v>
      </c>
      <c r="AT496">
        <f t="shared" si="418"/>
        <v>-3295.5845162397609</v>
      </c>
      <c r="AU496">
        <f t="shared" si="419"/>
        <v>-359.03179182386151</v>
      </c>
      <c r="AV496">
        <f t="shared" si="407"/>
        <v>-3.0330773313840327</v>
      </c>
      <c r="AW496">
        <f t="shared" si="408"/>
        <v>693.14929073017606</v>
      </c>
      <c r="AX496">
        <f t="shared" si="409"/>
        <v>-4145.2241449476405</v>
      </c>
      <c r="AY496">
        <f t="shared" si="417"/>
        <v>-1.4051128608550492</v>
      </c>
      <c r="BA496">
        <f t="shared" si="398"/>
        <v>0.78878404555020498</v>
      </c>
      <c r="BB496">
        <f t="shared" si="410"/>
        <v>-2.0608376459104787</v>
      </c>
      <c r="BC496">
        <f t="shared" si="411"/>
        <v>-1.6279644705289835</v>
      </c>
      <c r="BD496">
        <f t="shared" si="399"/>
        <v>-273.2754934651432</v>
      </c>
      <c r="BF496">
        <f t="shared" si="400"/>
        <v>-54.941472714425011</v>
      </c>
      <c r="BG496">
        <f t="shared" si="401"/>
        <v>-188.09309916217146</v>
      </c>
      <c r="BH496">
        <f t="shared" si="412"/>
        <v>-8.0930991621714554</v>
      </c>
      <c r="BI496">
        <f t="shared" si="413"/>
        <v>-8.0930991621714554</v>
      </c>
      <c r="BJ496">
        <f t="shared" si="402"/>
        <v>0</v>
      </c>
      <c r="BK496">
        <f t="shared" si="414"/>
        <v>0</v>
      </c>
      <c r="BM496">
        <f t="shared" si="415"/>
        <v>-52.880635068514536</v>
      </c>
      <c r="BN496">
        <f t="shared" si="403"/>
        <v>-94.817605697028242</v>
      </c>
      <c r="BQ496" s="56">
        <f t="shared" si="416"/>
        <v>14.841123154374658</v>
      </c>
    </row>
    <row r="497" spans="1:69" x14ac:dyDescent="0.25">
      <c r="A497">
        <f t="shared" si="420"/>
        <v>1415000</v>
      </c>
      <c r="B497">
        <f t="shared" si="404"/>
        <v>1415</v>
      </c>
      <c r="C497">
        <f t="shared" si="373"/>
        <v>11.778261368360653</v>
      </c>
      <c r="D497">
        <f t="shared" si="374"/>
        <v>1.4857918189918871</v>
      </c>
      <c r="F497">
        <f t="shared" si="375"/>
        <v>1.2801100723974129E-5</v>
      </c>
      <c r="G497">
        <f t="shared" si="376"/>
        <v>1.2170853968984415E-3</v>
      </c>
      <c r="H497">
        <f t="shared" si="377"/>
        <v>-3.1403755646031017</v>
      </c>
      <c r="J497">
        <f t="shared" si="378"/>
        <v>15</v>
      </c>
      <c r="M497">
        <f t="shared" si="379"/>
        <v>1.0559038669279777E-3</v>
      </c>
      <c r="N497">
        <f t="shared" si="380"/>
        <v>-1.5707963250000001</v>
      </c>
      <c r="O497">
        <f t="shared" si="381"/>
        <v>361.87094614473864</v>
      </c>
      <c r="P497">
        <f t="shared" si="382"/>
        <v>1.5680329071741648</v>
      </c>
      <c r="Q497">
        <f t="shared" si="383"/>
        <v>306.27760482583636</v>
      </c>
      <c r="R497">
        <f t="shared" si="384"/>
        <v>1.5675313091737284</v>
      </c>
      <c r="S497">
        <f t="shared" si="385"/>
        <v>8.6264593494929098E-2</v>
      </c>
      <c r="T497">
        <f t="shared" si="386"/>
        <v>-1.484424382609973</v>
      </c>
      <c r="U497">
        <f t="shared" si="387"/>
        <v>0.11032011959228712</v>
      </c>
      <c r="V497">
        <f t="shared" si="388"/>
        <v>-1.4602511969905938</v>
      </c>
      <c r="X497">
        <f t="shared" si="405"/>
        <v>-51.975991924936203</v>
      </c>
      <c r="Y497">
        <f t="shared" si="389"/>
        <v>-173.86355232767048</v>
      </c>
      <c r="Z497">
        <f t="shared" si="406"/>
        <v>6.136447672329524</v>
      </c>
      <c r="AC497">
        <v>1</v>
      </c>
      <c r="AD497">
        <f t="shared" si="390"/>
        <v>361.86956443404898</v>
      </c>
      <c r="AE497">
        <f t="shared" si="391"/>
        <v>-0.38607316101524747</v>
      </c>
      <c r="AF497">
        <f t="shared" si="392"/>
        <v>4.2853208701589998E-2</v>
      </c>
      <c r="AG497">
        <f t="shared" si="421"/>
        <v>100.2141343386125</v>
      </c>
      <c r="AH497">
        <f t="shared" si="422"/>
        <v>-926.1847321375061</v>
      </c>
      <c r="AJ497">
        <f t="shared" si="393"/>
        <v>22100</v>
      </c>
      <c r="AK497">
        <f t="shared" si="394"/>
        <v>255233.53321252609</v>
      </c>
      <c r="AL497">
        <v>1</v>
      </c>
      <c r="AM497">
        <f t="shared" si="395"/>
        <v>306.27597231557553</v>
      </c>
      <c r="AN497">
        <f t="shared" si="423"/>
        <v>833.57165367022969</v>
      </c>
      <c r="AO497">
        <f t="shared" si="424"/>
        <v>-69.435510025636702</v>
      </c>
      <c r="AQ497">
        <f t="shared" si="396"/>
        <v>1.2486107644482057E-3</v>
      </c>
      <c r="AR497">
        <f t="shared" si="397"/>
        <v>-3.5335684633884226</v>
      </c>
      <c r="AT497">
        <f t="shared" si="418"/>
        <v>-3272.6120323060604</v>
      </c>
      <c r="AU497">
        <f t="shared" si="419"/>
        <v>-355.26994891110638</v>
      </c>
      <c r="AV497">
        <f t="shared" si="407"/>
        <v>-3.0334575865304698</v>
      </c>
      <c r="AW497">
        <f t="shared" si="408"/>
        <v>694.14736401478422</v>
      </c>
      <c r="AX497">
        <f t="shared" si="409"/>
        <v>-4130.6520583711908</v>
      </c>
      <c r="AY497">
        <f t="shared" si="417"/>
        <v>-1.404304057854761</v>
      </c>
      <c r="BA497">
        <f t="shared" si="398"/>
        <v>0.78590988299611864</v>
      </c>
      <c r="BB497">
        <f t="shared" si="410"/>
        <v>-2.0925449968017134</v>
      </c>
      <c r="BC497">
        <f t="shared" si="411"/>
        <v>-1.6291535286757088</v>
      </c>
      <c r="BD497">
        <f t="shared" si="399"/>
        <v>-273.34362147862407</v>
      </c>
      <c r="BF497">
        <f t="shared" si="400"/>
        <v>-55.00414977177735</v>
      </c>
      <c r="BG497">
        <f t="shared" si="401"/>
        <v>-188.14428706141967</v>
      </c>
      <c r="BH497">
        <f t="shared" si="412"/>
        <v>-8.144287061419675</v>
      </c>
      <c r="BI497">
        <f t="shared" si="413"/>
        <v>-8.144287061419675</v>
      </c>
      <c r="BJ497">
        <f t="shared" si="402"/>
        <v>0</v>
      </c>
      <c r="BK497">
        <f t="shared" si="414"/>
        <v>0</v>
      </c>
      <c r="BM497">
        <f t="shared" si="415"/>
        <v>-52.911604774975636</v>
      </c>
      <c r="BN497">
        <f t="shared" si="403"/>
        <v>-94.800665582795602</v>
      </c>
      <c r="BQ497" s="56">
        <f t="shared" si="416"/>
        <v>14.809415803483423</v>
      </c>
    </row>
    <row r="498" spans="1:69" x14ac:dyDescent="0.25">
      <c r="A498">
        <f t="shared" si="420"/>
        <v>1420000</v>
      </c>
      <c r="B498">
        <f t="shared" si="404"/>
        <v>1420</v>
      </c>
      <c r="C498">
        <f t="shared" si="373"/>
        <v>11.819581183187426</v>
      </c>
      <c r="D498">
        <f t="shared" si="374"/>
        <v>1.4860896984358234</v>
      </c>
      <c r="F498">
        <f t="shared" si="375"/>
        <v>1.2711109755227424E-5</v>
      </c>
      <c r="G498">
        <f t="shared" si="376"/>
        <v>1.2127997793655763E-3</v>
      </c>
      <c r="H498">
        <f t="shared" si="377"/>
        <v>-3.1403798502206346</v>
      </c>
      <c r="J498">
        <f t="shared" si="378"/>
        <v>15</v>
      </c>
      <c r="M498">
        <f t="shared" si="379"/>
        <v>1.0521858955655551E-3</v>
      </c>
      <c r="N498">
        <f t="shared" si="380"/>
        <v>-1.5707963250000001</v>
      </c>
      <c r="O498">
        <f t="shared" si="381"/>
        <v>363.14963231998161</v>
      </c>
      <c r="P498">
        <f t="shared" si="382"/>
        <v>1.5680426374756664</v>
      </c>
      <c r="Q498">
        <f t="shared" si="383"/>
        <v>307.3598463295898</v>
      </c>
      <c r="R498">
        <f t="shared" si="384"/>
        <v>1.5675428056333744</v>
      </c>
      <c r="S498">
        <f t="shared" si="385"/>
        <v>8.5963093459249587E-2</v>
      </c>
      <c r="T498">
        <f t="shared" si="386"/>
        <v>-1.484727006803864</v>
      </c>
      <c r="U498">
        <f t="shared" si="387"/>
        <v>0.1099363714836451</v>
      </c>
      <c r="V498">
        <f t="shared" si="388"/>
        <v>-1.4606372935783452</v>
      </c>
      <c r="X498">
        <f t="shared" si="405"/>
        <v>-52.036890699948906</v>
      </c>
      <c r="Y498">
        <f t="shared" si="389"/>
        <v>-173.88497523077547</v>
      </c>
      <c r="Z498">
        <f t="shared" si="406"/>
        <v>6.115024769224533</v>
      </c>
      <c r="AC498">
        <v>1</v>
      </c>
      <c r="AD498">
        <f t="shared" si="390"/>
        <v>363.14825547445201</v>
      </c>
      <c r="AE498">
        <f t="shared" si="391"/>
        <v>-0.38880641380021974</v>
      </c>
      <c r="AF498">
        <f t="shared" si="392"/>
        <v>4.3004633467320003E-2</v>
      </c>
      <c r="AG498">
        <f t="shared" si="421"/>
        <v>99.518157966982486</v>
      </c>
      <c r="AH498">
        <f t="shared" si="422"/>
        <v>-923.00049801168245</v>
      </c>
      <c r="AJ498">
        <f t="shared" si="393"/>
        <v>22100</v>
      </c>
      <c r="AK498">
        <f t="shared" si="394"/>
        <v>256135.41848889543</v>
      </c>
      <c r="AL498">
        <v>1</v>
      </c>
      <c r="AM498">
        <f t="shared" si="395"/>
        <v>307.35821956757405</v>
      </c>
      <c r="AN498">
        <f t="shared" si="423"/>
        <v>833.57005995587531</v>
      </c>
      <c r="AO498">
        <f t="shared" si="424"/>
        <v>-69.191023978353712</v>
      </c>
      <c r="AQ498">
        <f t="shared" si="396"/>
        <v>1.2398332126768979E-3</v>
      </c>
      <c r="AR498">
        <f t="shared" si="397"/>
        <v>-3.52112632400239</v>
      </c>
      <c r="AT498">
        <f t="shared" si="418"/>
        <v>-3249.8779646987391</v>
      </c>
      <c r="AU498">
        <f t="shared" si="419"/>
        <v>-351.56037240652239</v>
      </c>
      <c r="AV498">
        <f t="shared" si="407"/>
        <v>-3.0338351970309674</v>
      </c>
      <c r="AW498">
        <f t="shared" si="408"/>
        <v>695.13478792169678</v>
      </c>
      <c r="AX498">
        <f t="shared" si="409"/>
        <v>-4116.1818142354796</v>
      </c>
      <c r="AY498">
        <f t="shared" si="417"/>
        <v>-1.4034963283529993</v>
      </c>
      <c r="BA498">
        <f t="shared" si="398"/>
        <v>0.78305538022463084</v>
      </c>
      <c r="BB498">
        <f t="shared" si="410"/>
        <v>-2.124150442737692</v>
      </c>
      <c r="BC498">
        <f t="shared" si="411"/>
        <v>-1.6303388686779681</v>
      </c>
      <c r="BD498">
        <f t="shared" si="399"/>
        <v>-273.4115364581192</v>
      </c>
      <c r="BF498">
        <f t="shared" si="400"/>
        <v>-55.06661412854595</v>
      </c>
      <c r="BG498">
        <f t="shared" si="401"/>
        <v>-188.19538035375152</v>
      </c>
      <c r="BH498">
        <f t="shared" si="412"/>
        <v>-8.1953803537515171</v>
      </c>
      <c r="BI498">
        <f t="shared" si="413"/>
        <v>-8.1953803537515171</v>
      </c>
      <c r="BJ498">
        <f t="shared" si="402"/>
        <v>0</v>
      </c>
      <c r="BK498">
        <f t="shared" si="414"/>
        <v>0</v>
      </c>
      <c r="BM498">
        <f t="shared" si="415"/>
        <v>-52.942463685808264</v>
      </c>
      <c r="BN498">
        <f t="shared" si="403"/>
        <v>-94.783843895632373</v>
      </c>
      <c r="BQ498" s="56">
        <f t="shared" si="416"/>
        <v>14.777810357547445</v>
      </c>
    </row>
    <row r="499" spans="1:69" x14ac:dyDescent="0.25">
      <c r="A499">
        <f t="shared" si="420"/>
        <v>1425000</v>
      </c>
      <c r="B499">
        <f t="shared" si="404"/>
        <v>1425</v>
      </c>
      <c r="C499">
        <f t="shared" si="373"/>
        <v>11.860902039483898</v>
      </c>
      <c r="D499">
        <f t="shared" si="374"/>
        <v>1.486385502408788</v>
      </c>
      <c r="F499">
        <f t="shared" si="375"/>
        <v>1.2622064412089398E-5</v>
      </c>
      <c r="G499">
        <f t="shared" si="376"/>
        <v>1.2085442374471717E-3</v>
      </c>
      <c r="H499">
        <f t="shared" si="377"/>
        <v>-3.140384105762553</v>
      </c>
      <c r="J499">
        <f t="shared" si="378"/>
        <v>15</v>
      </c>
      <c r="M499">
        <f t="shared" si="379"/>
        <v>1.0484940152302375E-3</v>
      </c>
      <c r="N499">
        <f t="shared" si="380"/>
        <v>-1.5707963250000001</v>
      </c>
      <c r="O499">
        <f t="shared" si="381"/>
        <v>364.42831852936592</v>
      </c>
      <c r="P499">
        <f t="shared" si="382"/>
        <v>1.5680522994948662</v>
      </c>
      <c r="Q499">
        <f t="shared" si="383"/>
        <v>308.44208787368149</v>
      </c>
      <c r="R499">
        <f t="shared" si="384"/>
        <v>1.5675542214169618</v>
      </c>
      <c r="S499">
        <f t="shared" si="385"/>
        <v>8.5663685842054318E-2</v>
      </c>
      <c r="T499">
        <f t="shared" si="386"/>
        <v>-1.4850275229579186</v>
      </c>
      <c r="U499">
        <f t="shared" si="387"/>
        <v>0.10955526769113699</v>
      </c>
      <c r="V499">
        <f t="shared" si="388"/>
        <v>-1.4610207133495303</v>
      </c>
      <c r="X499">
        <f t="shared" si="405"/>
        <v>-52.097578026212261</v>
      </c>
      <c r="Y499">
        <f t="shared" si="389"/>
        <v>-173.90624970900967</v>
      </c>
      <c r="Z499">
        <f t="shared" si="406"/>
        <v>6.0937502909903287</v>
      </c>
      <c r="AC499">
        <v>1</v>
      </c>
      <c r="AD499">
        <f t="shared" si="390"/>
        <v>364.42694651485499</v>
      </c>
      <c r="AE499">
        <f t="shared" si="391"/>
        <v>-0.39154930768849</v>
      </c>
      <c r="AF499">
        <f t="shared" si="392"/>
        <v>4.315605823305E-2</v>
      </c>
      <c r="AG499">
        <f t="shared" si="421"/>
        <v>98.829377561298102</v>
      </c>
      <c r="AH499">
        <f t="shared" si="422"/>
        <v>-919.83781625843699</v>
      </c>
      <c r="AJ499">
        <f t="shared" si="393"/>
        <v>22100</v>
      </c>
      <c r="AK499">
        <f t="shared" si="394"/>
        <v>257037.30376526478</v>
      </c>
      <c r="AL499">
        <v>1</v>
      </c>
      <c r="AM499">
        <f t="shared" si="395"/>
        <v>308.44046681957258</v>
      </c>
      <c r="AN499">
        <f t="shared" si="423"/>
        <v>833.56848298777777</v>
      </c>
      <c r="AO499">
        <f t="shared" si="424"/>
        <v>-68.948253568337307</v>
      </c>
      <c r="AQ499">
        <f t="shared" si="396"/>
        <v>1.2311478939799453E-3</v>
      </c>
      <c r="AR499">
        <f t="shared" si="397"/>
        <v>-3.5087714978428441</v>
      </c>
      <c r="AT499">
        <f t="shared" si="418"/>
        <v>-3227.3790387455588</v>
      </c>
      <c r="AU499">
        <f t="shared" si="419"/>
        <v>-347.90215952692159</v>
      </c>
      <c r="AV499">
        <f t="shared" si="407"/>
        <v>-3.034210190265874</v>
      </c>
      <c r="AW499">
        <f t="shared" si="408"/>
        <v>696.11171379814459</v>
      </c>
      <c r="AX499">
        <f t="shared" si="409"/>
        <v>-4101.8123511381764</v>
      </c>
      <c r="AY499">
        <f t="shared" si="417"/>
        <v>-1.4026896632394688</v>
      </c>
      <c r="BA499">
        <f t="shared" si="398"/>
        <v>0.78022033408634561</v>
      </c>
      <c r="BB499">
        <f t="shared" si="410"/>
        <v>-2.1556547060570423</v>
      </c>
      <c r="BC499">
        <f t="shared" si="411"/>
        <v>-1.6315205270264053</v>
      </c>
      <c r="BD499">
        <f t="shared" si="399"/>
        <v>-273.47924049438836</v>
      </c>
      <c r="BF499">
        <f t="shared" si="400"/>
        <v>-55.128867302105633</v>
      </c>
      <c r="BG499">
        <f t="shared" si="401"/>
        <v>-188.24637989537905</v>
      </c>
      <c r="BH499">
        <f t="shared" si="412"/>
        <v>-8.2463798953790501</v>
      </c>
      <c r="BI499">
        <f t="shared" si="413"/>
        <v>-8.2463798953790501</v>
      </c>
      <c r="BJ499">
        <f t="shared" si="402"/>
        <v>0</v>
      </c>
      <c r="BK499">
        <f t="shared" si="414"/>
        <v>0</v>
      </c>
      <c r="BM499">
        <f t="shared" si="415"/>
        <v>-52.973212596048583</v>
      </c>
      <c r="BN499">
        <f t="shared" si="403"/>
        <v>-94.767139400990672</v>
      </c>
      <c r="BQ499" s="56">
        <f t="shared" si="416"/>
        <v>14.746306094228094</v>
      </c>
    </row>
    <row r="500" spans="1:69" x14ac:dyDescent="0.25">
      <c r="A500">
        <f t="shared" si="420"/>
        <v>1430000</v>
      </c>
      <c r="B500">
        <f t="shared" si="404"/>
        <v>1430</v>
      </c>
      <c r="C500">
        <f t="shared" si="373"/>
        <v>11.902223926403089</v>
      </c>
      <c r="D500">
        <f t="shared" si="374"/>
        <v>1.4866792524754711</v>
      </c>
      <c r="F500">
        <f t="shared" si="375"/>
        <v>1.2533951491913378E-5</v>
      </c>
      <c r="G500">
        <f t="shared" si="376"/>
        <v>1.2043184556493737E-3</v>
      </c>
      <c r="H500">
        <f t="shared" si="377"/>
        <v>-3.1403883315443508</v>
      </c>
      <c r="J500">
        <f t="shared" si="378"/>
        <v>15</v>
      </c>
      <c r="M500">
        <f t="shared" si="379"/>
        <v>1.044827952239922E-3</v>
      </c>
      <c r="N500">
        <f t="shared" si="380"/>
        <v>-1.5707963250000001</v>
      </c>
      <c r="O500">
        <f t="shared" si="381"/>
        <v>365.70700477253331</v>
      </c>
      <c r="P500">
        <f t="shared" si="382"/>
        <v>1.5680618939480053</v>
      </c>
      <c r="Q500">
        <f t="shared" si="383"/>
        <v>309.52432945768822</v>
      </c>
      <c r="R500">
        <f t="shared" si="384"/>
        <v>1.567565557370731</v>
      </c>
      <c r="S500">
        <f t="shared" si="385"/>
        <v>8.536634901708276E-2</v>
      </c>
      <c r="T500">
        <f t="shared" si="386"/>
        <v>-1.485325952968457</v>
      </c>
      <c r="U500">
        <f t="shared" si="387"/>
        <v>0.10917678114395644</v>
      </c>
      <c r="V500">
        <f t="shared" si="388"/>
        <v>-1.4614014839340594</v>
      </c>
      <c r="X500">
        <f t="shared" si="405"/>
        <v>-52.158055358169733</v>
      </c>
      <c r="Y500">
        <f t="shared" si="389"/>
        <v>-173.92737729300413</v>
      </c>
      <c r="Z500">
        <f t="shared" si="406"/>
        <v>6.0726227069958725</v>
      </c>
      <c r="AC500">
        <v>1</v>
      </c>
      <c r="AD500">
        <f t="shared" si="390"/>
        <v>365.70563755525802</v>
      </c>
      <c r="AE500">
        <f t="shared" si="391"/>
        <v>-0.39430184268005813</v>
      </c>
      <c r="AF500">
        <f t="shared" si="392"/>
        <v>4.3307482998779998E-2</v>
      </c>
      <c r="AG500">
        <f t="shared" si="421"/>
        <v>98.147694661035302</v>
      </c>
      <c r="AH500">
        <f t="shared" si="422"/>
        <v>-916.69647161817954</v>
      </c>
      <c r="AJ500">
        <f t="shared" si="393"/>
        <v>22100</v>
      </c>
      <c r="AK500">
        <f t="shared" si="394"/>
        <v>257939.18904163412</v>
      </c>
      <c r="AL500">
        <v>1</v>
      </c>
      <c r="AM500">
        <f t="shared" si="395"/>
        <v>309.52271407157104</v>
      </c>
      <c r="AN500">
        <f t="shared" si="423"/>
        <v>833.5669225321376</v>
      </c>
      <c r="AO500">
        <f t="shared" si="424"/>
        <v>-68.707180800147725</v>
      </c>
      <c r="AQ500">
        <f t="shared" si="396"/>
        <v>1.2225535206423883E-3</v>
      </c>
      <c r="AR500">
        <f t="shared" si="397"/>
        <v>-3.4965030690372307</v>
      </c>
      <c r="AT500">
        <f t="shared" si="418"/>
        <v>-3205.1120355789144</v>
      </c>
      <c r="AU500">
        <f t="shared" si="419"/>
        <v>-344.29442609997619</v>
      </c>
      <c r="AV500">
        <f t="shared" si="407"/>
        <v>-3.0345825932404455</v>
      </c>
      <c r="AW500">
        <f t="shared" si="408"/>
        <v>697.07829030613027</v>
      </c>
      <c r="AX500">
        <f t="shared" si="409"/>
        <v>-4087.5426223418244</v>
      </c>
      <c r="AY500">
        <f t="shared" si="417"/>
        <v>-1.4018840535449435</v>
      </c>
      <c r="BA500">
        <f t="shared" si="398"/>
        <v>0.77740454421605465</v>
      </c>
      <c r="BB500">
        <f t="shared" si="410"/>
        <v>-2.1870585017207462</v>
      </c>
      <c r="BC500">
        <f t="shared" si="411"/>
        <v>-1.632698539695502</v>
      </c>
      <c r="BD500">
        <f t="shared" si="399"/>
        <v>-273.5467356486177</v>
      </c>
      <c r="BF500">
        <f t="shared" si="400"/>
        <v>-55.190910793876853</v>
      </c>
      <c r="BG500">
        <f t="shared" si="401"/>
        <v>-188.29728652999893</v>
      </c>
      <c r="BH500">
        <f t="shared" si="412"/>
        <v>-8.297286529998928</v>
      </c>
      <c r="BI500">
        <f t="shared" si="413"/>
        <v>-8.297286529998928</v>
      </c>
      <c r="BJ500">
        <f t="shared" si="402"/>
        <v>0</v>
      </c>
      <c r="BK500">
        <f t="shared" si="414"/>
        <v>0</v>
      </c>
      <c r="BM500">
        <f t="shared" si="415"/>
        <v>-53.003852292156104</v>
      </c>
      <c r="BN500">
        <f t="shared" si="403"/>
        <v>-94.750550881381244</v>
      </c>
      <c r="BQ500" s="56">
        <f t="shared" si="416"/>
        <v>14.714902298564391</v>
      </c>
    </row>
    <row r="501" spans="1:69" x14ac:dyDescent="0.25">
      <c r="A501">
        <f t="shared" si="420"/>
        <v>1435000</v>
      </c>
      <c r="B501">
        <f t="shared" si="404"/>
        <v>1435</v>
      </c>
      <c r="C501">
        <f t="shared" si="373"/>
        <v>11.943546833247858</v>
      </c>
      <c r="D501">
        <f t="shared" si="374"/>
        <v>1.4869709699035496</v>
      </c>
      <c r="F501">
        <f t="shared" si="375"/>
        <v>1.2446758021667985E-5</v>
      </c>
      <c r="G501">
        <f t="shared" si="376"/>
        <v>1.2001221228757225E-3</v>
      </c>
      <c r="H501">
        <f t="shared" si="377"/>
        <v>-3.1403925278771245</v>
      </c>
      <c r="J501">
        <f t="shared" si="378"/>
        <v>15</v>
      </c>
      <c r="M501">
        <f t="shared" si="379"/>
        <v>1.0411874367268908E-3</v>
      </c>
      <c r="N501">
        <f t="shared" si="380"/>
        <v>-1.5707963250000001</v>
      </c>
      <c r="O501">
        <f t="shared" si="381"/>
        <v>366.98569104913076</v>
      </c>
      <c r="P501">
        <f t="shared" si="382"/>
        <v>1.5680714215413418</v>
      </c>
      <c r="Q501">
        <f t="shared" si="383"/>
        <v>310.60657108119295</v>
      </c>
      <c r="R501">
        <f t="shared" si="384"/>
        <v>1.5675768143291282</v>
      </c>
      <c r="S501">
        <f t="shared" si="385"/>
        <v>8.5071061653962984E-2</v>
      </c>
      <c r="T501">
        <f t="shared" si="386"/>
        <v>-1.4856223184303345</v>
      </c>
      <c r="U501">
        <f t="shared" si="387"/>
        <v>0.10880088513724132</v>
      </c>
      <c r="V501">
        <f t="shared" si="388"/>
        <v>-1.4617796325844195</v>
      </c>
      <c r="X501">
        <f t="shared" si="405"/>
        <v>-52.218324135399868</v>
      </c>
      <c r="Y501">
        <f t="shared" si="389"/>
        <v>-173.948359492506</v>
      </c>
      <c r="Z501">
        <f t="shared" si="406"/>
        <v>6.0516405074939996</v>
      </c>
      <c r="AC501">
        <v>1</v>
      </c>
      <c r="AD501">
        <f t="shared" si="390"/>
        <v>366.984328595661</v>
      </c>
      <c r="AE501">
        <f t="shared" si="391"/>
        <v>-0.39706401877492431</v>
      </c>
      <c r="AF501">
        <f t="shared" si="392"/>
        <v>4.3458907764510002E-2</v>
      </c>
      <c r="AG501">
        <f t="shared" si="421"/>
        <v>97.473012477059683</v>
      </c>
      <c r="AH501">
        <f t="shared" si="422"/>
        <v>-913.57625164851652</v>
      </c>
      <c r="AJ501">
        <f t="shared" si="393"/>
        <v>22100</v>
      </c>
      <c r="AK501">
        <f t="shared" si="394"/>
        <v>258841.07431800349</v>
      </c>
      <c r="AL501">
        <v>1</v>
      </c>
      <c r="AM501">
        <f t="shared" si="395"/>
        <v>310.60496132356957</v>
      </c>
      <c r="AN501">
        <f t="shared" si="423"/>
        <v>833.56537835922154</v>
      </c>
      <c r="AO501">
        <f t="shared" si="424"/>
        <v>-68.467787929139632</v>
      </c>
      <c r="AQ501">
        <f t="shared" si="396"/>
        <v>1.2140488273441675E-3</v>
      </c>
      <c r="AR501">
        <f t="shared" si="397"/>
        <v>-3.4843201344777603</v>
      </c>
      <c r="AT501">
        <f t="shared" si="418"/>
        <v>-3183.0737910031517</v>
      </c>
      <c r="AU501">
        <f t="shared" si="419"/>
        <v>-340.73630611902439</v>
      </c>
      <c r="AV501">
        <f t="shared" si="407"/>
        <v>-3.034952432591222</v>
      </c>
      <c r="AW501">
        <f t="shared" si="408"/>
        <v>698.0346634795111</v>
      </c>
      <c r="AX501">
        <f t="shared" si="409"/>
        <v>-4073.3715955219795</v>
      </c>
      <c r="AY501">
        <f t="shared" si="417"/>
        <v>-1.4010794904386545</v>
      </c>
      <c r="BA501">
        <f t="shared" si="398"/>
        <v>0.77460781298543191</v>
      </c>
      <c r="BB501">
        <f t="shared" si="410"/>
        <v>-2.2183625374105986</v>
      </c>
      <c r="BC501">
        <f t="shared" si="411"/>
        <v>-1.6338729421525675</v>
      </c>
      <c r="BD501">
        <f t="shared" si="399"/>
        <v>-273.61402395293425</v>
      </c>
      <c r="BF501">
        <f t="shared" si="400"/>
        <v>-55.252746089547813</v>
      </c>
      <c r="BG501">
        <f t="shared" si="401"/>
        <v>-188.3481010890147</v>
      </c>
      <c r="BH501">
        <f t="shared" si="412"/>
        <v>-8.3481010890147047</v>
      </c>
      <c r="BI501">
        <f t="shared" si="413"/>
        <v>-8.3481010890147047</v>
      </c>
      <c r="BJ501">
        <f t="shared" si="402"/>
        <v>0</v>
      </c>
      <c r="BK501">
        <f t="shared" si="414"/>
        <v>0</v>
      </c>
      <c r="BM501">
        <f t="shared" si="415"/>
        <v>-53.034383552137214</v>
      </c>
      <c r="BN501">
        <f t="shared" si="403"/>
        <v>-94.734077136080472</v>
      </c>
      <c r="BQ501" s="56">
        <f t="shared" si="416"/>
        <v>14.683598262874538</v>
      </c>
    </row>
    <row r="502" spans="1:69" x14ac:dyDescent="0.25">
      <c r="A502">
        <f t="shared" si="420"/>
        <v>1440000</v>
      </c>
      <c r="B502">
        <f t="shared" si="404"/>
        <v>1440</v>
      </c>
      <c r="C502">
        <f t="shared" si="373"/>
        <v>11.984870749468328</v>
      </c>
      <c r="D502">
        <f t="shared" si="374"/>
        <v>1.4872606756687703</v>
      </c>
      <c r="F502">
        <f t="shared" si="375"/>
        <v>1.2360471253161672E-5</v>
      </c>
      <c r="G502">
        <f t="shared" si="376"/>
        <v>1.1959549323508022E-3</v>
      </c>
      <c r="H502">
        <f t="shared" si="377"/>
        <v>-3.1403966950676496</v>
      </c>
      <c r="J502">
        <f t="shared" si="378"/>
        <v>15</v>
      </c>
      <c r="M502">
        <f t="shared" si="379"/>
        <v>1.0375722025715891E-3</v>
      </c>
      <c r="N502">
        <f t="shared" si="380"/>
        <v>-1.5707963250000001</v>
      </c>
      <c r="O502">
        <f t="shared" si="381"/>
        <v>368.26437735881007</v>
      </c>
      <c r="P502">
        <f t="shared" si="382"/>
        <v>1.5680808829713255</v>
      </c>
      <c r="Q502">
        <f t="shared" si="383"/>
        <v>311.68881274378401</v>
      </c>
      <c r="R502">
        <f t="shared" si="384"/>
        <v>1.5675879931150107</v>
      </c>
      <c r="S502">
        <f t="shared" si="385"/>
        <v>8.4777802713187758E-2</v>
      </c>
      <c r="T502">
        <f t="shared" si="386"/>
        <v>-1.4859166406420996</v>
      </c>
      <c r="U502">
        <f t="shared" si="387"/>
        <v>0.10842755332595098</v>
      </c>
      <c r="V502">
        <f t="shared" si="388"/>
        <v>-1.4621551861820716</v>
      </c>
      <c r="X502">
        <f t="shared" si="405"/>
        <v>-52.278385782816976</v>
      </c>
      <c r="Y502">
        <f t="shared" si="389"/>
        <v>-173.96919779673172</v>
      </c>
      <c r="Z502">
        <f t="shared" si="406"/>
        <v>6.03080220326828</v>
      </c>
      <c r="AC502">
        <v>1</v>
      </c>
      <c r="AD502">
        <f t="shared" si="390"/>
        <v>368.26301963606397</v>
      </c>
      <c r="AE502">
        <f t="shared" si="391"/>
        <v>-0.39983583597308853</v>
      </c>
      <c r="AF502">
        <f t="shared" si="392"/>
        <v>4.3610332530239999E-2</v>
      </c>
      <c r="AG502">
        <f t="shared" si="421"/>
        <v>96.805235857836635</v>
      </c>
      <c r="AH502">
        <f t="shared" si="422"/>
        <v>-910.47694667903056</v>
      </c>
      <c r="AJ502">
        <f t="shared" si="393"/>
        <v>22100</v>
      </c>
      <c r="AK502">
        <f t="shared" si="394"/>
        <v>259742.95959437283</v>
      </c>
      <c r="AL502">
        <v>1</v>
      </c>
      <c r="AM502">
        <f t="shared" si="395"/>
        <v>311.68720857556804</v>
      </c>
      <c r="AN502">
        <f t="shared" si="423"/>
        <v>833.56385024327744</v>
      </c>
      <c r="AO502">
        <f t="shared" si="424"/>
        <v>-68.230057457108359</v>
      </c>
      <c r="AQ502">
        <f t="shared" si="396"/>
        <v>1.2056325706943755E-3</v>
      </c>
      <c r="AR502">
        <f t="shared" si="397"/>
        <v>-3.472221803599802</v>
      </c>
      <c r="AT502">
        <f t="shared" si="418"/>
        <v>-3161.2611943885404</v>
      </c>
      <c r="AU502">
        <f t="shared" si="419"/>
        <v>-337.22695130998437</v>
      </c>
      <c r="AV502">
        <f t="shared" si="407"/>
        <v>-3.0353197345922713</v>
      </c>
      <c r="AW502">
        <f t="shared" si="408"/>
        <v>698.98097677966882</v>
      </c>
      <c r="AX502">
        <f t="shared" si="409"/>
        <v>-4059.2982525205207</v>
      </c>
      <c r="AY502">
        <f t="shared" si="417"/>
        <v>-1.4002759652257317</v>
      </c>
      <c r="BA502">
        <f t="shared" si="398"/>
        <v>0.7718299454566897</v>
      </c>
      <c r="BB502">
        <f t="shared" si="410"/>
        <v>-2.2495675136259927</v>
      </c>
      <c r="BC502">
        <f t="shared" si="411"/>
        <v>-1.6350437693665396</v>
      </c>
      <c r="BD502">
        <f t="shared" si="399"/>
        <v>-273.68110741091056</v>
      </c>
      <c r="BF502">
        <f t="shared" si="400"/>
        <v>-55.314374659292525</v>
      </c>
      <c r="BG502">
        <f t="shared" si="401"/>
        <v>-188.39882439175406</v>
      </c>
      <c r="BH502">
        <f t="shared" si="412"/>
        <v>-8.3988243917540615</v>
      </c>
      <c r="BI502">
        <f t="shared" si="413"/>
        <v>-8.3988243917540615</v>
      </c>
      <c r="BJ502">
        <f t="shared" si="402"/>
        <v>0</v>
      </c>
      <c r="BK502">
        <f t="shared" si="414"/>
        <v>0</v>
      </c>
      <c r="BM502">
        <f t="shared" si="415"/>
        <v>-53.064807145666535</v>
      </c>
      <c r="BN502">
        <f t="shared" si="403"/>
        <v>-94.717716980843548</v>
      </c>
      <c r="BQ502" s="56">
        <f t="shared" si="416"/>
        <v>14.652393286659144</v>
      </c>
    </row>
    <row r="503" spans="1:69" x14ac:dyDescent="0.25">
      <c r="A503">
        <f t="shared" si="420"/>
        <v>1445000</v>
      </c>
      <c r="B503">
        <f t="shared" si="404"/>
        <v>1445</v>
      </c>
      <c r="C503">
        <f t="shared" si="373"/>
        <v>12.026195664659372</v>
      </c>
      <c r="D503">
        <f t="shared" si="374"/>
        <v>1.4875483904599309</v>
      </c>
      <c r="F503">
        <f t="shared" si="375"/>
        <v>1.2275078658382742E-5</v>
      </c>
      <c r="G503">
        <f t="shared" si="376"/>
        <v>1.1918165815454772E-3</v>
      </c>
      <c r="H503">
        <f t="shared" si="377"/>
        <v>-3.1404008334184548</v>
      </c>
      <c r="J503">
        <f t="shared" si="378"/>
        <v>15</v>
      </c>
      <c r="M503">
        <f t="shared" si="379"/>
        <v>1.0339819873377775E-3</v>
      </c>
      <c r="N503">
        <f t="shared" si="380"/>
        <v>-1.5707963250000001</v>
      </c>
      <c r="O503">
        <f t="shared" si="381"/>
        <v>369.54306370122765</v>
      </c>
      <c r="P503">
        <f t="shared" si="382"/>
        <v>1.5680902789247662</v>
      </c>
      <c r="Q503">
        <f t="shared" si="383"/>
        <v>312.77105444505588</v>
      </c>
      <c r="R503">
        <f t="shared" si="384"/>
        <v>1.5675990945398466</v>
      </c>
      <c r="S503">
        <f t="shared" si="385"/>
        <v>8.4486551441192104E-2</v>
      </c>
      <c r="T503">
        <f t="shared" si="386"/>
        <v>-1.4862089406110452</v>
      </c>
      <c r="U503">
        <f t="shared" si="387"/>
        <v>0.10805675971886514</v>
      </c>
      <c r="V503">
        <f t="shared" si="388"/>
        <v>-1.4625281712437177</v>
      </c>
      <c r="X503">
        <f t="shared" si="405"/>
        <v>-52.338241710868402</v>
      </c>
      <c r="Y503">
        <f t="shared" si="389"/>
        <v>-173.98989367471344</v>
      </c>
      <c r="Z503">
        <f t="shared" si="406"/>
        <v>6.0101063252865572</v>
      </c>
      <c r="AC503">
        <v>1</v>
      </c>
      <c r="AD503">
        <f t="shared" si="390"/>
        <v>369.54171067646701</v>
      </c>
      <c r="AE503">
        <f t="shared" si="391"/>
        <v>-0.40261729427455056</v>
      </c>
      <c r="AF503">
        <f t="shared" si="392"/>
        <v>4.3761757295969997E-2</v>
      </c>
      <c r="AG503">
        <f t="shared" si="421"/>
        <v>96.144271256432177</v>
      </c>
      <c r="AH503">
        <f t="shared" si="422"/>
        <v>-907.39834976690906</v>
      </c>
      <c r="AJ503">
        <f t="shared" si="393"/>
        <v>22100</v>
      </c>
      <c r="AK503">
        <f t="shared" si="394"/>
        <v>260644.84487074218</v>
      </c>
      <c r="AL503">
        <v>1</v>
      </c>
      <c r="AM503">
        <f t="shared" si="395"/>
        <v>312.76945582756656</v>
      </c>
      <c r="AN503">
        <f t="shared" si="423"/>
        <v>833.56233796245192</v>
      </c>
      <c r="AO503">
        <f t="shared" si="424"/>
        <v>-67.993972128026414</v>
      </c>
      <c r="AQ503">
        <f t="shared" si="396"/>
        <v>1.1973035287767713E-3</v>
      </c>
      <c r="AR503">
        <f t="shared" si="397"/>
        <v>-3.460207198164869</v>
      </c>
      <c r="AT503">
        <f t="shared" si="418"/>
        <v>-3139.6711875911351</v>
      </c>
      <c r="AU503">
        <f t="shared" si="419"/>
        <v>-333.7655307100045</v>
      </c>
      <c r="AV503">
        <f t="shared" si="407"/>
        <v>-3.0356845251613089</v>
      </c>
      <c r="AW503">
        <f t="shared" si="408"/>
        <v>699.91737114980583</v>
      </c>
      <c r="AX503">
        <f t="shared" si="409"/>
        <v>-4045.321589103989</v>
      </c>
      <c r="AY503">
        <f t="shared" si="417"/>
        <v>-1.3994734693447042</v>
      </c>
      <c r="BA503">
        <f t="shared" si="398"/>
        <v>0.76907074933716735</v>
      </c>
      <c r="BB503">
        <f t="shared" si="410"/>
        <v>-2.2806741237791317</v>
      </c>
      <c r="BC503">
        <f t="shared" si="411"/>
        <v>-1.6362110558166048</v>
      </c>
      <c r="BD503">
        <f t="shared" si="399"/>
        <v>-273.74798799805853</v>
      </c>
      <c r="BF503">
        <f t="shared" si="400"/>
        <v>-55.375797957985178</v>
      </c>
      <c r="BG503">
        <f t="shared" si="401"/>
        <v>-188.44945724568174</v>
      </c>
      <c r="BH503">
        <f t="shared" si="412"/>
        <v>-8.4494572456817423</v>
      </c>
      <c r="BI503">
        <f t="shared" si="413"/>
        <v>-8.4494572456817423</v>
      </c>
      <c r="BJ503">
        <f t="shared" si="402"/>
        <v>0</v>
      </c>
      <c r="BK503">
        <f t="shared" si="414"/>
        <v>0</v>
      </c>
      <c r="BM503">
        <f t="shared" si="415"/>
        <v>-53.095123834206042</v>
      </c>
      <c r="BN503">
        <f t="shared" si="403"/>
        <v>-94.701469247623251</v>
      </c>
      <c r="BQ503" s="56">
        <f t="shared" si="416"/>
        <v>14.621286676506005</v>
      </c>
    </row>
    <row r="504" spans="1:69" x14ac:dyDescent="0.25">
      <c r="A504">
        <f t="shared" si="420"/>
        <v>1450000</v>
      </c>
      <c r="B504">
        <f t="shared" si="404"/>
        <v>1450</v>
      </c>
      <c r="C504">
        <f t="shared" si="373"/>
        <v>12.067521568558149</v>
      </c>
      <c r="D504">
        <f t="shared" si="374"/>
        <v>1.4878341346837578</v>
      </c>
      <c r="F504">
        <f t="shared" si="375"/>
        <v>1.219056792495164E-5</v>
      </c>
      <c r="G504">
        <f t="shared" si="376"/>
        <v>1.1877067721036752E-3</v>
      </c>
      <c r="H504">
        <f t="shared" si="377"/>
        <v>-3.1404049432278964</v>
      </c>
      <c r="J504">
        <f t="shared" si="378"/>
        <v>15</v>
      </c>
      <c r="M504">
        <f t="shared" si="379"/>
        <v>1.0304165322090263E-3</v>
      </c>
      <c r="N504">
        <f t="shared" si="380"/>
        <v>-1.5707963250000001</v>
      </c>
      <c r="O504">
        <f t="shared" si="381"/>
        <v>370.82175007604508</v>
      </c>
      <c r="P504">
        <f t="shared" si="382"/>
        <v>1.5680996100790006</v>
      </c>
      <c r="Q504">
        <f t="shared" si="383"/>
        <v>313.85329618460827</v>
      </c>
      <c r="R504">
        <f t="shared" si="384"/>
        <v>1.567610119403912</v>
      </c>
      <c r="S504">
        <f t="shared" si="385"/>
        <v>8.4197287365530352E-2</v>
      </c>
      <c r="T504">
        <f t="shared" si="386"/>
        <v>-1.4864992390581606</v>
      </c>
      <c r="U504">
        <f t="shared" si="387"/>
        <v>0.10768847867270132</v>
      </c>
      <c r="V504">
        <f t="shared" si="388"/>
        <v>-1.4628986139274411</v>
      </c>
      <c r="X504">
        <f t="shared" si="405"/>
        <v>-52.397893315728574</v>
      </c>
      <c r="Y504">
        <f t="shared" si="389"/>
        <v>-174.01044857563852</v>
      </c>
      <c r="Z504">
        <f t="shared" si="406"/>
        <v>5.9895514243614798</v>
      </c>
      <c r="AC504">
        <v>1</v>
      </c>
      <c r="AD504">
        <f t="shared" si="390"/>
        <v>370.82040171686998</v>
      </c>
      <c r="AE504">
        <f t="shared" si="391"/>
        <v>-0.4054083936793107</v>
      </c>
      <c r="AF504">
        <f t="shared" si="392"/>
        <v>4.3913182061700001E-2</v>
      </c>
      <c r="AG504">
        <f t="shared" si="421"/>
        <v>95.490026698282989</v>
      </c>
      <c r="AH504">
        <f t="shared" si="422"/>
        <v>-904.34025665340312</v>
      </c>
      <c r="AJ504">
        <f t="shared" si="393"/>
        <v>22100</v>
      </c>
      <c r="AK504">
        <f t="shared" si="394"/>
        <v>261546.73014711152</v>
      </c>
      <c r="AL504">
        <v>1</v>
      </c>
      <c r="AM504">
        <f t="shared" si="395"/>
        <v>313.85170307956503</v>
      </c>
      <c r="AN504">
        <f t="shared" si="423"/>
        <v>833.5608412987109</v>
      </c>
      <c r="AO504">
        <f t="shared" si="424"/>
        <v>-67.759514923868366</v>
      </c>
      <c r="AQ504">
        <f t="shared" si="396"/>
        <v>1.1890605007062426E-3</v>
      </c>
      <c r="AR504">
        <f t="shared" si="397"/>
        <v>-3.4482754520481032</v>
      </c>
      <c r="AT504">
        <f t="shared" si="418"/>
        <v>-3118.3007638978529</v>
      </c>
      <c r="AU504">
        <f t="shared" si="419"/>
        <v>-330.35123025749232</v>
      </c>
      <c r="AV504">
        <f t="shared" si="407"/>
        <v>-3.0360468298656942</v>
      </c>
      <c r="AW504">
        <f t="shared" si="408"/>
        <v>700.84398506790706</v>
      </c>
      <c r="AX504">
        <f t="shared" si="409"/>
        <v>-4031.4406147268546</v>
      </c>
      <c r="AY504">
        <f t="shared" si="417"/>
        <v>-1.3986719943650534</v>
      </c>
      <c r="BA504">
        <f t="shared" si="398"/>
        <v>0.76633003493482865</v>
      </c>
      <c r="BB504">
        <f t="shared" si="410"/>
        <v>-2.3116830542887246</v>
      </c>
      <c r="BC504">
        <f t="shared" si="411"/>
        <v>-1.6373748355006408</v>
      </c>
      <c r="BD504">
        <f t="shared" si="399"/>
        <v>-273.81466766231301</v>
      </c>
      <c r="BF504">
        <f t="shared" si="400"/>
        <v>-55.437017425410829</v>
      </c>
      <c r="BG504">
        <f t="shared" si="401"/>
        <v>-188.50000044660794</v>
      </c>
      <c r="BH504">
        <f t="shared" si="412"/>
        <v>-8.5000004466079417</v>
      </c>
      <c r="BI504">
        <f t="shared" si="413"/>
        <v>-8.5000004466079417</v>
      </c>
      <c r="BJ504">
        <f t="shared" si="402"/>
        <v>0</v>
      </c>
      <c r="BK504">
        <f t="shared" si="414"/>
        <v>0</v>
      </c>
      <c r="BM504">
        <f t="shared" si="415"/>
        <v>-53.125334371122115</v>
      </c>
      <c r="BN504">
        <f t="shared" si="403"/>
        <v>-94.685332784294914</v>
      </c>
      <c r="BQ504" s="56">
        <f t="shared" si="416"/>
        <v>14.590277745996412</v>
      </c>
    </row>
    <row r="505" spans="1:69" x14ac:dyDescent="0.25">
      <c r="A505">
        <f t="shared" si="420"/>
        <v>1455000</v>
      </c>
      <c r="B505">
        <f t="shared" si="404"/>
        <v>1455</v>
      </c>
      <c r="C505">
        <f t="shared" si="373"/>
        <v>12.108848451041668</v>
      </c>
      <c r="D505">
        <f t="shared" si="374"/>
        <v>1.4881179284696857</v>
      </c>
      <c r="F505">
        <f t="shared" si="375"/>
        <v>1.2106926951682486E-5</v>
      </c>
      <c r="G505">
        <f t="shared" si="376"/>
        <v>1.1836252097706804E-3</v>
      </c>
      <c r="H505">
        <f t="shared" si="377"/>
        <v>-3.1404090247902294</v>
      </c>
      <c r="J505">
        <f t="shared" si="378"/>
        <v>15</v>
      </c>
      <c r="M505">
        <f t="shared" si="379"/>
        <v>1.0268755819265213E-3</v>
      </c>
      <c r="N505">
        <f t="shared" si="380"/>
        <v>-1.5707963250000001</v>
      </c>
      <c r="O505">
        <f t="shared" si="381"/>
        <v>372.1004364829281</v>
      </c>
      <c r="P505">
        <f t="shared" si="382"/>
        <v>1.5681088771020557</v>
      </c>
      <c r="Q505">
        <f t="shared" si="383"/>
        <v>314.93553796204668</v>
      </c>
      <c r="R505">
        <f t="shared" si="384"/>
        <v>1.5676210684964824</v>
      </c>
      <c r="S505">
        <f t="shared" si="385"/>
        <v>8.3909990290149838E-2</v>
      </c>
      <c r="T505">
        <f t="shared" si="386"/>
        <v>-1.486787556422978</v>
      </c>
      <c r="U505">
        <f t="shared" si="387"/>
        <v>0.10732268488634915</v>
      </c>
      <c r="V505">
        <f t="shared" si="388"/>
        <v>-1.4632665400387261</v>
      </c>
      <c r="X505">
        <f t="shared" si="405"/>
        <v>-52.457341979489783</v>
      </c>
      <c r="Y505">
        <f t="shared" si="389"/>
        <v>-174.03086392918181</v>
      </c>
      <c r="Z505">
        <f t="shared" si="406"/>
        <v>5.9691360708181946</v>
      </c>
      <c r="AC505">
        <v>1</v>
      </c>
      <c r="AD505">
        <f t="shared" si="390"/>
        <v>372.09909275727301</v>
      </c>
      <c r="AE505">
        <f t="shared" si="391"/>
        <v>-0.40820913418736871</v>
      </c>
      <c r="AF505">
        <f t="shared" si="392"/>
        <v>4.4064606827429999E-2</v>
      </c>
      <c r="AG505">
        <f t="shared" si="421"/>
        <v>94.842411749717456</v>
      </c>
      <c r="AH505">
        <f t="shared" si="422"/>
        <v>-901.302465721114</v>
      </c>
      <c r="AJ505">
        <f t="shared" si="393"/>
        <v>22100</v>
      </c>
      <c r="AK505">
        <f t="shared" si="394"/>
        <v>262448.61542348086</v>
      </c>
      <c r="AL505">
        <v>1</v>
      </c>
      <c r="AM505">
        <f t="shared" si="395"/>
        <v>314.93395033156355</v>
      </c>
      <c r="AN505">
        <f t="shared" si="423"/>
        <v>833.55936003775867</v>
      </c>
      <c r="AO505">
        <f t="shared" si="424"/>
        <v>-67.526669060521598</v>
      </c>
      <c r="AQ505">
        <f t="shared" si="396"/>
        <v>1.1809023061959227E-3</v>
      </c>
      <c r="AR505">
        <f t="shared" si="397"/>
        <v>-3.4364257110301355</v>
      </c>
      <c r="AT505">
        <f t="shared" si="418"/>
        <v>-3097.1469669961334</v>
      </c>
      <c r="AU505">
        <f t="shared" si="419"/>
        <v>-326.98325239318586</v>
      </c>
      <c r="AV505">
        <f t="shared" si="407"/>
        <v>-3.0364066739283064</v>
      </c>
      <c r="AW505">
        <f t="shared" si="408"/>
        <v>701.76095459840417</v>
      </c>
      <c r="AX505">
        <f t="shared" si="409"/>
        <v>-4017.6543522995798</v>
      </c>
      <c r="AY505">
        <f t="shared" si="417"/>
        <v>-1.3978715319848221</v>
      </c>
      <c r="BA505">
        <f t="shared" si="398"/>
        <v>0.76360761511465891</v>
      </c>
      <c r="BB505">
        <f t="shared" si="410"/>
        <v>-2.3425949846720591</v>
      </c>
      <c r="BC505">
        <f t="shared" si="411"/>
        <v>-1.6385351419434844</v>
      </c>
      <c r="BD505">
        <f t="shared" si="399"/>
        <v>-273.88114832450577</v>
      </c>
      <c r="BF505">
        <f t="shared" si="400"/>
        <v>-55.498034486472463</v>
      </c>
      <c r="BG505">
        <f t="shared" si="401"/>
        <v>-188.55045477889215</v>
      </c>
      <c r="BH505">
        <f t="shared" si="412"/>
        <v>-8.5504547788921457</v>
      </c>
      <c r="BI505">
        <f t="shared" si="413"/>
        <v>-8.5504547788921457</v>
      </c>
      <c r="BJ505">
        <f t="shared" si="402"/>
        <v>0</v>
      </c>
      <c r="BK505">
        <f t="shared" si="414"/>
        <v>0</v>
      </c>
      <c r="BM505">
        <f t="shared" si="415"/>
        <v>-53.155439501800402</v>
      </c>
      <c r="BN505">
        <f t="shared" si="403"/>
        <v>-94.669306454386401</v>
      </c>
      <c r="BQ505" s="56">
        <f t="shared" si="416"/>
        <v>14.559365815613077</v>
      </c>
    </row>
    <row r="506" spans="1:69" x14ac:dyDescent="0.25">
      <c r="A506">
        <f t="shared" si="420"/>
        <v>1460000</v>
      </c>
      <c r="B506">
        <f t="shared" si="404"/>
        <v>1460</v>
      </c>
      <c r="C506">
        <f t="shared" si="373"/>
        <v>12.150176302124429</v>
      </c>
      <c r="D506">
        <f t="shared" si="374"/>
        <v>1.4883997916745422</v>
      </c>
      <c r="F506">
        <f t="shared" si="375"/>
        <v>1.202414384425079E-5</v>
      </c>
      <c r="G506">
        <f t="shared" si="376"/>
        <v>1.1795716043228998E-3</v>
      </c>
      <c r="H506">
        <f t="shared" si="377"/>
        <v>-3.1404130783956772</v>
      </c>
      <c r="J506">
        <f t="shared" si="378"/>
        <v>15</v>
      </c>
      <c r="M506">
        <f t="shared" si="379"/>
        <v>1.0233588847281428E-3</v>
      </c>
      <c r="N506">
        <f t="shared" si="380"/>
        <v>-1.5707963250000001</v>
      </c>
      <c r="O506">
        <f t="shared" si="381"/>
        <v>373.37912292154749</v>
      </c>
      <c r="P506">
        <f t="shared" si="382"/>
        <v>1.568118080652807</v>
      </c>
      <c r="Q506">
        <f t="shared" si="383"/>
        <v>316.01777977698174</v>
      </c>
      <c r="R506">
        <f t="shared" si="384"/>
        <v>1.5676319425960217</v>
      </c>
      <c r="S506">
        <f t="shared" si="385"/>
        <v>8.3624640290759486E-2</v>
      </c>
      <c r="T506">
        <f t="shared" si="386"/>
        <v>-1.4870739128683257</v>
      </c>
      <c r="U506">
        <f t="shared" si="387"/>
        <v>0.1069593533952175</v>
      </c>
      <c r="V506">
        <f t="shared" si="388"/>
        <v>-1.4636319750363536</v>
      </c>
      <c r="X506">
        <f t="shared" si="405"/>
        <v>-52.516589070349809</v>
      </c>
      <c r="Y506">
        <f t="shared" si="389"/>
        <v>-174.05114114583165</v>
      </c>
      <c r="Z506">
        <f t="shared" si="406"/>
        <v>5.9488588541683498</v>
      </c>
      <c r="AC506">
        <v>1</v>
      </c>
      <c r="AD506">
        <f t="shared" si="390"/>
        <v>373.37778379767599</v>
      </c>
      <c r="AE506">
        <f t="shared" si="391"/>
        <v>-0.41101951579872464</v>
      </c>
      <c r="AF506">
        <f t="shared" si="392"/>
        <v>4.4216031593160003E-2</v>
      </c>
      <c r="AG506">
        <f t="shared" si="421"/>
        <v>94.201337487205251</v>
      </c>
      <c r="AH506">
        <f t="shared" si="422"/>
        <v>-898.28477795206777</v>
      </c>
      <c r="AJ506">
        <f t="shared" si="393"/>
        <v>22100</v>
      </c>
      <c r="AK506">
        <f t="shared" si="394"/>
        <v>263350.50069985021</v>
      </c>
      <c r="AL506">
        <v>1</v>
      </c>
      <c r="AM506">
        <f t="shared" si="395"/>
        <v>316.01619758356202</v>
      </c>
      <c r="AN506">
        <f t="shared" si="423"/>
        <v>833.55789396896409</v>
      </c>
      <c r="AO506">
        <f t="shared" si="424"/>
        <v>-67.295417983781348</v>
      </c>
      <c r="AQ506">
        <f t="shared" si="396"/>
        <v>1.1728277851346658E-3</v>
      </c>
      <c r="AR506">
        <f t="shared" si="397"/>
        <v>-3.4246571325932242</v>
      </c>
      <c r="AT506">
        <f t="shared" si="418"/>
        <v>-3076.2068899674678</v>
      </c>
      <c r="AU506">
        <f t="shared" si="419"/>
        <v>-323.66081567192464</v>
      </c>
      <c r="AV506">
        <f t="shared" si="407"/>
        <v>-3.0367640822333035</v>
      </c>
      <c r="AW506">
        <f t="shared" si="408"/>
        <v>702.66841344257989</v>
      </c>
      <c r="AX506">
        <f t="shared" si="409"/>
        <v>-4003.9618379613839</v>
      </c>
      <c r="AY506">
        <f t="shared" si="417"/>
        <v>-1.3970720740282714</v>
      </c>
      <c r="BA506">
        <f t="shared" si="398"/>
        <v>0.7609033052559202</v>
      </c>
      <c r="BB506">
        <f t="shared" si="410"/>
        <v>-2.3734105876357141</v>
      </c>
      <c r="BC506">
        <f t="shared" si="411"/>
        <v>-1.6396920082050321</v>
      </c>
      <c r="BD506">
        <f t="shared" si="399"/>
        <v>-273.94743187882926</v>
      </c>
      <c r="BF506">
        <f t="shared" si="400"/>
        <v>-55.558850551394521</v>
      </c>
      <c r="BG506">
        <f t="shared" si="401"/>
        <v>-188.60082101564316</v>
      </c>
      <c r="BH506">
        <f t="shared" si="412"/>
        <v>-8.600821015643163</v>
      </c>
      <c r="BI506">
        <f t="shared" si="413"/>
        <v>-8.600821015643163</v>
      </c>
      <c r="BJ506">
        <f t="shared" si="402"/>
        <v>0</v>
      </c>
      <c r="BK506">
        <f t="shared" si="414"/>
        <v>0</v>
      </c>
      <c r="BM506">
        <f t="shared" si="415"/>
        <v>-53.18543996375881</v>
      </c>
      <c r="BN506">
        <f t="shared" si="403"/>
        <v>-94.653389136813871</v>
      </c>
      <c r="BQ506" s="56">
        <f t="shared" si="416"/>
        <v>14.528550212649423</v>
      </c>
    </row>
    <row r="507" spans="1:69" x14ac:dyDescent="0.25">
      <c r="A507">
        <f t="shared" si="420"/>
        <v>1465000</v>
      </c>
      <c r="B507">
        <f t="shared" si="404"/>
        <v>1465</v>
      </c>
      <c r="C507">
        <f t="shared" si="373"/>
        <v>12.191505111956104</v>
      </c>
      <c r="D507">
        <f t="shared" si="374"/>
        <v>1.4886797438871344</v>
      </c>
      <c r="F507">
        <f t="shared" si="375"/>
        <v>1.1942206910964525E-5</v>
      </c>
      <c r="G507">
        <f t="shared" si="376"/>
        <v>1.1755456694990667E-3</v>
      </c>
      <c r="H507">
        <f t="shared" si="377"/>
        <v>-3.1404171043305014</v>
      </c>
      <c r="J507">
        <f t="shared" si="378"/>
        <v>15</v>
      </c>
      <c r="M507">
        <f t="shared" si="379"/>
        <v>1.0198661922887974E-3</v>
      </c>
      <c r="N507">
        <f t="shared" si="380"/>
        <v>-1.5707963250000001</v>
      </c>
      <c r="O507">
        <f t="shared" si="381"/>
        <v>374.65780939157816</v>
      </c>
      <c r="P507">
        <f t="shared" si="382"/>
        <v>1.5681272213811355</v>
      </c>
      <c r="Q507">
        <f t="shared" si="383"/>
        <v>317.10002162902958</v>
      </c>
      <c r="R507">
        <f t="shared" si="384"/>
        <v>1.5676427424703661</v>
      </c>
      <c r="S507">
        <f t="shared" si="385"/>
        <v>8.3341217710290752E-2</v>
      </c>
      <c r="T507">
        <f t="shared" si="386"/>
        <v>-1.4873583282849827</v>
      </c>
      <c r="U507">
        <f t="shared" si="387"/>
        <v>0.10659845956569312</v>
      </c>
      <c r="V507">
        <f t="shared" si="388"/>
        <v>-1.4639949440381825</v>
      </c>
      <c r="X507">
        <f t="shared" si="405"/>
        <v>-52.575635942796481</v>
      </c>
      <c r="Y507">
        <f t="shared" si="389"/>
        <v>-174.07128161720951</v>
      </c>
      <c r="Z507">
        <f t="shared" si="406"/>
        <v>5.9287183827904926</v>
      </c>
      <c r="AC507">
        <v>1</v>
      </c>
      <c r="AD507">
        <f t="shared" si="390"/>
        <v>374.65647483807896</v>
      </c>
      <c r="AE507">
        <f t="shared" si="391"/>
        <v>-0.41383953851337868</v>
      </c>
      <c r="AF507">
        <f t="shared" si="392"/>
        <v>4.4367456358890001E-2</v>
      </c>
      <c r="AG507">
        <f t="shared" si="421"/>
        <v>93.566716467317903</v>
      </c>
      <c r="AH507">
        <f t="shared" si="422"/>
        <v>-895.28699688657923</v>
      </c>
      <c r="AJ507">
        <f t="shared" si="393"/>
        <v>22100</v>
      </c>
      <c r="AK507">
        <f t="shared" si="394"/>
        <v>264252.38597621955</v>
      </c>
      <c r="AL507">
        <v>1</v>
      </c>
      <c r="AM507">
        <f t="shared" si="395"/>
        <v>317.09844483556054</v>
      </c>
      <c r="AN507">
        <f t="shared" si="423"/>
        <v>833.55644288528288</v>
      </c>
      <c r="AO507">
        <f t="shared" si="424"/>
        <v>-67.065745365427347</v>
      </c>
      <c r="AQ507">
        <f t="shared" si="396"/>
        <v>1.1648357971745975E-3</v>
      </c>
      <c r="AR507">
        <f t="shared" si="397"/>
        <v>-3.412968885721571</v>
      </c>
      <c r="AT507">
        <f t="shared" si="418"/>
        <v>-3055.4776743042348</v>
      </c>
      <c r="AU507">
        <f t="shared" si="419"/>
        <v>-320.38315438480657</v>
      </c>
      <c r="AV507">
        <f t="shared" si="407"/>
        <v>-3.0371190793317644</v>
      </c>
      <c r="AW507">
        <f t="shared" si="408"/>
        <v>703.56649298774391</v>
      </c>
      <c r="AX507">
        <f t="shared" si="409"/>
        <v>-3990.3621208575732</v>
      </c>
      <c r="AY507">
        <f t="shared" si="417"/>
        <v>-1.396273612443593</v>
      </c>
      <c r="BA507">
        <f t="shared" si="398"/>
        <v>0.75821692321026968</v>
      </c>
      <c r="BB507">
        <f t="shared" si="410"/>
        <v>-2.4041305291646635</v>
      </c>
      <c r="BC507">
        <f t="shared" si="411"/>
        <v>-1.6408454668881713</v>
      </c>
      <c r="BD507">
        <f t="shared" si="399"/>
        <v>-274.01352019329141</v>
      </c>
      <c r="BF507">
        <f t="shared" si="400"/>
        <v>-55.619467015922964</v>
      </c>
      <c r="BG507">
        <f t="shared" si="401"/>
        <v>-188.65109991891433</v>
      </c>
      <c r="BH507">
        <f t="shared" si="412"/>
        <v>-8.6510999189143263</v>
      </c>
      <c r="BI507">
        <f t="shared" si="413"/>
        <v>-8.6510999189143263</v>
      </c>
      <c r="BJ507">
        <f t="shared" si="402"/>
        <v>0</v>
      </c>
      <c r="BK507">
        <f t="shared" si="414"/>
        <v>0</v>
      </c>
      <c r="BM507">
        <f t="shared" si="415"/>
        <v>-53.215336486758289</v>
      </c>
      <c r="BN507">
        <f t="shared" si="403"/>
        <v>-94.637579725622942</v>
      </c>
      <c r="BQ507" s="56">
        <f t="shared" si="416"/>
        <v>14.497830271120474</v>
      </c>
    </row>
    <row r="508" spans="1:69" x14ac:dyDescent="0.25">
      <c r="A508">
        <f t="shared" si="420"/>
        <v>1470000</v>
      </c>
      <c r="B508">
        <f t="shared" si="404"/>
        <v>1470</v>
      </c>
      <c r="C508">
        <f t="shared" si="373"/>
        <v>12.232834870819248</v>
      </c>
      <c r="D508">
        <f t="shared" si="374"/>
        <v>1.4889578044327467</v>
      </c>
      <c r="F508">
        <f t="shared" si="375"/>
        <v>1.186110465863572E-5</v>
      </c>
      <c r="G508">
        <f t="shared" si="376"/>
        <v>1.1715471229328512E-3</v>
      </c>
      <c r="H508">
        <f t="shared" si="377"/>
        <v>-3.1404211028770672</v>
      </c>
      <c r="J508">
        <f t="shared" si="378"/>
        <v>15</v>
      </c>
      <c r="M508">
        <f t="shared" si="379"/>
        <v>1.0163972596619649E-3</v>
      </c>
      <c r="N508">
        <f t="shared" si="380"/>
        <v>-1.5707963250000001</v>
      </c>
      <c r="O508">
        <f t="shared" si="381"/>
        <v>375.93649589269961</v>
      </c>
      <c r="P508">
        <f t="shared" si="382"/>
        <v>1.5681362999280801</v>
      </c>
      <c r="Q508">
        <f t="shared" si="383"/>
        <v>318.18226351781158</v>
      </c>
      <c r="R508">
        <f t="shared" si="384"/>
        <v>1.5676534688769057</v>
      </c>
      <c r="S508">
        <f t="shared" si="385"/>
        <v>8.3059703154448924E-2</v>
      </c>
      <c r="T508">
        <f t="shared" si="386"/>
        <v>-1.4876408222962414</v>
      </c>
      <c r="U508">
        <f t="shared" si="387"/>
        <v>0.1062399790897073</v>
      </c>
      <c r="V508">
        <f t="shared" si="388"/>
        <v>-1.4643554718268155</v>
      </c>
      <c r="X508">
        <f t="shared" si="405"/>
        <v>-52.634483937789128</v>
      </c>
      <c r="Y508">
        <f t="shared" si="389"/>
        <v>-174.09128671638265</v>
      </c>
      <c r="Z508">
        <f t="shared" si="406"/>
        <v>5.9087132836173453</v>
      </c>
      <c r="AC508">
        <v>1</v>
      </c>
      <c r="AD508">
        <f t="shared" si="390"/>
        <v>375.935165878482</v>
      </c>
      <c r="AE508">
        <f t="shared" si="391"/>
        <v>-0.41666920233133053</v>
      </c>
      <c r="AF508">
        <f t="shared" si="392"/>
        <v>4.4518881124619998E-2</v>
      </c>
      <c r="AG508">
        <f t="shared" si="421"/>
        <v>92.938462697381865</v>
      </c>
      <c r="AH508">
        <f t="shared" si="422"/>
        <v>-892.30892858287893</v>
      </c>
      <c r="AJ508">
        <f t="shared" si="393"/>
        <v>22100</v>
      </c>
      <c r="AK508">
        <f t="shared" si="394"/>
        <v>265154.27125258895</v>
      </c>
      <c r="AL508">
        <v>1</v>
      </c>
      <c r="AM508">
        <f t="shared" si="395"/>
        <v>318.18069208755907</v>
      </c>
      <c r="AN508">
        <f t="shared" si="423"/>
        <v>833.55500658318704</v>
      </c>
      <c r="AO508">
        <f t="shared" si="424"/>
        <v>-66.837635099381117</v>
      </c>
      <c r="AQ508">
        <f t="shared" si="396"/>
        <v>1.1569252213284719E-3</v>
      </c>
      <c r="AR508">
        <f t="shared" si="397"/>
        <v>-3.401360150705707</v>
      </c>
      <c r="AT508">
        <f t="shared" si="418"/>
        <v>-3034.956508949183</v>
      </c>
      <c r="AU508">
        <f t="shared" si="419"/>
        <v>-317.1495181914176</v>
      </c>
      <c r="AV508">
        <f t="shared" si="407"/>
        <v>-3.0374716894472238</v>
      </c>
      <c r="AW508">
        <f t="shared" si="408"/>
        <v>704.45532235522114</v>
      </c>
      <c r="AX508">
        <f t="shared" si="409"/>
        <v>-3976.8542629213653</v>
      </c>
      <c r="AY508">
        <f t="shared" si="417"/>
        <v>-1.3954761393006676</v>
      </c>
      <c r="BA508">
        <f t="shared" si="398"/>
        <v>0.75554828926069673</v>
      </c>
      <c r="BB508">
        <f t="shared" si="410"/>
        <v>-2.4347554686100676</v>
      </c>
      <c r="BC508">
        <f t="shared" si="411"/>
        <v>-1.6419955501465562</v>
      </c>
      <c r="BD508">
        <f t="shared" si="399"/>
        <v>-274.07941511016077</v>
      </c>
      <c r="BF508">
        <f t="shared" si="400"/>
        <v>-55.679885261521932</v>
      </c>
      <c r="BG508">
        <f t="shared" si="401"/>
        <v>-188.70129223989551</v>
      </c>
      <c r="BH508">
        <f t="shared" si="412"/>
        <v>-8.7012922398955084</v>
      </c>
      <c r="BI508">
        <f t="shared" si="413"/>
        <v>-8.7012922398955084</v>
      </c>
      <c r="BJ508">
        <f t="shared" si="402"/>
        <v>0</v>
      </c>
      <c r="BK508">
        <f t="shared" si="414"/>
        <v>0</v>
      </c>
      <c r="BM508">
        <f t="shared" si="415"/>
        <v>-53.245129792911861</v>
      </c>
      <c r="BN508">
        <f t="shared" si="403"/>
        <v>-94.621877129734713</v>
      </c>
      <c r="BQ508" s="56">
        <f t="shared" si="416"/>
        <v>14.467205331675071</v>
      </c>
    </row>
    <row r="509" spans="1:69" x14ac:dyDescent="0.25">
      <c r="A509">
        <f t="shared" si="420"/>
        <v>1475000</v>
      </c>
      <c r="B509">
        <f t="shared" si="404"/>
        <v>1475</v>
      </c>
      <c r="C509">
        <f t="shared" si="373"/>
        <v>12.274165569127081</v>
      </c>
      <c r="D509">
        <f t="shared" si="374"/>
        <v>1.4892339923775473</v>
      </c>
      <c r="F509">
        <f t="shared" si="375"/>
        <v>1.1780825788549816E-5</v>
      </c>
      <c r="G509">
        <f t="shared" si="376"/>
        <v>1.1675756860868387E-3</v>
      </c>
      <c r="H509">
        <f t="shared" si="377"/>
        <v>-3.1404250743139133</v>
      </c>
      <c r="J509">
        <f t="shared" si="378"/>
        <v>15</v>
      </c>
      <c r="M509">
        <f t="shared" si="379"/>
        <v>1.0129518452224328E-3</v>
      </c>
      <c r="N509">
        <f t="shared" si="380"/>
        <v>-1.5707963250000001</v>
      </c>
      <c r="O509">
        <f t="shared" si="381"/>
        <v>377.2151824245957</v>
      </c>
      <c r="P509">
        <f t="shared" si="382"/>
        <v>1.5681453169259878</v>
      </c>
      <c r="Q509">
        <f t="shared" si="383"/>
        <v>319.26450544295398</v>
      </c>
      <c r="R509">
        <f t="shared" si="384"/>
        <v>1.567664122562761</v>
      </c>
      <c r="S509">
        <f t="shared" si="385"/>
        <v>8.278007748735268E-2</v>
      </c>
      <c r="T509">
        <f t="shared" si="386"/>
        <v>-1.4879214142623776</v>
      </c>
      <c r="U509">
        <f t="shared" si="387"/>
        <v>0.10588388797940881</v>
      </c>
      <c r="V509">
        <f t="shared" si="388"/>
        <v>-1.4647135828551507</v>
      </c>
      <c r="X509">
        <f t="shared" si="405"/>
        <v>-52.693134382937181</v>
      </c>
      <c r="Y509">
        <f t="shared" si="389"/>
        <v>-174.1111577981716</v>
      </c>
      <c r="Z509">
        <f t="shared" si="406"/>
        <v>5.8888422018283961</v>
      </c>
      <c r="AC509">
        <v>1</v>
      </c>
      <c r="AD509">
        <f t="shared" si="390"/>
        <v>377.21385691888503</v>
      </c>
      <c r="AE509">
        <f t="shared" si="391"/>
        <v>-0.41950850725258038</v>
      </c>
      <c r="AF509">
        <f t="shared" si="392"/>
        <v>4.4670305890350002E-2</v>
      </c>
      <c r="AG509">
        <f t="shared" si="421"/>
        <v>92.316491606804519</v>
      </c>
      <c r="AH509">
        <f t="shared" si="422"/>
        <v>-889.35038157748886</v>
      </c>
      <c r="AJ509">
        <f t="shared" si="393"/>
        <v>22100</v>
      </c>
      <c r="AK509">
        <f t="shared" si="394"/>
        <v>266056.15652895829</v>
      </c>
      <c r="AL509">
        <v>1</v>
      </c>
      <c r="AM509">
        <f t="shared" si="395"/>
        <v>319.26293933955753</v>
      </c>
      <c r="AN509">
        <f t="shared" si="423"/>
        <v>833.55358486259149</v>
      </c>
      <c r="AO509">
        <f t="shared" si="424"/>
        <v>-66.611071297940782</v>
      </c>
      <c r="AQ509">
        <f t="shared" si="396"/>
        <v>1.1490949555765637E-3</v>
      </c>
      <c r="AR509">
        <f t="shared" si="397"/>
        <v>-3.3898301189508624</v>
      </c>
      <c r="AT509">
        <f t="shared" si="418"/>
        <v>-3014.6406293569921</v>
      </c>
      <c r="AU509">
        <f t="shared" si="419"/>
        <v>-313.95917176183121</v>
      </c>
      <c r="AV509">
        <f t="shared" si="407"/>
        <v>-3.0378219364810928</v>
      </c>
      <c r="AW509">
        <f t="shared" si="408"/>
        <v>705.335028447176</v>
      </c>
      <c r="AX509">
        <f t="shared" si="409"/>
        <v>-3963.4373386600582</v>
      </c>
      <c r="AY509">
        <f t="shared" si="417"/>
        <v>-1.3946796467888725</v>
      </c>
      <c r="BA509">
        <f t="shared" si="398"/>
        <v>0.75289722608128073</v>
      </c>
      <c r="BB509">
        <f t="shared" si="410"/>
        <v>-2.4652860587755603</v>
      </c>
      <c r="BC509">
        <f t="shared" si="411"/>
        <v>-1.6431422896922203</v>
      </c>
      <c r="BD509">
        <f t="shared" si="399"/>
        <v>-274.14511844640316</v>
      </c>
      <c r="BF509">
        <f t="shared" si="400"/>
        <v>-55.740106655567146</v>
      </c>
      <c r="BG509">
        <f t="shared" si="401"/>
        <v>-188.75139871910048</v>
      </c>
      <c r="BH509">
        <f t="shared" si="412"/>
        <v>-8.7513987191004787</v>
      </c>
      <c r="BI509">
        <f t="shared" si="413"/>
        <v>-8.7513987191004787</v>
      </c>
      <c r="BJ509">
        <f t="shared" si="402"/>
        <v>0</v>
      </c>
      <c r="BK509">
        <f t="shared" si="414"/>
        <v>0</v>
      </c>
      <c r="BM509">
        <f t="shared" si="415"/>
        <v>-53.274820596791592</v>
      </c>
      <c r="BN509">
        <f t="shared" si="403"/>
        <v>-94.606280272697305</v>
      </c>
      <c r="BQ509" s="56">
        <f t="shared" si="416"/>
        <v>14.436674741509577</v>
      </c>
    </row>
    <row r="510" spans="1:69" x14ac:dyDescent="0.25">
      <c r="A510">
        <f t="shared" si="420"/>
        <v>1480000</v>
      </c>
      <c r="B510">
        <f t="shared" si="404"/>
        <v>1480</v>
      </c>
      <c r="C510">
        <f t="shared" si="373"/>
        <v>12.315497197421305</v>
      </c>
      <c r="D510">
        <f t="shared" si="374"/>
        <v>1.4895083265329063</v>
      </c>
      <c r="F510">
        <f t="shared" si="375"/>
        <v>1.1701359192530246E-5</v>
      </c>
      <c r="G510">
        <f t="shared" si="376"/>
        <v>1.1636310841878488E-3</v>
      </c>
      <c r="H510">
        <f t="shared" si="377"/>
        <v>-3.1404290189158122</v>
      </c>
      <c r="J510">
        <f t="shared" si="378"/>
        <v>15</v>
      </c>
      <c r="M510">
        <f t="shared" si="379"/>
        <v>1.0095297106101947E-3</v>
      </c>
      <c r="N510">
        <f t="shared" si="380"/>
        <v>-1.5707963250000001</v>
      </c>
      <c r="O510">
        <f t="shared" si="381"/>
        <v>378.49386898695451</v>
      </c>
      <c r="P510">
        <f t="shared" si="382"/>
        <v>1.5681542729986608</v>
      </c>
      <c r="Q510">
        <f t="shared" si="383"/>
        <v>320.34674740408849</v>
      </c>
      <c r="R510">
        <f t="shared" si="384"/>
        <v>1.5676747042649564</v>
      </c>
      <c r="S510">
        <f t="shared" si="385"/>
        <v>8.250232182725982E-2</v>
      </c>
      <c r="T510">
        <f t="shared" si="386"/>
        <v>-1.4882001232850333</v>
      </c>
      <c r="U510">
        <f t="shared" si="387"/>
        <v>0.10553016256194039</v>
      </c>
      <c r="V510">
        <f t="shared" si="388"/>
        <v>-1.4650693012518268</v>
      </c>
      <c r="X510">
        <f t="shared" si="405"/>
        <v>-52.751588592675702</v>
      </c>
      <c r="Y510">
        <f t="shared" si="389"/>
        <v>-174.13089619945052</v>
      </c>
      <c r="Z510">
        <f t="shared" si="406"/>
        <v>5.8691038005494818</v>
      </c>
      <c r="AC510">
        <v>1</v>
      </c>
      <c r="AD510">
        <f t="shared" si="390"/>
        <v>378.492547959288</v>
      </c>
      <c r="AE510">
        <f t="shared" si="391"/>
        <v>-0.4223574532771282</v>
      </c>
      <c r="AF510">
        <f t="shared" si="392"/>
        <v>4.482173065608E-2</v>
      </c>
      <c r="AG510">
        <f t="shared" si="421"/>
        <v>91.700720019057201</v>
      </c>
      <c r="AH510">
        <f t="shared" si="422"/>
        <v>-886.41116684633403</v>
      </c>
      <c r="AJ510">
        <f t="shared" si="393"/>
        <v>22100</v>
      </c>
      <c r="AK510">
        <f t="shared" si="394"/>
        <v>266958.04180532764</v>
      </c>
      <c r="AL510">
        <v>1</v>
      </c>
      <c r="AM510">
        <f t="shared" si="395"/>
        <v>320.34518659155606</v>
      </c>
      <c r="AN510">
        <f t="shared" si="423"/>
        <v>833.5521775267847</v>
      </c>
      <c r="AO510">
        <f t="shared" si="424"/>
        <v>-66.386038288092621</v>
      </c>
      <c r="AQ510">
        <f t="shared" si="396"/>
        <v>1.1413439164828438E-3</v>
      </c>
      <c r="AR510">
        <f t="shared" si="397"/>
        <v>-3.3783779927892175</v>
      </c>
      <c r="AT510">
        <f t="shared" si="418"/>
        <v>-2994.5273165773351</v>
      </c>
      <c r="AU510">
        <f t="shared" si="419"/>
        <v>-310.81139442809098</v>
      </c>
      <c r="AV510">
        <f t="shared" si="407"/>
        <v>-3.0381698440179745</v>
      </c>
      <c r="AW510">
        <f t="shared" si="408"/>
        <v>706.20573599231273</v>
      </c>
      <c r="AX510">
        <f t="shared" si="409"/>
        <v>-3950.1104349454863</v>
      </c>
      <c r="AY510">
        <f t="shared" si="417"/>
        <v>-1.393884127214936</v>
      </c>
      <c r="BA510">
        <f t="shared" si="398"/>
        <v>0.75026355869773731</v>
      </c>
      <c r="BB510">
        <f t="shared" si="410"/>
        <v>-2.4957229460021928</v>
      </c>
      <c r="BC510">
        <f t="shared" si="411"/>
        <v>-1.6442857168030385</v>
      </c>
      <c r="BD510">
        <f t="shared" si="399"/>
        <v>-274.21063199410878</v>
      </c>
      <c r="BF510">
        <f t="shared" si="400"/>
        <v>-55.800132551535896</v>
      </c>
      <c r="BG510">
        <f t="shared" si="401"/>
        <v>-188.80142008655065</v>
      </c>
      <c r="BH510">
        <f t="shared" si="412"/>
        <v>-8.8014200865506496</v>
      </c>
      <c r="BI510">
        <f t="shared" si="413"/>
        <v>-8.8014200865506496</v>
      </c>
      <c r="BJ510">
        <f t="shared" si="402"/>
        <v>0</v>
      </c>
      <c r="BK510">
        <f t="shared" si="414"/>
        <v>0</v>
      </c>
      <c r="BM510">
        <f t="shared" si="415"/>
        <v>-53.304409605533706</v>
      </c>
      <c r="BN510">
        <f t="shared" si="403"/>
        <v>-94.590788092441912</v>
      </c>
      <c r="BQ510" s="56">
        <f t="shared" si="416"/>
        <v>14.406237854282944</v>
      </c>
    </row>
    <row r="511" spans="1:69" x14ac:dyDescent="0.25">
      <c r="A511">
        <f t="shared" si="420"/>
        <v>1485000</v>
      </c>
      <c r="B511">
        <f t="shared" si="404"/>
        <v>1485</v>
      </c>
      <c r="C511">
        <f t="shared" si="373"/>
        <v>12.356829746369941</v>
      </c>
      <c r="D511">
        <f t="shared" si="374"/>
        <v>1.4897808254596292</v>
      </c>
      <c r="F511">
        <f t="shared" si="375"/>
        <v>1.1622693949095542E-5</v>
      </c>
      <c r="G511">
        <f t="shared" si="376"/>
        <v>1.1597130461635588E-3</v>
      </c>
      <c r="H511">
        <f t="shared" si="377"/>
        <v>-3.1404329369538369</v>
      </c>
      <c r="J511">
        <f t="shared" si="378"/>
        <v>15</v>
      </c>
      <c r="M511">
        <f t="shared" si="379"/>
        <v>1.0061306206754805E-3</v>
      </c>
      <c r="N511">
        <f t="shared" si="380"/>
        <v>-1.5707963250000001</v>
      </c>
      <c r="O511">
        <f t="shared" si="381"/>
        <v>379.77255557946836</v>
      </c>
      <c r="P511">
        <f t="shared" si="382"/>
        <v>1.5681631687614996</v>
      </c>
      <c r="Q511">
        <f t="shared" si="383"/>
        <v>321.42898940085144</v>
      </c>
      <c r="R511">
        <f t="shared" si="384"/>
        <v>1.5676852147105897</v>
      </c>
      <c r="S511">
        <f t="shared" si="385"/>
        <v>8.222641754237732E-2</v>
      </c>
      <c r="T511">
        <f t="shared" si="386"/>
        <v>-1.4884769682115107</v>
      </c>
      <c r="U511">
        <f t="shared" si="387"/>
        <v>0.10517877947431631</v>
      </c>
      <c r="V511">
        <f t="shared" si="388"/>
        <v>-1.4654226508265586</v>
      </c>
      <c r="X511">
        <f t="shared" si="405"/>
        <v>-52.809847868438183</v>
      </c>
      <c r="Y511">
        <f t="shared" si="389"/>
        <v>-174.15050323944246</v>
      </c>
      <c r="Z511">
        <f t="shared" si="406"/>
        <v>5.8494967605575425</v>
      </c>
      <c r="AC511">
        <v>1</v>
      </c>
      <c r="AD511">
        <f t="shared" si="390"/>
        <v>379.77123899969098</v>
      </c>
      <c r="AE511">
        <f t="shared" si="391"/>
        <v>-0.42521604040497407</v>
      </c>
      <c r="AF511">
        <f t="shared" si="392"/>
        <v>4.4973155421809997E-2</v>
      </c>
      <c r="AG511">
        <f t="shared" si="421"/>
        <v>91.091066124297541</v>
      </c>
      <c r="AH511">
        <f t="shared" si="422"/>
        <v>-883.49109776656951</v>
      </c>
      <c r="AJ511">
        <f t="shared" si="393"/>
        <v>22100</v>
      </c>
      <c r="AK511">
        <f t="shared" si="394"/>
        <v>267859.92708169698</v>
      </c>
      <c r="AL511">
        <v>1</v>
      </c>
      <c r="AM511">
        <f t="shared" si="395"/>
        <v>321.42743384355452</v>
      </c>
      <c r="AN511">
        <f t="shared" si="423"/>
        <v>833.55078438236274</v>
      </c>
      <c r="AO511">
        <f t="shared" si="424"/>
        <v>-66.162520607897036</v>
      </c>
      <c r="AQ511">
        <f t="shared" si="396"/>
        <v>1.133671038820184E-3</v>
      </c>
      <c r="AR511">
        <f t="shared" si="397"/>
        <v>-3.3670029852959464</v>
      </c>
      <c r="AT511">
        <f t="shared" si="418"/>
        <v>-2974.6138963588724</v>
      </c>
      <c r="AU511">
        <f t="shared" si="419"/>
        <v>-307.70547984489366</v>
      </c>
      <c r="AV511">
        <f t="shared" si="407"/>
        <v>-3.0385154353308752</v>
      </c>
      <c r="AW511">
        <f t="shared" si="408"/>
        <v>707.06756759048176</v>
      </c>
      <c r="AX511">
        <f t="shared" si="409"/>
        <v>-3936.8726508086388</v>
      </c>
      <c r="AY511">
        <f t="shared" si="417"/>
        <v>-1.3930895730008377</v>
      </c>
      <c r="BA511">
        <f t="shared" si="398"/>
        <v>0.74764711444873977</v>
      </c>
      <c r="BB511">
        <f t="shared" si="410"/>
        <v>-2.5260667702520228</v>
      </c>
      <c r="BC511">
        <f t="shared" si="411"/>
        <v>-1.6454258623300375</v>
      </c>
      <c r="BD511">
        <f t="shared" si="399"/>
        <v>-274.27595752091116</v>
      </c>
      <c r="BF511">
        <f t="shared" si="400"/>
        <v>-55.859964289194025</v>
      </c>
      <c r="BG511">
        <f t="shared" si="401"/>
        <v>-188.85135706195521</v>
      </c>
      <c r="BH511">
        <f t="shared" si="412"/>
        <v>-8.8513570619552127</v>
      </c>
      <c r="BI511">
        <f t="shared" si="413"/>
        <v>-8.8513570619552127</v>
      </c>
      <c r="BJ511">
        <f t="shared" si="402"/>
        <v>0</v>
      </c>
      <c r="BK511">
        <f t="shared" si="414"/>
        <v>0</v>
      </c>
      <c r="BM511">
        <f t="shared" si="415"/>
        <v>-53.33389751894201</v>
      </c>
      <c r="BN511">
        <f t="shared" si="403"/>
        <v>-94.575399541044064</v>
      </c>
      <c r="BQ511" s="56">
        <f t="shared" si="416"/>
        <v>14.375894030033114</v>
      </c>
    </row>
    <row r="512" spans="1:69" x14ac:dyDescent="0.25">
      <c r="A512">
        <f t="shared" si="420"/>
        <v>1490000</v>
      </c>
      <c r="B512">
        <f t="shared" si="404"/>
        <v>1490</v>
      </c>
      <c r="C512">
        <f t="shared" si="373"/>
        <v>12.398163206765263</v>
      </c>
      <c r="D512">
        <f t="shared" si="374"/>
        <v>1.4900515074721041</v>
      </c>
      <c r="F512">
        <f t="shared" si="375"/>
        <v>1.1544819319706618E-5</v>
      </c>
      <c r="G512">
        <f t="shared" si="376"/>
        <v>1.155821304580405E-3</v>
      </c>
      <c r="H512">
        <f t="shared" si="377"/>
        <v>-3.1404368286954196</v>
      </c>
      <c r="J512">
        <f t="shared" si="378"/>
        <v>15</v>
      </c>
      <c r="M512">
        <f t="shared" si="379"/>
        <v>1.0027543434248916E-3</v>
      </c>
      <c r="N512">
        <f t="shared" si="380"/>
        <v>-1.5707963250000001</v>
      </c>
      <c r="O512">
        <f t="shared" si="381"/>
        <v>381.05124220183365</v>
      </c>
      <c r="P512">
        <f t="shared" si="382"/>
        <v>1.5681720048216448</v>
      </c>
      <c r="Q512">
        <f t="shared" si="383"/>
        <v>322.51123143288407</v>
      </c>
      <c r="R512">
        <f t="shared" si="384"/>
        <v>1.567695654617</v>
      </c>
      <c r="S512">
        <f t="shared" si="385"/>
        <v>8.1952346246753696E-2</v>
      </c>
      <c r="T512">
        <f t="shared" si="386"/>
        <v>-1.4887519676389809</v>
      </c>
      <c r="U512">
        <f t="shared" si="387"/>
        <v>0.10482971565839926</v>
      </c>
      <c r="V512">
        <f t="shared" si="388"/>
        <v>-1.4657736550753695</v>
      </c>
      <c r="X512">
        <f t="shared" si="405"/>
        <v>-52.867913498826518</v>
      </c>
      <c r="Y512">
        <f t="shared" si="389"/>
        <v>-174.16998022000837</v>
      </c>
      <c r="Z512">
        <f t="shared" si="406"/>
        <v>5.8300197799916305</v>
      </c>
      <c r="AC512">
        <v>1</v>
      </c>
      <c r="AD512">
        <f t="shared" si="390"/>
        <v>381.04993004009401</v>
      </c>
      <c r="AE512">
        <f t="shared" si="391"/>
        <v>-0.42808426863611776</v>
      </c>
      <c r="AF512">
        <f t="shared" si="392"/>
        <v>4.5124580187540002E-2</v>
      </c>
      <c r="AG512">
        <f t="shared" si="421"/>
        <v>90.487449452614186</v>
      </c>
      <c r="AH512">
        <f t="shared" si="422"/>
        <v>-880.5899900791137</v>
      </c>
      <c r="AJ512">
        <f t="shared" si="393"/>
        <v>22100</v>
      </c>
      <c r="AK512">
        <f t="shared" si="394"/>
        <v>268761.81235806632</v>
      </c>
      <c r="AL512">
        <v>1</v>
      </c>
      <c r="AM512">
        <f t="shared" si="395"/>
        <v>322.50968109555305</v>
      </c>
      <c r="AN512">
        <f t="shared" si="423"/>
        <v>833.54940523915957</v>
      </c>
      <c r="AO512">
        <f t="shared" si="424"/>
        <v>-65.940503002947153</v>
      </c>
      <c r="AQ512">
        <f t="shared" si="396"/>
        <v>1.1260752752043517E-3</v>
      </c>
      <c r="AR512">
        <f t="shared" si="397"/>
        <v>-3.355704320108968</v>
      </c>
      <c r="AT512">
        <f t="shared" si="418"/>
        <v>-2954.8977382736507</v>
      </c>
      <c r="AU512">
        <f t="shared" si="419"/>
        <v>-304.64073565919983</v>
      </c>
      <c r="AV512">
        <f t="shared" si="407"/>
        <v>-3.0388587333863151</v>
      </c>
      <c r="AW512">
        <f t="shared" si="408"/>
        <v>707.92064375621271</v>
      </c>
      <c r="AX512">
        <f t="shared" si="409"/>
        <v>-3923.7230972383495</v>
      </c>
      <c r="AY512">
        <f t="shared" si="417"/>
        <v>-1.3922959766817538</v>
      </c>
      <c r="BA512">
        <f t="shared" si="398"/>
        <v>0.74504772294800037</v>
      </c>
      <c r="BB512">
        <f t="shared" si="410"/>
        <v>-2.5563181651903406</v>
      </c>
      <c r="BC512">
        <f t="shared" si="411"/>
        <v>-1.6465627567045613</v>
      </c>
      <c r="BD512">
        <f t="shared" si="399"/>
        <v>-274.341096770398</v>
      </c>
      <c r="BF512">
        <f t="shared" si="400"/>
        <v>-55.919603194779654</v>
      </c>
      <c r="BG512">
        <f t="shared" si="401"/>
        <v>-188.9012103548873</v>
      </c>
      <c r="BH512">
        <f t="shared" si="412"/>
        <v>-8.9012103548872972</v>
      </c>
      <c r="BI512">
        <f t="shared" si="413"/>
        <v>-8.9012103548872972</v>
      </c>
      <c r="BJ512">
        <f t="shared" si="402"/>
        <v>0</v>
      </c>
      <c r="BK512">
        <f t="shared" si="414"/>
        <v>0</v>
      </c>
      <c r="BM512">
        <f t="shared" si="415"/>
        <v>-53.363285029589314</v>
      </c>
      <c r="BN512">
        <f t="shared" si="403"/>
        <v>-94.560113584489315</v>
      </c>
      <c r="BQ512" s="56">
        <f t="shared" si="416"/>
        <v>14.345642635094794</v>
      </c>
    </row>
    <row r="513" spans="1:69" x14ac:dyDescent="0.25">
      <c r="A513">
        <f t="shared" si="420"/>
        <v>1495000</v>
      </c>
      <c r="B513">
        <f t="shared" si="404"/>
        <v>1495</v>
      </c>
      <c r="C513">
        <f t="shared" si="373"/>
        <v>12.439497569521714</v>
      </c>
      <c r="D513">
        <f t="shared" si="374"/>
        <v>1.490320390642371</v>
      </c>
      <c r="F513">
        <f t="shared" si="375"/>
        <v>1.1467724745101742E-5</v>
      </c>
      <c r="G513">
        <f t="shared" si="376"/>
        <v>1.1519555955827306E-3</v>
      </c>
      <c r="H513">
        <f t="shared" si="377"/>
        <v>-3.1404406944044174</v>
      </c>
      <c r="J513">
        <f t="shared" si="378"/>
        <v>15</v>
      </c>
      <c r="M513">
        <f t="shared" si="379"/>
        <v>9.9940064996862092E-4</v>
      </c>
      <c r="N513">
        <f t="shared" si="380"/>
        <v>-1.5707963250000001</v>
      </c>
      <c r="O513">
        <f t="shared" si="381"/>
        <v>382.32992885375091</v>
      </c>
      <c r="P513">
        <f t="shared" si="382"/>
        <v>1.5681807817781142</v>
      </c>
      <c r="Q513">
        <f t="shared" si="383"/>
        <v>323.59347349983273</v>
      </c>
      <c r="R513">
        <f t="shared" si="384"/>
        <v>1.5677060246919294</v>
      </c>
      <c r="S513">
        <f t="shared" si="385"/>
        <v>8.1680089796251729E-2</v>
      </c>
      <c r="T513">
        <f t="shared" si="386"/>
        <v>-1.4890251399186121</v>
      </c>
      <c r="U513">
        <f t="shared" si="387"/>
        <v>0.10448294835597362</v>
      </c>
      <c r="V513">
        <f t="shared" si="388"/>
        <v>-1.466122337185721</v>
      </c>
      <c r="X513">
        <f t="shared" si="405"/>
        <v>-52.925786759778077</v>
      </c>
      <c r="Y513">
        <f t="shared" si="389"/>
        <v>-174.18932842593085</v>
      </c>
      <c r="Z513">
        <f t="shared" si="406"/>
        <v>5.810671574069147</v>
      </c>
      <c r="AC513">
        <v>1</v>
      </c>
      <c r="AD513">
        <f t="shared" si="390"/>
        <v>382.32862108049699</v>
      </c>
      <c r="AE513">
        <f t="shared" si="391"/>
        <v>-0.43096213797055949</v>
      </c>
      <c r="AF513">
        <f t="shared" si="392"/>
        <v>4.5276004953269999E-2</v>
      </c>
      <c r="AG513">
        <f t="shared" si="421"/>
        <v>89.889790847878174</v>
      </c>
      <c r="AH513">
        <f t="shared" si="422"/>
        <v>-877.7076618518638</v>
      </c>
      <c r="AJ513">
        <f t="shared" si="393"/>
        <v>22100</v>
      </c>
      <c r="AK513">
        <f t="shared" si="394"/>
        <v>269663.69763443567</v>
      </c>
      <c r="AL513">
        <v>1</v>
      </c>
      <c r="AM513">
        <f t="shared" si="395"/>
        <v>323.59192834755152</v>
      </c>
      <c r="AN513">
        <f t="shared" si="423"/>
        <v>833.54803991018491</v>
      </c>
      <c r="AO513">
        <f t="shared" si="424"/>
        <v>-65.719970422898626</v>
      </c>
      <c r="AQ513">
        <f t="shared" si="396"/>
        <v>1.1185555957365582E-3</v>
      </c>
      <c r="AR513">
        <f t="shared" si="397"/>
        <v>-3.3444812312523093</v>
      </c>
      <c r="AT513">
        <f t="shared" si="418"/>
        <v>-2935.3762548613545</v>
      </c>
      <c r="AU513">
        <f t="shared" si="419"/>
        <v>-301.61648318850945</v>
      </c>
      <c r="AV513">
        <f t="shared" si="407"/>
        <v>-3.0391997608493346</v>
      </c>
      <c r="AW513">
        <f t="shared" si="408"/>
        <v>708.76508296121972</v>
      </c>
      <c r="AX513">
        <f t="shared" si="409"/>
        <v>-3910.6608969839622</v>
      </c>
      <c r="AY513">
        <f t="shared" si="417"/>
        <v>-1.3915033309040443</v>
      </c>
      <c r="BA513">
        <f t="shared" si="398"/>
        <v>0.74246521604708726</v>
      </c>
      <c r="BB513">
        <f t="shared" si="410"/>
        <v>-2.586477758266637</v>
      </c>
      <c r="BC513">
        <f t="shared" si="411"/>
        <v>-1.6476964299452903</v>
      </c>
      <c r="BD513">
        <f t="shared" si="399"/>
        <v>-274.40605146251289</v>
      </c>
      <c r="BF513">
        <f t="shared" si="400"/>
        <v>-55.979050581183863</v>
      </c>
      <c r="BG513">
        <f t="shared" si="401"/>
        <v>-188.95098066495686</v>
      </c>
      <c r="BH513">
        <f t="shared" si="412"/>
        <v>-8.9509806649568588</v>
      </c>
      <c r="BI513">
        <f t="shared" si="413"/>
        <v>-8.9509806649568588</v>
      </c>
      <c r="BJ513">
        <f t="shared" si="402"/>
        <v>0</v>
      </c>
      <c r="BK513">
        <f t="shared" si="414"/>
        <v>0</v>
      </c>
      <c r="BM513">
        <f t="shared" si="415"/>
        <v>-53.392572822917231</v>
      </c>
      <c r="BN513">
        <f t="shared" si="403"/>
        <v>-94.544929202443981</v>
      </c>
      <c r="BQ513" s="56">
        <f t="shared" si="416"/>
        <v>14.315483042018499</v>
      </c>
    </row>
    <row r="514" spans="1:69" x14ac:dyDescent="0.25">
      <c r="A514">
        <f t="shared" si="420"/>
        <v>1500000</v>
      </c>
      <c r="B514">
        <f t="shared" si="404"/>
        <v>1500</v>
      </c>
      <c r="C514">
        <f t="shared" si="373"/>
        <v>12.480832825673902</v>
      </c>
      <c r="D514">
        <f t="shared" si="374"/>
        <v>1.4905874928041059</v>
      </c>
      <c r="F514">
        <f t="shared" si="375"/>
        <v>1.1391399841716885E-5</v>
      </c>
      <c r="G514">
        <f t="shared" si="376"/>
        <v>1.1481156588331492E-3</v>
      </c>
      <c r="H514">
        <f t="shared" si="377"/>
        <v>-3.1404445343411669</v>
      </c>
      <c r="J514">
        <f t="shared" si="378"/>
        <v>15</v>
      </c>
      <c r="M514">
        <f t="shared" si="379"/>
        <v>9.9606931446872562E-4</v>
      </c>
      <c r="N514">
        <f t="shared" si="380"/>
        <v>-1.5707963250000001</v>
      </c>
      <c r="O514">
        <f t="shared" si="381"/>
        <v>383.60861553492458</v>
      </c>
      <c r="P514">
        <f t="shared" si="382"/>
        <v>1.5681895002219397</v>
      </c>
      <c r="Q514">
        <f t="shared" si="383"/>
        <v>324.67571560134809</v>
      </c>
      <c r="R514">
        <f t="shared" si="384"/>
        <v>1.5677163256336843</v>
      </c>
      <c r="S514">
        <f t="shared" si="385"/>
        <v>8.1409630284599896E-2</v>
      </c>
      <c r="T514">
        <f t="shared" si="386"/>
        <v>-1.4892965031596124</v>
      </c>
      <c r="U514">
        <f t="shared" si="387"/>
        <v>0.10413845510391398</v>
      </c>
      <c r="V514">
        <f t="shared" si="388"/>
        <v>-1.4664687200415425</v>
      </c>
      <c r="X514">
        <f t="shared" si="405"/>
        <v>-52.983468914730302</v>
      </c>
      <c r="Y514">
        <f t="shared" si="389"/>
        <v>-174.20854912519181</v>
      </c>
      <c r="Z514">
        <f t="shared" si="406"/>
        <v>5.7914508748081914</v>
      </c>
      <c r="AC514">
        <v>1</v>
      </c>
      <c r="AD514">
        <f t="shared" si="390"/>
        <v>383.60731212090002</v>
      </c>
      <c r="AE514">
        <f t="shared" si="391"/>
        <v>-0.4338496484082992</v>
      </c>
      <c r="AF514">
        <f t="shared" si="392"/>
        <v>4.5427429718999997E-2</v>
      </c>
      <c r="AG514">
        <f t="shared" si="421"/>
        <v>89.298012442186007</v>
      </c>
      <c r="AH514">
        <f t="shared" si="422"/>
        <v>-874.84393344359262</v>
      </c>
      <c r="AJ514">
        <f t="shared" si="393"/>
        <v>22100</v>
      </c>
      <c r="AK514">
        <f t="shared" si="394"/>
        <v>270565.58291080507</v>
      </c>
      <c r="AL514">
        <v>1</v>
      </c>
      <c r="AM514">
        <f t="shared" si="395"/>
        <v>324.67417559955004</v>
      </c>
      <c r="AN514">
        <f t="shared" si="423"/>
        <v>833.54668821155917</v>
      </c>
      <c r="AO514">
        <f t="shared" si="424"/>
        <v>-65.500908018068785</v>
      </c>
      <c r="AQ514">
        <f t="shared" si="396"/>
        <v>1.1111109876543346E-3</v>
      </c>
      <c r="AR514">
        <f t="shared" si="397"/>
        <v>-3.333332962963004</v>
      </c>
      <c r="AT514">
        <f t="shared" si="418"/>
        <v>-2916.0469007929391</v>
      </c>
      <c r="AU514">
        <f t="shared" si="419"/>
        <v>-298.63205710755096</v>
      </c>
      <c r="AV514">
        <f t="shared" si="407"/>
        <v>-3.0395385400884085</v>
      </c>
      <c r="AW514">
        <f t="shared" si="408"/>
        <v>709.60100167588962</v>
      </c>
      <c r="AX514">
        <f t="shared" si="409"/>
        <v>-3897.6851843618911</v>
      </c>
      <c r="AY514">
        <f t="shared" si="417"/>
        <v>-1.3907116284232852</v>
      </c>
      <c r="BA514">
        <f t="shared" si="398"/>
        <v>0.73989942779897055</v>
      </c>
      <c r="BB514">
        <f t="shared" si="410"/>
        <v>-2.6165461707942264</v>
      </c>
      <c r="BC514">
        <f t="shared" si="411"/>
        <v>-1.6488269116651233</v>
      </c>
      <c r="BD514">
        <f t="shared" si="399"/>
        <v>-274.47082329395005</v>
      </c>
      <c r="BF514">
        <f t="shared" si="400"/>
        <v>-56.038307748128446</v>
      </c>
      <c r="BG514">
        <f t="shared" si="401"/>
        <v>-189.00066868197985</v>
      </c>
      <c r="BH514">
        <f t="shared" si="412"/>
        <v>-9.000668681979846</v>
      </c>
      <c r="BI514">
        <f t="shared" si="413"/>
        <v>-9.000668681979846</v>
      </c>
      <c r="BJ514">
        <f t="shared" si="402"/>
        <v>0</v>
      </c>
      <c r="BK514">
        <f t="shared" si="414"/>
        <v>0</v>
      </c>
      <c r="BM514">
        <f t="shared" si="415"/>
        <v>-53.421761577334209</v>
      </c>
      <c r="BN514">
        <f t="shared" si="403"/>
        <v>-94.529845388029855</v>
      </c>
      <c r="BQ514" s="56">
        <f t="shared" si="416"/>
        <v>14.285414629490912</v>
      </c>
    </row>
    <row r="515" spans="1:69" x14ac:dyDescent="0.25">
      <c r="A515">
        <f t="shared" si="420"/>
        <v>1505000</v>
      </c>
      <c r="B515">
        <f t="shared" si="404"/>
        <v>1505</v>
      </c>
      <c r="C515">
        <f t="shared" si="373"/>
        <v>12.522168966374617</v>
      </c>
      <c r="D515">
        <f t="shared" si="374"/>
        <v>1.490852831556531</v>
      </c>
      <c r="F515">
        <f t="shared" si="375"/>
        <v>1.1315834398189183E-5</v>
      </c>
      <c r="G515">
        <f t="shared" si="376"/>
        <v>1.1443012374540977E-3</v>
      </c>
      <c r="H515">
        <f t="shared" si="377"/>
        <v>-3.1404483487625461</v>
      </c>
      <c r="J515">
        <f t="shared" si="378"/>
        <v>15</v>
      </c>
      <c r="M515">
        <f t="shared" si="379"/>
        <v>9.9276011408843084E-4</v>
      </c>
      <c r="N515">
        <f t="shared" si="380"/>
        <v>-1.5707963250000001</v>
      </c>
      <c r="O515">
        <f t="shared" si="381"/>
        <v>384.88730224506304</v>
      </c>
      <c r="P515">
        <f t="shared" si="382"/>
        <v>1.568198160736298</v>
      </c>
      <c r="Q515">
        <f t="shared" si="383"/>
        <v>325.75795773708569</v>
      </c>
      <c r="R515">
        <f t="shared" si="384"/>
        <v>1.5677265581312905</v>
      </c>
      <c r="S515">
        <f t="shared" si="385"/>
        <v>8.1140950039520682E-2</v>
      </c>
      <c r="T515">
        <f t="shared" si="386"/>
        <v>-1.4895660752331981</v>
      </c>
      <c r="U515">
        <f t="shared" si="387"/>
        <v>0.10379621372944552</v>
      </c>
      <c r="V515">
        <f t="shared" si="388"/>
        <v>-1.466812826228163</v>
      </c>
      <c r="X515">
        <f t="shared" si="405"/>
        <v>-53.040961214782527</v>
      </c>
      <c r="Y515">
        <f t="shared" si="389"/>
        <v>-174.22764356924563</v>
      </c>
      <c r="Z515">
        <f t="shared" si="406"/>
        <v>5.7723564307543711</v>
      </c>
      <c r="AC515">
        <v>1</v>
      </c>
      <c r="AD515">
        <f t="shared" si="390"/>
        <v>384.88600316130299</v>
      </c>
      <c r="AE515">
        <f t="shared" si="391"/>
        <v>-0.43674679994933691</v>
      </c>
      <c r="AF515">
        <f t="shared" si="392"/>
        <v>4.5578854484730001E-2</v>
      </c>
      <c r="AG515">
        <f t="shared" si="421"/>
        <v>88.712037630877845</v>
      </c>
      <c r="AH515">
        <f t="shared" si="422"/>
        <v>-871.99862746849999</v>
      </c>
      <c r="AJ515">
        <f t="shared" si="393"/>
        <v>22100</v>
      </c>
      <c r="AK515">
        <f t="shared" si="394"/>
        <v>271467.46818717441</v>
      </c>
      <c r="AL515">
        <v>1</v>
      </c>
      <c r="AM515">
        <f t="shared" si="395"/>
        <v>325.75642285154851</v>
      </c>
      <c r="AN515">
        <f t="shared" si="423"/>
        <v>833.54534996245206</v>
      </c>
      <c r="AO515">
        <f t="shared" si="424"/>
        <v>-65.283301136103617</v>
      </c>
      <c r="AQ515">
        <f t="shared" si="396"/>
        <v>1.1037404549905129E-3</v>
      </c>
      <c r="AR515">
        <f t="shared" si="397"/>
        <v>-3.3222587695214436</v>
      </c>
      <c r="AT515">
        <f t="shared" si="418"/>
        <v>-2896.9071720531088</v>
      </c>
      <c r="AU515">
        <f t="shared" si="419"/>
        <v>-295.68680514313343</v>
      </c>
      <c r="AV515">
        <f t="shared" si="407"/>
        <v>-3.0398750931802598</v>
      </c>
      <c r="AW515">
        <f t="shared" si="408"/>
        <v>710.42851440979382</v>
      </c>
      <c r="AX515">
        <f t="shared" si="409"/>
        <v>-3884.7951050659767</v>
      </c>
      <c r="AY515">
        <f t="shared" si="417"/>
        <v>-1.3899208621023396</v>
      </c>
      <c r="BA515">
        <f t="shared" si="398"/>
        <v>0.73735019442227134</v>
      </c>
      <c r="BB515">
        <f t="shared" si="410"/>
        <v>-2.6465240180286518</v>
      </c>
      <c r="BC515">
        <f t="shared" si="411"/>
        <v>-1.6499542310779203</v>
      </c>
      <c r="BD515">
        <f t="shared" si="399"/>
        <v>-274.53541393854027</v>
      </c>
      <c r="BF515">
        <f t="shared" si="400"/>
        <v>-56.09737598234058</v>
      </c>
      <c r="BG515">
        <f t="shared" si="401"/>
        <v>-189.05027508614404</v>
      </c>
      <c r="BH515">
        <f t="shared" si="412"/>
        <v>-9.0502750861440404</v>
      </c>
      <c r="BI515">
        <f t="shared" si="413"/>
        <v>-9.0502750861440404</v>
      </c>
      <c r="BJ515">
        <f t="shared" si="402"/>
        <v>0</v>
      </c>
      <c r="BK515">
        <f t="shared" si="414"/>
        <v>0</v>
      </c>
      <c r="BM515">
        <f t="shared" si="415"/>
        <v>-53.450851964311923</v>
      </c>
      <c r="BN515">
        <f t="shared" si="403"/>
        <v>-94.51486114760381</v>
      </c>
      <c r="BQ515" s="56">
        <f t="shared" si="416"/>
        <v>14.255436782256485</v>
      </c>
    </row>
    <row r="516" spans="1:69" x14ac:dyDescent="0.25">
      <c r="A516">
        <f t="shared" si="420"/>
        <v>1510000</v>
      </c>
      <c r="B516">
        <f t="shared" si="404"/>
        <v>1510</v>
      </c>
      <c r="C516">
        <f t="shared" si="373"/>
        <v>12.563505982892902</v>
      </c>
      <c r="D516">
        <f t="shared" si="374"/>
        <v>1.4911164242682464</v>
      </c>
      <c r="F516">
        <f t="shared" si="375"/>
        <v>1.1241018371941316E-5</v>
      </c>
      <c r="G516">
        <f t="shared" si="376"/>
        <v>1.1405120779705519E-3</v>
      </c>
      <c r="H516">
        <f t="shared" si="377"/>
        <v>-3.1404521379220296</v>
      </c>
      <c r="J516">
        <f t="shared" si="378"/>
        <v>15</v>
      </c>
      <c r="M516">
        <f t="shared" si="379"/>
        <v>9.894728289424426E-4</v>
      </c>
      <c r="N516">
        <f t="shared" si="380"/>
        <v>-1.5707963250000001</v>
      </c>
      <c r="O516">
        <f t="shared" si="381"/>
        <v>386.16598898387866</v>
      </c>
      <c r="P516">
        <f t="shared" si="382"/>
        <v>1.5682067638966426</v>
      </c>
      <c r="Q516">
        <f t="shared" si="383"/>
        <v>326.84019990670555</v>
      </c>
      <c r="R516">
        <f t="shared" si="384"/>
        <v>1.5677367228646482</v>
      </c>
      <c r="S516">
        <f t="shared" si="385"/>
        <v>8.0874031618933861E-2</v>
      </c>
      <c r="T516">
        <f t="shared" si="386"/>
        <v>-1.4898338737764791</v>
      </c>
      <c r="U516">
        <f t="shared" si="387"/>
        <v>0.10345620234549523</v>
      </c>
      <c r="V516">
        <f t="shared" si="388"/>
        <v>-1.4671546780371481</v>
      </c>
      <c r="X516">
        <f t="shared" si="405"/>
        <v>-53.098264898855199</v>
      </c>
      <c r="Y516">
        <f t="shared" si="389"/>
        <v>-174.24661299328588</v>
      </c>
      <c r="Z516">
        <f t="shared" si="406"/>
        <v>5.7533870067141208</v>
      </c>
      <c r="AC516">
        <v>1</v>
      </c>
      <c r="AD516">
        <f t="shared" si="390"/>
        <v>386.16469420170597</v>
      </c>
      <c r="AE516">
        <f t="shared" si="391"/>
        <v>-0.43965359259367248</v>
      </c>
      <c r="AF516">
        <f t="shared" si="392"/>
        <v>4.5730279250459999E-2</v>
      </c>
      <c r="AG516">
        <f t="shared" si="421"/>
        <v>88.131791048117449</v>
      </c>
      <c r="AH516">
        <f t="shared" si="422"/>
        <v>-869.17156876141064</v>
      </c>
      <c r="AJ516">
        <f t="shared" si="393"/>
        <v>22100</v>
      </c>
      <c r="AK516">
        <f t="shared" si="394"/>
        <v>272369.35346354375</v>
      </c>
      <c r="AL516">
        <v>1</v>
      </c>
      <c r="AM516">
        <f t="shared" si="395"/>
        <v>326.83867010354703</v>
      </c>
      <c r="AN516">
        <f t="shared" si="423"/>
        <v>833.54402498502236</v>
      </c>
      <c r="AO516">
        <f t="shared" si="424"/>
        <v>-65.067135318710811</v>
      </c>
      <c r="AQ516">
        <f t="shared" si="396"/>
        <v>1.096443018240097E-3</v>
      </c>
      <c r="AR516">
        <f t="shared" si="397"/>
        <v>-3.3112579150850934</v>
      </c>
      <c r="AT516">
        <f t="shared" si="418"/>
        <v>-2877.9546051411689</v>
      </c>
      <c r="AU516">
        <f t="shared" si="419"/>
        <v>-292.78008777692577</v>
      </c>
      <c r="AV516">
        <f t="shared" si="407"/>
        <v>-3.0402094419145862</v>
      </c>
      <c r="AW516">
        <f t="shared" si="408"/>
        <v>711.2477337512438</v>
      </c>
      <c r="AX516">
        <f t="shared" si="409"/>
        <v>-3871.9898159815493</v>
      </c>
      <c r="AY516">
        <f t="shared" si="417"/>
        <v>-1.3891310249094702</v>
      </c>
      <c r="BA516">
        <f t="shared" si="398"/>
        <v>0.73481735426620276</v>
      </c>
      <c r="BB516">
        <f t="shared" si="410"/>
        <v>-2.6764119092448588</v>
      </c>
      <c r="BC516">
        <f t="shared" si="411"/>
        <v>-1.651078417005116</v>
      </c>
      <c r="BD516">
        <f t="shared" si="399"/>
        <v>-274.59982504763019</v>
      </c>
      <c r="BF516">
        <f t="shared" si="400"/>
        <v>-56.156256557724753</v>
      </c>
      <c r="BG516">
        <f t="shared" si="401"/>
        <v>-189.09980054817157</v>
      </c>
      <c r="BH516">
        <f t="shared" si="412"/>
        <v>-9.0998005481715722</v>
      </c>
      <c r="BI516">
        <f t="shared" si="413"/>
        <v>-9.0998005481715722</v>
      </c>
      <c r="BJ516">
        <f t="shared" si="402"/>
        <v>0</v>
      </c>
      <c r="BK516">
        <f t="shared" si="414"/>
        <v>0</v>
      </c>
      <c r="BM516">
        <f t="shared" si="415"/>
        <v>-53.479844648479897</v>
      </c>
      <c r="BN516">
        <f t="shared" si="403"/>
        <v>-94.49997550054141</v>
      </c>
      <c r="BQ516" s="56">
        <f t="shared" si="416"/>
        <v>14.225548891040278</v>
      </c>
    </row>
    <row r="517" spans="1:69" x14ac:dyDescent="0.25">
      <c r="A517">
        <f t="shared" si="420"/>
        <v>1515000</v>
      </c>
      <c r="B517">
        <f t="shared" si="404"/>
        <v>1515</v>
      </c>
      <c r="C517">
        <f t="shared" si="373"/>
        <v>12.604843866612145</v>
      </c>
      <c r="D517">
        <f t="shared" si="374"/>
        <v>1.4913782880809865</v>
      </c>
      <c r="F517">
        <f t="shared" si="375"/>
        <v>1.1166941885844663E-5</v>
      </c>
      <c r="G517">
        <f t="shared" si="376"/>
        <v>1.1367479302538733E-3</v>
      </c>
      <c r="H517">
        <f t="shared" si="377"/>
        <v>-3.1404559020697462</v>
      </c>
      <c r="J517">
        <f t="shared" si="378"/>
        <v>15</v>
      </c>
      <c r="M517">
        <f t="shared" si="379"/>
        <v>9.8620724204824322E-4</v>
      </c>
      <c r="N517">
        <f t="shared" si="380"/>
        <v>-1.5707963250000001</v>
      </c>
      <c r="O517">
        <f t="shared" si="381"/>
        <v>387.4446757510874</v>
      </c>
      <c r="P517">
        <f t="shared" si="382"/>
        <v>1.5682153102708298</v>
      </c>
      <c r="Q517">
        <f t="shared" si="383"/>
        <v>327.92244210987229</v>
      </c>
      <c r="R517">
        <f t="shared" si="384"/>
        <v>1.5677468205046825</v>
      </c>
      <c r="S517">
        <f t="shared" si="385"/>
        <v>8.0608857807233397E-2</v>
      </c>
      <c r="T517">
        <f t="shared" si="386"/>
        <v>-1.490099916196274</v>
      </c>
      <c r="U517">
        <f t="shared" si="387"/>
        <v>0.10311839934613176</v>
      </c>
      <c r="V517">
        <f t="shared" si="388"/>
        <v>-1.4674942974710425</v>
      </c>
      <c r="X517">
        <f t="shared" si="405"/>
        <v>-53.155381193846594</v>
      </c>
      <c r="Y517">
        <f t="shared" si="389"/>
        <v>-174.26545861650825</v>
      </c>
      <c r="Z517">
        <f t="shared" si="406"/>
        <v>5.7345413834917451</v>
      </c>
      <c r="AC517">
        <v>1</v>
      </c>
      <c r="AD517">
        <f t="shared" si="390"/>
        <v>387.443385242109</v>
      </c>
      <c r="AE517">
        <f t="shared" si="391"/>
        <v>-0.44257002634130604</v>
      </c>
      <c r="AF517">
        <f t="shared" si="392"/>
        <v>4.5881704016189996E-2</v>
      </c>
      <c r="AG517">
        <f t="shared" si="421"/>
        <v>87.5571985430187</v>
      </c>
      <c r="AH517">
        <f t="shared" si="422"/>
        <v>-866.36258434360548</v>
      </c>
      <c r="AJ517">
        <f t="shared" si="393"/>
        <v>22100</v>
      </c>
      <c r="AK517">
        <f t="shared" si="394"/>
        <v>273271.2387399131</v>
      </c>
      <c r="AL517">
        <v>1</v>
      </c>
      <c r="AM517">
        <f t="shared" si="395"/>
        <v>327.92091735554555</v>
      </c>
      <c r="AN517">
        <f t="shared" si="423"/>
        <v>833.54271310435843</v>
      </c>
      <c r="AO517">
        <f t="shared" si="424"/>
        <v>-64.85239629845772</v>
      </c>
      <c r="AQ517">
        <f t="shared" si="396"/>
        <v>1.0892177140348208E-3</v>
      </c>
      <c r="AR517">
        <f t="shared" si="397"/>
        <v>-3.300329673525507</v>
      </c>
      <c r="AT517">
        <f t="shared" si="418"/>
        <v>-2859.1867762898019</v>
      </c>
      <c r="AU517">
        <f t="shared" si="419"/>
        <v>-289.91127795593297</v>
      </c>
      <c r="AV517">
        <f t="shared" si="407"/>
        <v>-3.040541607798688</v>
      </c>
      <c r="AW517">
        <f t="shared" si="408"/>
        <v>712.05877040591565</v>
      </c>
      <c r="AX517">
        <f t="shared" si="409"/>
        <v>-3859.2684850031251</v>
      </c>
      <c r="AY517">
        <f t="shared" si="417"/>
        <v>-1.3883421099164925</v>
      </c>
      <c r="BA517">
        <f t="shared" si="398"/>
        <v>0.73230074777618825</v>
      </c>
      <c r="BB517">
        <f t="shared" si="410"/>
        <v>-2.7062104478131239</v>
      </c>
      <c r="BC517">
        <f t="shared" si="411"/>
        <v>-1.6521994978821954</v>
      </c>
      <c r="BD517">
        <f t="shared" si="399"/>
        <v>-274.66405825045308</v>
      </c>
      <c r="BF517">
        <f t="shared" si="400"/>
        <v>-56.214950735531772</v>
      </c>
      <c r="BG517">
        <f t="shared" si="401"/>
        <v>-189.14924572947794</v>
      </c>
      <c r="BH517">
        <f t="shared" si="412"/>
        <v>-9.1492457294779399</v>
      </c>
      <c r="BI517">
        <f t="shared" si="413"/>
        <v>-9.1492457294779399</v>
      </c>
      <c r="BJ517">
        <f t="shared" si="402"/>
        <v>0</v>
      </c>
      <c r="BK517">
        <f t="shared" si="414"/>
        <v>0</v>
      </c>
      <c r="BM517">
        <f t="shared" si="415"/>
        <v>-53.508740287718652</v>
      </c>
      <c r="BN517">
        <f t="shared" si="403"/>
        <v>-94.48518747902493</v>
      </c>
      <c r="BQ517" s="56">
        <f t="shared" si="416"/>
        <v>14.195750352472015</v>
      </c>
    </row>
    <row r="518" spans="1:69" x14ac:dyDescent="0.25">
      <c r="A518">
        <f>A517+5000</f>
        <v>1520000</v>
      </c>
      <c r="B518">
        <f t="shared" si="404"/>
        <v>1520</v>
      </c>
      <c r="C518">
        <f t="shared" si="373"/>
        <v>12.646182609028214</v>
      </c>
      <c r="D518">
        <f t="shared" si="374"/>
        <v>1.4916384399133049</v>
      </c>
      <c r="F518">
        <f t="shared" si="375"/>
        <v>1.1093595224959169E-5</v>
      </c>
      <c r="G518">
        <f t="shared" si="376"/>
        <v>1.1330085474667679E-3</v>
      </c>
      <c r="H518">
        <f t="shared" si="377"/>
        <v>-3.1404596414525336</v>
      </c>
      <c r="J518">
        <f t="shared" si="378"/>
        <v>15</v>
      </c>
      <c r="M518">
        <f t="shared" si="379"/>
        <v>9.8296313927834764E-4</v>
      </c>
      <c r="N518">
        <f t="shared" si="380"/>
        <v>-1.5707963250000001</v>
      </c>
      <c r="O518">
        <f t="shared" si="381"/>
        <v>388.72336254640919</v>
      </c>
      <c r="P518">
        <f t="shared" si="382"/>
        <v>1.5682238004192444</v>
      </c>
      <c r="Q518">
        <f t="shared" si="383"/>
        <v>329.00468434625475</v>
      </c>
      <c r="R518">
        <f t="shared" si="384"/>
        <v>1.5677568517134901</v>
      </c>
      <c r="S518">
        <f t="shared" si="385"/>
        <v>8.0345411611635914E-2</v>
      </c>
      <c r="T518">
        <f t="shared" si="386"/>
        <v>-1.4903642196728459</v>
      </c>
      <c r="U518">
        <f t="shared" si="387"/>
        <v>0.1027827834020915</v>
      </c>
      <c r="V518">
        <f t="shared" si="388"/>
        <v>-1.4678317062480226</v>
      </c>
      <c r="X518">
        <f t="shared" si="405"/>
        <v>-53.212311314787016</v>
      </c>
      <c r="Y518">
        <f t="shared" si="389"/>
        <v>-174.28418164236706</v>
      </c>
      <c r="Z518">
        <f t="shared" si="406"/>
        <v>5.7158183576329407</v>
      </c>
      <c r="AC518">
        <v>1</v>
      </c>
      <c r="AD518">
        <f t="shared" si="390"/>
        <v>388.72207628251198</v>
      </c>
      <c r="AE518">
        <f t="shared" si="391"/>
        <v>-0.44549610119223759</v>
      </c>
      <c r="AF518">
        <f t="shared" si="392"/>
        <v>4.6033128781920001E-2</v>
      </c>
      <c r="AG518">
        <f t="shared" si="421"/>
        <v>86.988187156305202</v>
      </c>
      <c r="AH518">
        <f t="shared" si="422"/>
        <v>-863.57150338927238</v>
      </c>
      <c r="AJ518">
        <f t="shared" si="393"/>
        <v>22100</v>
      </c>
      <c r="AK518">
        <f t="shared" si="394"/>
        <v>274173.12401628244</v>
      </c>
      <c r="AL518">
        <v>1</v>
      </c>
      <c r="AM518">
        <f t="shared" si="395"/>
        <v>329.00316460754408</v>
      </c>
      <c r="AN518">
        <f t="shared" si="423"/>
        <v>833.54141414842115</v>
      </c>
      <c r="AO518">
        <f t="shared" si="424"/>
        <v>-64.639069995632298</v>
      </c>
      <c r="AQ518">
        <f t="shared" si="396"/>
        <v>1.0820635948251822E-3</v>
      </c>
      <c r="AR518">
        <f t="shared" si="397"/>
        <v>-3.2894733282685542</v>
      </c>
      <c r="AT518">
        <f t="shared" si="418"/>
        <v>-2840.6013007012871</v>
      </c>
      <c r="AU518">
        <f t="shared" si="419"/>
        <v>-287.07976081044518</v>
      </c>
      <c r="AV518">
        <f t="shared" si="407"/>
        <v>-3.040871612062015</v>
      </c>
      <c r="AW518">
        <f t="shared" si="408"/>
        <v>712.86173323457308</v>
      </c>
      <c r="AX518">
        <f t="shared" si="409"/>
        <v>-3846.6302908556499</v>
      </c>
      <c r="AY518">
        <f t="shared" si="417"/>
        <v>-1.3875541102969637</v>
      </c>
      <c r="BA518">
        <f t="shared" si="398"/>
        <v>0.72980021746013901</v>
      </c>
      <c r="BB518">
        <f t="shared" si="410"/>
        <v>-2.7359202312738251</v>
      </c>
      <c r="BC518">
        <f t="shared" si="411"/>
        <v>-1.6533175017650512</v>
      </c>
      <c r="BD518">
        <f t="shared" si="399"/>
        <v>-274.72811515449314</v>
      </c>
      <c r="BF518">
        <f t="shared" si="400"/>
        <v>-56.273459764525029</v>
      </c>
      <c r="BG518">
        <f t="shared" si="401"/>
        <v>-189.1986112823285</v>
      </c>
      <c r="BH518">
        <f t="shared" si="412"/>
        <v>-9.1986112823284998</v>
      </c>
      <c r="BI518">
        <f t="shared" si="413"/>
        <v>-9.1986112823284998</v>
      </c>
      <c r="BJ518">
        <f t="shared" si="402"/>
        <v>0</v>
      </c>
      <c r="BK518">
        <f t="shared" si="414"/>
        <v>0</v>
      </c>
      <c r="BM518">
        <f t="shared" si="415"/>
        <v>-53.537539533251206</v>
      </c>
      <c r="BN518">
        <f t="shared" si="403"/>
        <v>-94.470496127835389</v>
      </c>
      <c r="BQ518" s="56">
        <f t="shared" si="416"/>
        <v>14.166040569011312</v>
      </c>
    </row>
    <row r="519" spans="1:69" x14ac:dyDescent="0.25">
      <c r="A519">
        <f t="shared" si="420"/>
        <v>1525000</v>
      </c>
      <c r="B519">
        <f t="shared" si="404"/>
        <v>1525</v>
      </c>
      <c r="C519">
        <f t="shared" si="373"/>
        <v>12.687522201747642</v>
      </c>
      <c r="D519">
        <f t="shared" si="374"/>
        <v>1.4918968964641872</v>
      </c>
      <c r="F519">
        <f t="shared" si="375"/>
        <v>1.1020968833347914E-5</v>
      </c>
      <c r="G519">
        <f t="shared" si="376"/>
        <v>1.1292936860093263E-3</v>
      </c>
      <c r="H519">
        <f t="shared" si="377"/>
        <v>-3.1404633563139908</v>
      </c>
      <c r="J519">
        <f t="shared" si="378"/>
        <v>15</v>
      </c>
      <c r="M519">
        <f t="shared" si="379"/>
        <v>9.7974030931350059E-4</v>
      </c>
      <c r="N519">
        <f t="shared" si="380"/>
        <v>-1.5707963250000001</v>
      </c>
      <c r="O519">
        <f t="shared" si="381"/>
        <v>390.00204936956737</v>
      </c>
      <c r="P519">
        <f t="shared" si="382"/>
        <v>1.5682322348949218</v>
      </c>
      <c r="Q519">
        <f t="shared" si="383"/>
        <v>330.08692661552629</v>
      </c>
      <c r="R519">
        <f t="shared" si="384"/>
        <v>1.5677668171444852</v>
      </c>
      <c r="S519">
        <f t="shared" si="385"/>
        <v>8.0083676258599495E-2</v>
      </c>
      <c r="T519">
        <f t="shared" si="386"/>
        <v>-1.4906268011635704</v>
      </c>
      <c r="U519">
        <f t="shared" si="387"/>
        <v>0.10244933345638953</v>
      </c>
      <c r="V519">
        <f t="shared" si="388"/>
        <v>-1.4681669258064589</v>
      </c>
      <c r="X519">
        <f t="shared" si="405"/>
        <v>-53.26905646499057</v>
      </c>
      <c r="Y519">
        <f t="shared" si="389"/>
        <v>-174.30278325882784</v>
      </c>
      <c r="Z519">
        <f t="shared" si="406"/>
        <v>5.6972167411721557</v>
      </c>
      <c r="AC519">
        <v>1</v>
      </c>
      <c r="AD519">
        <f t="shared" si="390"/>
        <v>390.00076732291501</v>
      </c>
      <c r="AE519">
        <f t="shared" si="391"/>
        <v>-0.44843181714646707</v>
      </c>
      <c r="AF519">
        <f t="shared" si="392"/>
        <v>4.6184553547649998E-2</v>
      </c>
      <c r="AG519">
        <f t="shared" si="421"/>
        <v>86.424685097489387</v>
      </c>
      <c r="AH519">
        <f t="shared" si="422"/>
        <v>-860.79815719256283</v>
      </c>
      <c r="AJ519">
        <f t="shared" si="393"/>
        <v>22100</v>
      </c>
      <c r="AK519">
        <f t="shared" si="394"/>
        <v>275075.00929265178</v>
      </c>
      <c r="AL519">
        <v>1</v>
      </c>
      <c r="AM519">
        <f t="shared" si="395"/>
        <v>330.08541185954255</v>
      </c>
      <c r="AN519">
        <f t="shared" si="423"/>
        <v>833.54012794798666</v>
      </c>
      <c r="AO519">
        <f t="shared" si="424"/>
        <v>-64.427142515165997</v>
      </c>
      <c r="AQ519">
        <f t="shared" si="396"/>
        <v>1.0749797285697685E-3</v>
      </c>
      <c r="AR519">
        <f t="shared" si="397"/>
        <v>-3.2786881721377941</v>
      </c>
      <c r="AT519">
        <f t="shared" si="418"/>
        <v>-2822.1958318007373</v>
      </c>
      <c r="AU519">
        <f t="shared" si="419"/>
        <v>-284.28493337924414</v>
      </c>
      <c r="AV519">
        <f t="shared" si="407"/>
        <v>-3.0411994756606195</v>
      </c>
      <c r="AW519">
        <f t="shared" si="408"/>
        <v>713.65672928990682</v>
      </c>
      <c r="AX519">
        <f t="shared" si="409"/>
        <v>-3834.0744229192014</v>
      </c>
      <c r="AY519">
        <f t="shared" si="417"/>
        <v>-1.3867670193244117</v>
      </c>
      <c r="BA519">
        <f t="shared" si="398"/>
        <v>0.72731560785537908</v>
      </c>
      <c r="BB519">
        <f t="shared" si="410"/>
        <v>-2.765541851411017</v>
      </c>
      <c r="BC519">
        <f t="shared" si="411"/>
        <v>-1.6544324563362078</v>
      </c>
      <c r="BD519">
        <f t="shared" si="399"/>
        <v>-274.79199734584222</v>
      </c>
      <c r="BF519">
        <f t="shared" si="400"/>
        <v>-56.331784881144003</v>
      </c>
      <c r="BG519">
        <f t="shared" si="401"/>
        <v>-189.24789784999081</v>
      </c>
      <c r="BH519">
        <f t="shared" si="412"/>
        <v>-9.2478978499908067</v>
      </c>
      <c r="BI519">
        <f t="shared" si="413"/>
        <v>-9.2478978499908067</v>
      </c>
      <c r="BJ519">
        <f t="shared" si="402"/>
        <v>0</v>
      </c>
      <c r="BK519">
        <f t="shared" si="414"/>
        <v>0</v>
      </c>
      <c r="BM519">
        <f t="shared" si="415"/>
        <v>-53.566243029732988</v>
      </c>
      <c r="BN519">
        <f t="shared" si="403"/>
        <v>-94.45590050414863</v>
      </c>
      <c r="BQ519" s="56">
        <f t="shared" si="416"/>
        <v>14.13641894887412</v>
      </c>
    </row>
    <row r="520" spans="1:69" x14ac:dyDescent="0.25">
      <c r="A520">
        <f t="shared" si="420"/>
        <v>1530000</v>
      </c>
      <c r="B520">
        <f t="shared" si="404"/>
        <v>1530</v>
      </c>
      <c r="C520">
        <f t="shared" si="373"/>
        <v>12.728862636485827</v>
      </c>
      <c r="D520">
        <f t="shared" si="374"/>
        <v>1.4921536742165935</v>
      </c>
      <c r="F520">
        <f t="shared" si="375"/>
        <v>1.0949053310964441E-5</v>
      </c>
      <c r="G520">
        <f t="shared" si="376"/>
        <v>1.1256031054661208E-3</v>
      </c>
      <c r="H520">
        <f t="shared" si="377"/>
        <v>-3.1404670468945342</v>
      </c>
      <c r="J520">
        <f t="shared" si="378"/>
        <v>15</v>
      </c>
      <c r="M520">
        <f t="shared" si="379"/>
        <v>9.7653854359678975E-4</v>
      </c>
      <c r="N520">
        <f t="shared" si="380"/>
        <v>-1.5707963250000001</v>
      </c>
      <c r="O520">
        <f t="shared" si="381"/>
        <v>391.28073622028916</v>
      </c>
      <c r="P520">
        <f t="shared" si="382"/>
        <v>1.5682406142436687</v>
      </c>
      <c r="Q520">
        <f t="shared" si="383"/>
        <v>331.16916891736446</v>
      </c>
      <c r="R520">
        <f t="shared" si="384"/>
        <v>1.5677767174425399</v>
      </c>
      <c r="S520">
        <f t="shared" si="385"/>
        <v>7.9823635190311049E-2</v>
      </c>
      <c r="T520">
        <f t="shared" si="386"/>
        <v>-1.4908876774065289</v>
      </c>
      <c r="U520">
        <f t="shared" si="387"/>
        <v>0.10211802872001317</v>
      </c>
      <c r="V520">
        <f t="shared" si="388"/>
        <v>-1.4684999773093912</v>
      </c>
      <c r="X520">
        <f t="shared" si="405"/>
        <v>-53.325617836204458</v>
      </c>
      <c r="Y520">
        <f t="shared" si="389"/>
        <v>-174.32126463861485</v>
      </c>
      <c r="Z520">
        <f t="shared" si="406"/>
        <v>5.6787353613851508</v>
      </c>
      <c r="AC520">
        <v>1</v>
      </c>
      <c r="AD520">
        <f t="shared" si="390"/>
        <v>391.27945836331804</v>
      </c>
      <c r="AE520">
        <f t="shared" si="391"/>
        <v>-0.45137717420399454</v>
      </c>
      <c r="AF520">
        <f t="shared" si="392"/>
        <v>4.6335978313380002E-2</v>
      </c>
      <c r="AG520">
        <f t="shared" si="421"/>
        <v>85.866621722558065</v>
      </c>
      <c r="AH520">
        <f t="shared" si="422"/>
        <v>-858.04237913524275</v>
      </c>
      <c r="AJ520">
        <f t="shared" si="393"/>
        <v>22100</v>
      </c>
      <c r="AK520">
        <f t="shared" si="394"/>
        <v>275976.89456902113</v>
      </c>
      <c r="AL520">
        <v>1</v>
      </c>
      <c r="AM520">
        <f t="shared" si="395"/>
        <v>331.16765911154107</v>
      </c>
      <c r="AN520">
        <f t="shared" si="423"/>
        <v>833.53885433659138</v>
      </c>
      <c r="AO520">
        <f t="shared" si="424"/>
        <v>-64.216600143616745</v>
      </c>
      <c r="AQ520">
        <f t="shared" si="396"/>
        <v>1.0679651984316718E-3</v>
      </c>
      <c r="AR520">
        <f t="shared" si="397"/>
        <v>-3.2679735072009155</v>
      </c>
      <c r="AT520">
        <f t="shared" si="418"/>
        <v>-2803.9680605059102</v>
      </c>
      <c r="AU520">
        <f t="shared" si="419"/>
        <v>-281.52620434185837</v>
      </c>
      <c r="AV520">
        <f t="shared" si="407"/>
        <v>-3.0415252192815285</v>
      </c>
      <c r="AW520">
        <f t="shared" si="408"/>
        <v>714.44386385252017</v>
      </c>
      <c r="AX520">
        <f t="shared" si="409"/>
        <v>-3821.6000810570795</v>
      </c>
      <c r="AY520">
        <f t="shared" si="417"/>
        <v>-1.3859808303705983</v>
      </c>
      <c r="BA520">
        <f t="shared" si="398"/>
        <v>0.72484676549620064</v>
      </c>
      <c r="BB520">
        <f t="shared" si="410"/>
        <v>-2.7950758943248815</v>
      </c>
      <c r="BC520">
        <f t="shared" si="411"/>
        <v>-1.6555443889109303</v>
      </c>
      <c r="BD520">
        <f t="shared" si="399"/>
        <v>-274.85570638954971</v>
      </c>
      <c r="BF520">
        <f t="shared" si="400"/>
        <v>-56.389927309665175</v>
      </c>
      <c r="BG520">
        <f t="shared" si="401"/>
        <v>-189.29710606688511</v>
      </c>
      <c r="BH520">
        <f t="shared" si="412"/>
        <v>-9.2971060668851067</v>
      </c>
      <c r="BI520">
        <f t="shared" si="413"/>
        <v>-9.2971060668851067</v>
      </c>
      <c r="BJ520">
        <f t="shared" si="402"/>
        <v>0</v>
      </c>
      <c r="BK520">
        <f t="shared" si="414"/>
        <v>0</v>
      </c>
      <c r="BM520">
        <f t="shared" si="415"/>
        <v>-53.594851415340294</v>
      </c>
      <c r="BN520">
        <f t="shared" si="403"/>
        <v>-94.441399677335411</v>
      </c>
      <c r="BQ520" s="56">
        <f t="shared" si="416"/>
        <v>14.106884905960255</v>
      </c>
    </row>
    <row r="521" spans="1:69" x14ac:dyDescent="0.25">
      <c r="A521">
        <f t="shared" si="420"/>
        <v>1535000</v>
      </c>
      <c r="B521">
        <f t="shared" si="404"/>
        <v>1535</v>
      </c>
      <c r="C521">
        <f t="shared" ref="C521:C584" si="425">SQRT((A521/Fesr)^2+1)</f>
        <v>12.770203905065269</v>
      </c>
      <c r="D521">
        <f t="shared" ref="D521:D584" si="426">ATAN(A521/Fesr)</f>
        <v>1.4924087894409337</v>
      </c>
      <c r="F521">
        <f t="shared" ref="F521:F584" si="427">(Ro/(Ro+Rdcr))/SQRT((A521/(Q*Fo))^2+(1-(A521^2/Fo^2))^2)</f>
        <v>1.087783941061092E-5</v>
      </c>
      <c r="G521">
        <f t="shared" ref="G521:G584" si="428">-ATAN(A521*Fo/(Q*(Fo^2-A521^2)))</f>
        <v>1.1219365685543388E-3</v>
      </c>
      <c r="H521">
        <f t="shared" ref="H521:H584" si="429">IF(G521&gt;0,G521-Pi,G521)</f>
        <v>-3.140470713431446</v>
      </c>
      <c r="J521">
        <f t="shared" ref="J521:J584" si="430">Vin/Vramp</f>
        <v>15</v>
      </c>
      <c r="M521">
        <f t="shared" ref="M521:M584" si="431">1/(2*Pi*_Rfb1*(Cc1ea_u+Cc2ea_u)*A521)</f>
        <v>9.7335763628865685E-4</v>
      </c>
      <c r="N521">
        <f t="shared" ref="N521:N584" si="432">-Pi/2</f>
        <v>-1.5707963250000001</v>
      </c>
      <c r="O521">
        <f t="shared" ref="O521:O584" si="433">SQRT(1+(A521/Fz1_u)^2)</f>
        <v>392.5594230983051</v>
      </c>
      <c r="P521">
        <f t="shared" ref="P521:P584" si="434">ATAN2(Fz1_u,A521)</f>
        <v>1.5682489390041796</v>
      </c>
      <c r="Q521">
        <f t="shared" ref="Q521:Q584" si="435">SQRT(1+(A521/Fz2_u)^2)</f>
        <v>332.25141125145097</v>
      </c>
      <c r="R521">
        <f t="shared" ref="R521:R584" si="436">ATAN2(Fz2_u,A521)</f>
        <v>1.5677865532441253</v>
      </c>
      <c r="S521">
        <f t="shared" ref="S521:S584" si="437">1/SQRT(1+(A521/Fp1_u)^2)</f>
        <v>7.9565272061240699E-2</v>
      </c>
      <c r="T521">
        <f t="shared" ref="T521:T584" si="438">-ATAN2(Fp1_u,A521)</f>
        <v>-1.4911468649240356</v>
      </c>
      <c r="U521">
        <f t="shared" ref="U521:U584" si="439">1/SQRT(1+(A521/Fp2_u)^2)</f>
        <v>0.10178884866769687</v>
      </c>
      <c r="V521">
        <f t="shared" ref="V521:V584" si="440">-ATAN2(Fp2_u,A521)</f>
        <v>-1.4688308816489193</v>
      </c>
      <c r="X521">
        <f t="shared" si="405"/>
        <v>-53.381996608756054</v>
      </c>
      <c r="Y521">
        <f t="shared" ref="Y521:Y584" si="441">(180/Pi)*(D521+H521+N521+P521+R521+T521+V521)</f>
        <v>-174.33962693945352</v>
      </c>
      <c r="Z521">
        <f t="shared" si="406"/>
        <v>5.6603730605464762</v>
      </c>
      <c r="AC521">
        <v>1</v>
      </c>
      <c r="AD521">
        <f t="shared" ref="AD521:AD584" si="442">Rcea1_u*Cc1ea_u*A521*2*Pi</f>
        <v>392.55814940372096</v>
      </c>
      <c r="AE521">
        <f t="shared" ref="AE521:AE584" si="443">-Rcea1_u*Cc1ea_u*Cc2ea_u*(A521*2*Pi)^2</f>
        <v>-0.45433217236481999</v>
      </c>
      <c r="AF521">
        <f t="shared" ref="AF521:AF584" si="444">(Cc2ea_u+Cc1ea_u)*A521*2*Pi</f>
        <v>4.648740307911E-2</v>
      </c>
      <c r="AG521">
        <f t="shared" si="421"/>
        <v>85.313927512151153</v>
      </c>
      <c r="AH521">
        <f t="shared" si="422"/>
        <v>-855.30400465492369</v>
      </c>
      <c r="AJ521">
        <f t="shared" ref="AJ521:AJ584" si="445">_Rfb1</f>
        <v>22100</v>
      </c>
      <c r="AK521">
        <f t="shared" ref="AK521:AK584" si="446">_Rfb1*Rcea2_u*Cc3ea_u*A521*2*Pi</f>
        <v>276878.77984539053</v>
      </c>
      <c r="AL521">
        <v>1</v>
      </c>
      <c r="AM521">
        <f t="shared" ref="AM521:AM584" si="447">(_Rfb1+Rcea2_u)*Cc3ea_u*A521*2*Pi</f>
        <v>332.24990636353954</v>
      </c>
      <c r="AN521">
        <f t="shared" si="423"/>
        <v>833.53759315047898</v>
      </c>
      <c r="AO521">
        <f t="shared" si="424"/>
        <v>-64.00742934621114</v>
      </c>
      <c r="AQ521">
        <f t="shared" ref="AQ521:AQ584" si="448">Eadcg/(1+(Eadcg*A521/GBP)^2)</f>
        <v>1.0610191024818191E-3</v>
      </c>
      <c r="AR521">
        <f t="shared" ref="AR521:AR584" si="449">-(A521*Eadcg*Eadcg/GBP)/(1+(Eadcg*A521/GBP)^2)</f>
        <v>-3.2573286446191849</v>
      </c>
      <c r="AT521">
        <f t="shared" si="418"/>
        <v>-2785.9157145131853</v>
      </c>
      <c r="AU521">
        <f t="shared" si="419"/>
        <v>-278.80299375766276</v>
      </c>
      <c r="AV521">
        <f t="shared" si="407"/>
        <v>-3.0418488633470306</v>
      </c>
      <c r="AW521">
        <f t="shared" si="408"/>
        <v>715.2232404660781</v>
      </c>
      <c r="AX521">
        <f t="shared" si="409"/>
        <v>-3809.2064754472185</v>
      </c>
      <c r="AY521">
        <f t="shared" si="417"/>
        <v>-1.3851955369038209</v>
      </c>
      <c r="BA521">
        <f t="shared" ref="BA521:BA584" si="450">SQRT(AT521^2+AU521^2)/SQRT(AW521^2+AX521^2)</f>
        <v>0.72239353888203661</v>
      </c>
      <c r="BB521">
        <f t="shared" si="410"/>
        <v>-2.8245229405030559</v>
      </c>
      <c r="BC521">
        <f t="shared" si="411"/>
        <v>-1.6566533264432097</v>
      </c>
      <c r="BD521">
        <f t="shared" ref="BD521:BD584" si="451">BC521*180/Pi-180</f>
        <v>-274.91924382996558</v>
      </c>
      <c r="BF521">
        <f t="shared" ref="BF521:BF584" si="452">20*LOG(BA521*J521*F521*C521)</f>
        <v>-56.44788826236028</v>
      </c>
      <c r="BG521">
        <f t="shared" ref="BG521:BG584" si="453">(180/Pi)*(D521+H521+BC521)</f>
        <v>-189.34623655873077</v>
      </c>
      <c r="BH521">
        <f t="shared" si="412"/>
        <v>-9.3462365587307659</v>
      </c>
      <c r="BI521">
        <f t="shared" si="413"/>
        <v>-9.3462365587307659</v>
      </c>
      <c r="BJ521">
        <f t="shared" ref="BJ521:BJ584" si="454">SUM((BF522&lt;0)*(BF521&gt;0))*A521</f>
        <v>0</v>
      </c>
      <c r="BK521">
        <f t="shared" si="414"/>
        <v>0</v>
      </c>
      <c r="BM521">
        <f t="shared" si="415"/>
        <v>-53.623365321857229</v>
      </c>
      <c r="BN521">
        <f t="shared" ref="BN521:BN584" si="455">(H521+D521)*180/Pi</f>
        <v>-94.4269927287652</v>
      </c>
      <c r="BQ521" s="56">
        <f t="shared" si="416"/>
        <v>14.077437859782084</v>
      </c>
    </row>
    <row r="522" spans="1:69" x14ac:dyDescent="0.25">
      <c r="A522">
        <f t="shared" si="420"/>
        <v>1540000</v>
      </c>
      <c r="B522">
        <f t="shared" ref="B522:B585" si="456">A522/1000</f>
        <v>1540</v>
      </c>
      <c r="C522">
        <f t="shared" si="425"/>
        <v>12.811545999413866</v>
      </c>
      <c r="D522">
        <f t="shared" si="426"/>
        <v>1.4926622581984743</v>
      </c>
      <c r="F522">
        <f t="shared" si="427"/>
        <v>1.0807318034965368E-5</v>
      </c>
      <c r="G522">
        <f t="shared" si="428"/>
        <v>1.1182938410729238E-3</v>
      </c>
      <c r="H522">
        <f t="shared" si="429"/>
        <v>-3.1404743561589274</v>
      </c>
      <c r="J522">
        <f t="shared" si="430"/>
        <v>15</v>
      </c>
      <c r="M522">
        <f t="shared" si="431"/>
        <v>9.7019738422278478E-4</v>
      </c>
      <c r="N522">
        <f t="shared" si="432"/>
        <v>-1.5707963250000001</v>
      </c>
      <c r="O522">
        <f t="shared" si="433"/>
        <v>393.83811000334941</v>
      </c>
      <c r="P522">
        <f t="shared" si="434"/>
        <v>1.5682572097081535</v>
      </c>
      <c r="Q522">
        <f t="shared" si="435"/>
        <v>333.33365361747178</v>
      </c>
      <c r="R522">
        <f t="shared" si="436"/>
        <v>1.5677963251774458</v>
      </c>
      <c r="S522">
        <f t="shared" si="437"/>
        <v>7.9308570734761982E-2</v>
      </c>
      <c r="T522">
        <f t="shared" si="438"/>
        <v>-1.4914043800260948</v>
      </c>
      <c r="U522">
        <f t="shared" si="439"/>
        <v>0.10146177303377592</v>
      </c>
      <c r="V522">
        <f t="shared" si="440"/>
        <v>-1.469159659450509</v>
      </c>
      <c r="X522">
        <f t="shared" ref="X522:X585" si="457">20*LOG(C522*J522*O522*Q522*F522*M522*S522*U522)</f>
        <v>-53.43819395169745</v>
      </c>
      <c r="Y522">
        <f t="shared" si="441"/>
        <v>-174.35787130430876</v>
      </c>
      <c r="Z522">
        <f t="shared" ref="Z522:Z585" si="458">Y522+180</f>
        <v>5.6421286956912411</v>
      </c>
      <c r="AC522">
        <v>1</v>
      </c>
      <c r="AD522">
        <f t="shared" si="442"/>
        <v>393.83684044412399</v>
      </c>
      <c r="AE522">
        <f t="shared" si="443"/>
        <v>-0.45729681162894315</v>
      </c>
      <c r="AF522">
        <f t="shared" si="444"/>
        <v>4.6638827844839997E-2</v>
      </c>
      <c r="AG522">
        <f t="shared" si="421"/>
        <v>84.766534050222518</v>
      </c>
      <c r="AH522">
        <f t="shared" si="422"/>
        <v>-852.58287121386843</v>
      </c>
      <c r="AJ522">
        <f t="shared" si="445"/>
        <v>22100</v>
      </c>
      <c r="AK522">
        <f t="shared" si="446"/>
        <v>277780.66512175987</v>
      </c>
      <c r="AL522">
        <v>1</v>
      </c>
      <c r="AM522">
        <f t="shared" si="447"/>
        <v>333.33215361553806</v>
      </c>
      <c r="AN522">
        <f t="shared" si="423"/>
        <v>833.53634422854634</v>
      </c>
      <c r="AO522">
        <f t="shared" si="424"/>
        <v>-63.799616763944037</v>
      </c>
      <c r="AQ522">
        <f t="shared" si="448"/>
        <v>1.0541405534090326E-3</v>
      </c>
      <c r="AR522">
        <f t="shared" si="449"/>
        <v>-3.2467529044998202</v>
      </c>
      <c r="AT522">
        <f t="shared" si="418"/>
        <v>-2768.0365575993092</v>
      </c>
      <c r="AU522">
        <f t="shared" si="419"/>
        <v>-276.11473281163131</v>
      </c>
      <c r="AV522">
        <f t="shared" ref="AV522:AV585" si="459">ATAN2(AT522,AU522)</f>
        <v>-3.0421704280188817</v>
      </c>
      <c r="AW522">
        <f t="shared" ref="AW522:AW585" si="460">AG522-AH522*AO522/_Rfb2+AG522*AN522/_Rfb2+AN522-AO522*AR522+AQ522*AN522</f>
        <v>715.99496097164615</v>
      </c>
      <c r="AX522">
        <f t="shared" ref="AX522:AX585" si="461">AH522+AH522*AN522/_Rfb2+AG522*AO522/_Rfb2+AO522+AO522*AQ522+AN522*AR522</f>
        <v>-3796.8928264168208</v>
      </c>
      <c r="AY522">
        <f t="shared" si="417"/>
        <v>-1.3844111324872466</v>
      </c>
      <c r="BA522">
        <f t="shared" si="450"/>
        <v>0.71995577844624203</v>
      </c>
      <c r="BB522">
        <f t="shared" ref="BB522:BB585" si="462">20*LOG(BA522)</f>
        <v>-2.8538835648908005</v>
      </c>
      <c r="BC522">
        <f t="shared" ref="BC522:BC585" si="463">AV522-AY522</f>
        <v>-1.6577592955316351</v>
      </c>
      <c r="BD522">
        <f t="shared" si="451"/>
        <v>-274.98261119107673</v>
      </c>
      <c r="BF522">
        <f t="shared" si="452"/>
        <v>-56.505668939651969</v>
      </c>
      <c r="BG522">
        <f t="shared" si="453"/>
        <v>-189.39528994269062</v>
      </c>
      <c r="BH522">
        <f t="shared" ref="BH522:BH585" si="464">IF(BG522&gt;180,BG522-180,BG522+180)</f>
        <v>-9.3952899426906242</v>
      </c>
      <c r="BI522">
        <f t="shared" ref="BI522:BI585" si="465">IF(BH522&gt;180,BH522-360,BH522)</f>
        <v>-9.3952899426906242</v>
      </c>
      <c r="BJ522">
        <f t="shared" si="454"/>
        <v>0</v>
      </c>
      <c r="BK522">
        <f t="shared" ref="BK522:BK585" si="466">IF(BJ522&gt;0,BI522,0)</f>
        <v>0</v>
      </c>
      <c r="BM522">
        <f t="shared" ref="BM522:BM585" si="467">20*LOG(J522*F522*C522)</f>
        <v>-53.651785374761161</v>
      </c>
      <c r="BN522">
        <f t="shared" si="455"/>
        <v>-94.412678751613939</v>
      </c>
      <c r="BQ522" s="56">
        <f t="shared" ref="BQ522:BQ585" si="468">20*LOG(BA522*7)</f>
        <v>14.048077235394336</v>
      </c>
    </row>
    <row r="523" spans="1:69" x14ac:dyDescent="0.25">
      <c r="A523">
        <f t="shared" si="420"/>
        <v>1545000</v>
      </c>
      <c r="B523">
        <f t="shared" si="456"/>
        <v>1545</v>
      </c>
      <c r="C523">
        <f t="shared" si="425"/>
        <v>12.852888911563209</v>
      </c>
      <c r="D523">
        <f t="shared" si="426"/>
        <v>1.492914096344683</v>
      </c>
      <c r="F523">
        <f t="shared" si="427"/>
        <v>1.0737480233676074E-5</v>
      </c>
      <c r="G523">
        <f t="shared" si="428"/>
        <v>1.114674691852707E-3</v>
      </c>
      <c r="H523">
        <f t="shared" si="429"/>
        <v>-3.1404779753081473</v>
      </c>
      <c r="J523">
        <f t="shared" si="430"/>
        <v>15</v>
      </c>
      <c r="M523">
        <f t="shared" si="431"/>
        <v>9.6705758686284045E-4</v>
      </c>
      <c r="N523">
        <f t="shared" si="432"/>
        <v>-1.5707963250000001</v>
      </c>
      <c r="O523">
        <f t="shared" si="433"/>
        <v>395.1167969351597</v>
      </c>
      <c r="P523">
        <f t="shared" si="434"/>
        <v>1.5682654268804073</v>
      </c>
      <c r="Q523">
        <f t="shared" si="435"/>
        <v>334.41589601511686</v>
      </c>
      <c r="R523">
        <f t="shared" si="436"/>
        <v>1.5678060338625743</v>
      </c>
      <c r="S523">
        <f t="shared" si="437"/>
        <v>7.905351527983584E-2</v>
      </c>
      <c r="T523">
        <f t="shared" si="438"/>
        <v>-1.4916602388137941</v>
      </c>
      <c r="U523">
        <f t="shared" si="439"/>
        <v>0.10113678180811791</v>
      </c>
      <c r="V523">
        <f t="shared" si="440"/>
        <v>-1.4694863310772177</v>
      </c>
      <c r="X523">
        <f t="shared" si="457"/>
        <v>-53.494211022947979</v>
      </c>
      <c r="Y523">
        <f t="shared" si="441"/>
        <v>-174.37599886161848</v>
      </c>
      <c r="Z523">
        <f t="shared" si="458"/>
        <v>5.6240011383815158</v>
      </c>
      <c r="AC523">
        <v>1</v>
      </c>
      <c r="AD523">
        <f t="shared" si="442"/>
        <v>395.11553148452703</v>
      </c>
      <c r="AE523">
        <f t="shared" si="443"/>
        <v>-0.46027109199636457</v>
      </c>
      <c r="AF523">
        <f t="shared" si="444"/>
        <v>4.6790252610570002E-2</v>
      </c>
      <c r="AG523">
        <f t="shared" si="421"/>
        <v>84.22437400316862</v>
      </c>
      <c r="AH523">
        <f t="shared" si="422"/>
        <v>-849.87881826834632</v>
      </c>
      <c r="AJ523">
        <f t="shared" si="445"/>
        <v>22100</v>
      </c>
      <c r="AK523">
        <f t="shared" si="446"/>
        <v>278682.55039812921</v>
      </c>
      <c r="AL523">
        <v>1</v>
      </c>
      <c r="AM523">
        <f t="shared" si="447"/>
        <v>334.41440086753653</v>
      </c>
      <c r="AN523">
        <f t="shared" si="423"/>
        <v>833.535107412294</v>
      </c>
      <c r="AO523">
        <f t="shared" si="424"/>
        <v>-63.593149210734715</v>
      </c>
      <c r="AQ523">
        <f t="shared" si="448"/>
        <v>1.0473286782366462E-3</v>
      </c>
      <c r="AR523">
        <f t="shared" si="449"/>
        <v>-3.2362456157512369</v>
      </c>
      <c r="AT523">
        <f t="shared" si="418"/>
        <v>-2750.3283889384779</v>
      </c>
      <c r="AU523">
        <f t="shared" si="419"/>
        <v>-273.46086356654519</v>
      </c>
      <c r="AV523">
        <f t="shared" si="459"/>
        <v>-3.0424899332024324</v>
      </c>
      <c r="AW523">
        <f t="shared" si="460"/>
        <v>716.75912554123704</v>
      </c>
      <c r="AX523">
        <f t="shared" si="461"/>
        <v>-3784.6583642801725</v>
      </c>
      <c r="AY523">
        <f t="shared" ref="AY523:AY586" si="469">ATAN2(AW523,AX523)</f>
        <v>-1.3836276107772814</v>
      </c>
      <c r="BA523">
        <f t="shared" si="450"/>
        <v>0.71753333652545637</v>
      </c>
      <c r="BB523">
        <f t="shared" si="462"/>
        <v>-2.8831583369602054</v>
      </c>
      <c r="BC523">
        <f t="shared" si="463"/>
        <v>-1.6588623224251511</v>
      </c>
      <c r="BD523">
        <f t="shared" si="451"/>
        <v>-275.04580997683678</v>
      </c>
      <c r="BF523">
        <f t="shared" si="452"/>
        <v>-56.563270530267012</v>
      </c>
      <c r="BG523">
        <f t="shared" si="453"/>
        <v>-189.44426682751205</v>
      </c>
      <c r="BH523">
        <f t="shared" si="464"/>
        <v>-9.4442668275120525</v>
      </c>
      <c r="BI523">
        <f t="shared" si="465"/>
        <v>-9.4442668275120525</v>
      </c>
      <c r="BJ523">
        <f t="shared" si="454"/>
        <v>0</v>
      </c>
      <c r="BK523">
        <f t="shared" si="466"/>
        <v>0</v>
      </c>
      <c r="BM523">
        <f t="shared" si="467"/>
        <v>-53.680112193306812</v>
      </c>
      <c r="BN523">
        <f t="shared" si="455"/>
        <v>-94.398456850675274</v>
      </c>
      <c r="BQ523" s="56">
        <f t="shared" si="468"/>
        <v>14.018802463324933</v>
      </c>
    </row>
    <row r="524" spans="1:69" x14ac:dyDescent="0.25">
      <c r="A524">
        <f t="shared" si="420"/>
        <v>1550000</v>
      </c>
      <c r="B524">
        <f t="shared" si="456"/>
        <v>1550</v>
      </c>
      <c r="C524">
        <f t="shared" si="425"/>
        <v>12.894232633646926</v>
      </c>
      <c r="D524">
        <f t="shared" si="426"/>
        <v>1.4931643195325062</v>
      </c>
      <c r="F524">
        <f t="shared" si="427"/>
        <v>1.0668317200521553E-5</v>
      </c>
      <c r="G524">
        <f t="shared" si="428"/>
        <v>1.1110788927075036E-3</v>
      </c>
      <c r="H524">
        <f t="shared" si="429"/>
        <v>-3.1404815711072929</v>
      </c>
      <c r="J524">
        <f t="shared" si="430"/>
        <v>15</v>
      </c>
      <c r="M524">
        <f t="shared" si="431"/>
        <v>9.63938046260057E-4</v>
      </c>
      <c r="N524">
        <f t="shared" si="432"/>
        <v>-1.5707963250000001</v>
      </c>
      <c r="O524">
        <f t="shared" si="433"/>
        <v>396.39548389347686</v>
      </c>
      <c r="P524">
        <f t="shared" si="434"/>
        <v>1.5682735910389847</v>
      </c>
      <c r="Q524">
        <f t="shared" si="435"/>
        <v>335.4981384440801</v>
      </c>
      <c r="R524">
        <f t="shared" si="436"/>
        <v>1.567815679911583</v>
      </c>
      <c r="S524">
        <f t="shared" si="437"/>
        <v>7.8800089967757767E-2</v>
      </c>
      <c r="T524">
        <f t="shared" si="438"/>
        <v>-1.4919144571826304</v>
      </c>
      <c r="U524">
        <f t="shared" si="439"/>
        <v>0.10081385523213009</v>
      </c>
      <c r="V524">
        <f t="shared" si="440"/>
        <v>-1.4698109166338393</v>
      </c>
      <c r="X524">
        <f t="shared" si="457"/>
        <v>-53.550048969434329</v>
      </c>
      <c r="Y524">
        <f t="shared" si="441"/>
        <v>-174.39401072552289</v>
      </c>
      <c r="Z524">
        <f t="shared" si="458"/>
        <v>5.6059892744771105</v>
      </c>
      <c r="AC524">
        <v>1</v>
      </c>
      <c r="AD524">
        <f t="shared" si="442"/>
        <v>396.39422252493</v>
      </c>
      <c r="AE524">
        <f t="shared" si="443"/>
        <v>-0.46325501346708381</v>
      </c>
      <c r="AF524">
        <f t="shared" si="444"/>
        <v>4.6941677376299999E-2</v>
      </c>
      <c r="AG524">
        <f t="shared" si="421"/>
        <v>83.687381099416243</v>
      </c>
      <c r="AH524">
        <f t="shared" si="422"/>
        <v>-847.19168723854511</v>
      </c>
      <c r="AJ524">
        <f t="shared" si="445"/>
        <v>22100</v>
      </c>
      <c r="AK524">
        <f t="shared" si="446"/>
        <v>279584.43567449856</v>
      </c>
      <c r="AL524">
        <v>1</v>
      </c>
      <c r="AM524">
        <f t="shared" si="447"/>
        <v>335.496648119535</v>
      </c>
      <c r="AN524">
        <f t="shared" si="423"/>
        <v>833.53388254577362</v>
      </c>
      <c r="AO524">
        <f t="shared" si="424"/>
        <v>-63.38801367063774</v>
      </c>
      <c r="AQ524">
        <f t="shared" si="448"/>
        <v>1.0405826180455132E-3</v>
      </c>
      <c r="AR524">
        <f t="shared" si="449"/>
        <v>-3.2258061159410909</v>
      </c>
      <c r="AT524">
        <f t="shared" si="418"/>
        <v>-2732.7890424344287</v>
      </c>
      <c r="AU524">
        <f t="shared" si="419"/>
        <v>-270.8408387214829</v>
      </c>
      <c r="AV524">
        <f t="shared" si="459"/>
        <v>-3.0428073985506754</v>
      </c>
      <c r="AW524">
        <f t="shared" si="460"/>
        <v>717.51583271058837</v>
      </c>
      <c r="AX524">
        <f t="shared" si="461"/>
        <v>-3772.502329179536</v>
      </c>
      <c r="AY524">
        <f t="shared" si="469"/>
        <v>-1.3828449655219726</v>
      </c>
      <c r="BA524">
        <f t="shared" si="450"/>
        <v>0.7151260673295563</v>
      </c>
      <c r="BB524">
        <f t="shared" si="462"/>
        <v>-2.9123478207781721</v>
      </c>
      <c r="BC524">
        <f t="shared" si="463"/>
        <v>-1.6599624330287028</v>
      </c>
      <c r="BD524">
        <f t="shared" si="451"/>
        <v>-275.10884167148993</v>
      </c>
      <c r="BF524">
        <f t="shared" si="452"/>
        <v>-56.620694211387033</v>
      </c>
      <c r="BG524">
        <f t="shared" si="453"/>
        <v>-189.49316781366548</v>
      </c>
      <c r="BH524">
        <f t="shared" si="464"/>
        <v>-9.4931678136654796</v>
      </c>
      <c r="BI524">
        <f t="shared" si="465"/>
        <v>-9.4931678136654796</v>
      </c>
      <c r="BJ524">
        <f t="shared" si="454"/>
        <v>0</v>
      </c>
      <c r="BK524">
        <f t="shared" si="466"/>
        <v>0</v>
      </c>
      <c r="BM524">
        <f t="shared" si="467"/>
        <v>-53.708346390608853</v>
      </c>
      <c r="BN524">
        <f t="shared" si="455"/>
        <v>-94.384326142175553</v>
      </c>
      <c r="BQ524" s="56">
        <f t="shared" si="468"/>
        <v>13.989612979506965</v>
      </c>
    </row>
    <row r="525" spans="1:69" x14ac:dyDescent="0.25">
      <c r="A525">
        <f t="shared" si="420"/>
        <v>1555000</v>
      </c>
      <c r="B525">
        <f t="shared" si="456"/>
        <v>1555</v>
      </c>
      <c r="C525">
        <f t="shared" si="425"/>
        <v>12.935577157899065</v>
      </c>
      <c r="D525">
        <f t="shared" si="426"/>
        <v>1.4934129432155858</v>
      </c>
      <c r="F525">
        <f t="shared" si="427"/>
        <v>1.0599820270634312E-5</v>
      </c>
      <c r="G525">
        <f t="shared" si="428"/>
        <v>1.1075062183861489E-3</v>
      </c>
      <c r="H525">
        <f t="shared" si="429"/>
        <v>-3.1404851437816141</v>
      </c>
      <c r="J525">
        <f t="shared" si="430"/>
        <v>15</v>
      </c>
      <c r="M525">
        <f t="shared" si="431"/>
        <v>9.6083856701163241E-4</v>
      </c>
      <c r="N525">
        <f t="shared" si="432"/>
        <v>-1.5707963250000001</v>
      </c>
      <c r="O525">
        <f t="shared" si="433"/>
        <v>397.67417087804535</v>
      </c>
      <c r="P525">
        <f t="shared" si="434"/>
        <v>1.5682817026952678</v>
      </c>
      <c r="Q525">
        <f t="shared" si="435"/>
        <v>336.58038090405944</v>
      </c>
      <c r="R525">
        <f t="shared" si="436"/>
        <v>1.5678252639286716</v>
      </c>
      <c r="S525">
        <f t="shared" si="437"/>
        <v>7.8548279268966029E-2</v>
      </c>
      <c r="T525">
        <f t="shared" si="438"/>
        <v>-1.4921670508257749</v>
      </c>
      <c r="U525">
        <f t="shared" si="439"/>
        <v>0.10049297379484064</v>
      </c>
      <c r="V525">
        <f t="shared" si="440"/>
        <v>-1.4701334359709721</v>
      </c>
      <c r="X525">
        <f t="shared" si="457"/>
        <v>-53.605708927228505</v>
      </c>
      <c r="Y525">
        <f t="shared" si="441"/>
        <v>-174.41190799608933</v>
      </c>
      <c r="Z525">
        <f t="shared" si="458"/>
        <v>5.5880920039106741</v>
      </c>
      <c r="AC525">
        <v>1</v>
      </c>
      <c r="AD525">
        <f t="shared" si="442"/>
        <v>397.67291356533303</v>
      </c>
      <c r="AE525">
        <f t="shared" si="443"/>
        <v>-0.46624857604110109</v>
      </c>
      <c r="AF525">
        <f t="shared" si="444"/>
        <v>4.7093102142029997E-2</v>
      </c>
      <c r="AG525">
        <f t="shared" si="421"/>
        <v>83.155490109454931</v>
      </c>
      <c r="AH525">
        <f t="shared" si="422"/>
        <v>-844.52132147901125</v>
      </c>
      <c r="AJ525">
        <f t="shared" si="445"/>
        <v>22100</v>
      </c>
      <c r="AK525">
        <f t="shared" si="446"/>
        <v>280486.3209508679</v>
      </c>
      <c r="AL525">
        <v>1</v>
      </c>
      <c r="AM525">
        <f t="shared" si="447"/>
        <v>336.57889537153352</v>
      </c>
      <c r="AN525">
        <f t="shared" si="423"/>
        <v>833.53266947554062</v>
      </c>
      <c r="AO525">
        <f t="shared" si="424"/>
        <v>-63.184197295107921</v>
      </c>
      <c r="AQ525">
        <f t="shared" si="448"/>
        <v>1.0339015277032364E-3</v>
      </c>
      <c r="AR525">
        <f t="shared" si="449"/>
        <v>-3.215433751157065</v>
      </c>
      <c r="AT525">
        <f t="shared" si="418"/>
        <v>-2715.4163860671174</v>
      </c>
      <c r="AU525">
        <f t="shared" si="419"/>
        <v>-268.25412137640399</v>
      </c>
      <c r="AV525">
        <f t="shared" si="459"/>
        <v>-3.0431228434682187</v>
      </c>
      <c r="AW525">
        <f t="shared" si="460"/>
        <v>718.26517941119016</v>
      </c>
      <c r="AX525">
        <f t="shared" si="461"/>
        <v>-3760.4239709290869</v>
      </c>
      <c r="AY525">
        <f t="shared" si="469"/>
        <v>-1.3820631905594436</v>
      </c>
      <c r="BA525">
        <f t="shared" si="450"/>
        <v>0.71273382691216436</v>
      </c>
      <c r="BB525">
        <f t="shared" si="462"/>
        <v>-2.9414525750734759</v>
      </c>
      <c r="BC525">
        <f t="shared" si="463"/>
        <v>-1.6610596529087751</v>
      </c>
      <c r="BD525">
        <f t="shared" si="451"/>
        <v>-275.17170773988778</v>
      </c>
      <c r="BF525">
        <f t="shared" si="452"/>
        <v>-56.67794114879672</v>
      </c>
      <c r="BG525">
        <f t="shared" si="453"/>
        <v>-189.54199349347996</v>
      </c>
      <c r="BH525">
        <f t="shared" si="464"/>
        <v>-9.5419934934799642</v>
      </c>
      <c r="BI525">
        <f t="shared" si="465"/>
        <v>-9.5419934934799642</v>
      </c>
      <c r="BJ525">
        <f t="shared" si="454"/>
        <v>0</v>
      </c>
      <c r="BK525">
        <f t="shared" si="466"/>
        <v>0</v>
      </c>
      <c r="BM525">
        <f t="shared" si="467"/>
        <v>-53.736488573723243</v>
      </c>
      <c r="BN525">
        <f t="shared" si="455"/>
        <v>-94.370285753592228</v>
      </c>
      <c r="BQ525" s="56">
        <f t="shared" si="468"/>
        <v>13.960508225211662</v>
      </c>
    </row>
    <row r="526" spans="1:69" x14ac:dyDescent="0.25">
      <c r="A526">
        <f t="shared" si="420"/>
        <v>1560000</v>
      </c>
      <c r="B526">
        <f t="shared" si="456"/>
        <v>1560</v>
      </c>
      <c r="C526">
        <f t="shared" si="425"/>
        <v>12.97692247665249</v>
      </c>
      <c r="D526">
        <f t="shared" si="426"/>
        <v>1.4936599826514163</v>
      </c>
      <c r="F526">
        <f t="shared" si="427"/>
        <v>1.0531980917786806E-5</v>
      </c>
      <c r="G526">
        <f t="shared" si="428"/>
        <v>1.1039564465254628E-3</v>
      </c>
      <c r="H526">
        <f t="shared" si="429"/>
        <v>-3.1404886935534746</v>
      </c>
      <c r="J526">
        <f t="shared" si="430"/>
        <v>15</v>
      </c>
      <c r="M526">
        <f t="shared" si="431"/>
        <v>9.5775895621992839E-4</v>
      </c>
      <c r="N526">
        <f t="shared" si="432"/>
        <v>-1.5707963250000001</v>
      </c>
      <c r="O526">
        <f t="shared" si="433"/>
        <v>398.95285788861253</v>
      </c>
      <c r="P526">
        <f t="shared" si="434"/>
        <v>1.5682897623540819</v>
      </c>
      <c r="Q526">
        <f t="shared" si="435"/>
        <v>337.66262339475662</v>
      </c>
      <c r="R526">
        <f t="shared" si="436"/>
        <v>1.5678347865102935</v>
      </c>
      <c r="S526">
        <f t="shared" si="437"/>
        <v>7.829806784991003E-2</v>
      </c>
      <c r="T526">
        <f t="shared" si="438"/>
        <v>-1.4924180352372751</v>
      </c>
      <c r="U526">
        <f t="shared" si="439"/>
        <v>0.10017411822905296</v>
      </c>
      <c r="V526">
        <f t="shared" si="440"/>
        <v>-1.4704539086890089</v>
      </c>
      <c r="X526">
        <f t="shared" si="457"/>
        <v>-53.661192021683739</v>
      </c>
      <c r="Y526">
        <f t="shared" si="441"/>
        <v>-174.42969175953286</v>
      </c>
      <c r="Z526">
        <f t="shared" si="458"/>
        <v>5.570308240467142</v>
      </c>
      <c r="AC526">
        <v>1</v>
      </c>
      <c r="AD526">
        <f t="shared" si="442"/>
        <v>398.95160460573601</v>
      </c>
      <c r="AE526">
        <f t="shared" si="443"/>
        <v>-0.46925177971841636</v>
      </c>
      <c r="AF526">
        <f t="shared" si="444"/>
        <v>4.7244526907760001E-2</v>
      </c>
      <c r="AG526">
        <f t="shared" si="421"/>
        <v>82.628636826305225</v>
      </c>
      <c r="AH526">
        <f t="shared" si="422"/>
        <v>-841.86756624961606</v>
      </c>
      <c r="AJ526">
        <f t="shared" si="445"/>
        <v>22100</v>
      </c>
      <c r="AK526">
        <f t="shared" si="446"/>
        <v>281388.20622723724</v>
      </c>
      <c r="AL526">
        <v>1</v>
      </c>
      <c r="AM526">
        <f t="shared" si="447"/>
        <v>337.66114262353204</v>
      </c>
      <c r="AN526">
        <f t="shared" si="423"/>
        <v>833.53146805060567</v>
      </c>
      <c r="AO526">
        <f t="shared" si="424"/>
        <v>-62.981687400317725</v>
      </c>
      <c r="AQ526">
        <f t="shared" si="448"/>
        <v>1.0272845755994642E-3</v>
      </c>
      <c r="AR526">
        <f t="shared" si="449"/>
        <v>-3.2051278758703283</v>
      </c>
      <c r="AT526">
        <f t="shared" si="418"/>
        <v>-2698.2083212536404</v>
      </c>
      <c r="AU526">
        <f t="shared" si="419"/>
        <v>-265.70018480266214</v>
      </c>
      <c r="AV526">
        <f t="shared" si="459"/>
        <v>-3.0434362871151825</v>
      </c>
      <c r="AW526">
        <f t="shared" si="460"/>
        <v>719.00726100158329</v>
      </c>
      <c r="AX526">
        <f t="shared" si="461"/>
        <v>-3748.4225488617963</v>
      </c>
      <c r="AY526">
        <f t="shared" si="469"/>
        <v>-1.38128227981636</v>
      </c>
      <c r="BA526">
        <f t="shared" si="450"/>
        <v>0.71035647314171346</v>
      </c>
      <c r="BB526">
        <f t="shared" si="462"/>
        <v>-2.9704731533027529</v>
      </c>
      <c r="BC526">
        <f t="shared" si="463"/>
        <v>-1.6621540072988226</v>
      </c>
      <c r="BD526">
        <f t="shared" si="451"/>
        <v>-275.23440962780074</v>
      </c>
      <c r="BF526">
        <f t="shared" si="452"/>
        <v>-56.735012497029857</v>
      </c>
      <c r="BG526">
        <f t="shared" si="453"/>
        <v>-189.59074445127649</v>
      </c>
      <c r="BH526">
        <f t="shared" si="464"/>
        <v>-9.5907444512764926</v>
      </c>
      <c r="BI526">
        <f t="shared" si="465"/>
        <v>-9.5907444512764926</v>
      </c>
      <c r="BJ526">
        <f t="shared" si="454"/>
        <v>0</v>
      </c>
      <c r="BK526">
        <f t="shared" si="466"/>
        <v>0</v>
      </c>
      <c r="BM526">
        <f t="shared" si="467"/>
        <v>-53.764539343727108</v>
      </c>
      <c r="BN526">
        <f t="shared" si="455"/>
        <v>-94.356334823475763</v>
      </c>
      <c r="BQ526" s="56">
        <f t="shared" si="468"/>
        <v>13.931487646982383</v>
      </c>
    </row>
    <row r="527" spans="1:69" x14ac:dyDescent="0.25">
      <c r="A527">
        <f t="shared" si="420"/>
        <v>1565000</v>
      </c>
      <c r="B527">
        <f t="shared" si="456"/>
        <v>1565</v>
      </c>
      <c r="C527">
        <f t="shared" si="425"/>
        <v>13.018268582337319</v>
      </c>
      <c r="D527">
        <f t="shared" si="426"/>
        <v>1.4939054529044382</v>
      </c>
      <c r="F527">
        <f t="shared" si="427"/>
        <v>1.0464790751737983E-5</v>
      </c>
      <c r="G527">
        <f t="shared" si="428"/>
        <v>1.1004293576041121E-3</v>
      </c>
      <c r="H527">
        <f t="shared" si="429"/>
        <v>-3.140492220642396</v>
      </c>
      <c r="J527">
        <f t="shared" si="430"/>
        <v>15</v>
      </c>
      <c r="M527">
        <f t="shared" si="431"/>
        <v>9.5469902345245248E-4</v>
      </c>
      <c r="N527">
        <f t="shared" si="432"/>
        <v>-1.5707963250000001</v>
      </c>
      <c r="O527">
        <f t="shared" si="433"/>
        <v>400.23154492492944</v>
      </c>
      <c r="P527">
        <f t="shared" si="434"/>
        <v>1.5682977705138013</v>
      </c>
      <c r="Q527">
        <f t="shared" si="435"/>
        <v>338.74486591587731</v>
      </c>
      <c r="R527">
        <f t="shared" si="436"/>
        <v>1.5678442482452808</v>
      </c>
      <c r="S527">
        <f t="shared" si="437"/>
        <v>7.8049440569977438E-2</v>
      </c>
      <c r="T527">
        <f t="shared" si="438"/>
        <v>-1.4926674257151962</v>
      </c>
      <c r="U527">
        <f t="shared" si="439"/>
        <v>9.9857269507570623E-2</v>
      </c>
      <c r="V527">
        <f t="shared" si="440"/>
        <v>-1.4707723541420539</v>
      </c>
      <c r="X527">
        <f t="shared" si="457"/>
        <v>-53.716499367568161</v>
      </c>
      <c r="Y527">
        <f t="shared" si="441"/>
        <v>-174.44736308843306</v>
      </c>
      <c r="Z527">
        <f t="shared" si="458"/>
        <v>5.5526369115669354</v>
      </c>
      <c r="AC527">
        <v>1</v>
      </c>
      <c r="AD527">
        <f t="shared" si="442"/>
        <v>400.23029564613898</v>
      </c>
      <c r="AE527">
        <f t="shared" si="443"/>
        <v>-0.47226462449902951</v>
      </c>
      <c r="AF527">
        <f t="shared" si="444"/>
        <v>4.7395951673489999E-2</v>
      </c>
      <c r="AG527">
        <f t="shared" si="421"/>
        <v>82.106758046411002</v>
      </c>
      <c r="AH527">
        <f t="shared" si="422"/>
        <v>-839.2302686870396</v>
      </c>
      <c r="AJ527">
        <f t="shared" si="445"/>
        <v>22100</v>
      </c>
      <c r="AK527">
        <f t="shared" si="446"/>
        <v>282290.09150360659</v>
      </c>
      <c r="AL527">
        <v>1</v>
      </c>
      <c r="AM527">
        <f t="shared" si="447"/>
        <v>338.74338987553057</v>
      </c>
      <c r="AN527">
        <f t="shared" si="423"/>
        <v>833.53027812238668</v>
      </c>
      <c r="AO527">
        <f t="shared" si="424"/>
        <v>-62.780471464526187</v>
      </c>
      <c r="AQ527">
        <f t="shared" si="448"/>
        <v>1.0207309433870977E-3</v>
      </c>
      <c r="AR527">
        <f t="shared" si="449"/>
        <v>-3.1948878528016156</v>
      </c>
      <c r="AT527">
        <f t="shared" si="418"/>
        <v>-2681.1627822230598</v>
      </c>
      <c r="AU527">
        <f t="shared" si="419"/>
        <v>-263.17851221927577</v>
      </c>
      <c r="AV527">
        <f t="shared" si="459"/>
        <v>-3.0437477484110249</v>
      </c>
      <c r="AW527">
        <f t="shared" si="460"/>
        <v>719.7421712979442</v>
      </c>
      <c r="AX527">
        <f t="shared" si="461"/>
        <v>-3736.4973316792152</v>
      </c>
      <c r="AY527">
        <f t="shared" si="469"/>
        <v>-1.3805022273064274</v>
      </c>
      <c r="BA527">
        <f t="shared" si="450"/>
        <v>0.70799386567305378</v>
      </c>
      <c r="BB527">
        <f t="shared" si="462"/>
        <v>-2.9994101037154759</v>
      </c>
      <c r="BC527">
        <f t="shared" si="463"/>
        <v>-1.6632455211045976</v>
      </c>
      <c r="BD527">
        <f t="shared" si="451"/>
        <v>-275.29694876222334</v>
      </c>
      <c r="BF527">
        <f t="shared" si="452"/>
        <v>-56.791909399512846</v>
      </c>
      <c r="BG527">
        <f t="shared" si="453"/>
        <v>-189.63942126349826</v>
      </c>
      <c r="BH527">
        <f t="shared" si="464"/>
        <v>-9.6394212634982637</v>
      </c>
      <c r="BI527">
        <f t="shared" si="465"/>
        <v>-9.6394212634982637</v>
      </c>
      <c r="BJ527">
        <f t="shared" si="454"/>
        <v>0</v>
      </c>
      <c r="BK527">
        <f t="shared" si="466"/>
        <v>0</v>
      </c>
      <c r="BM527">
        <f t="shared" si="467"/>
        <v>-53.79249929579737</v>
      </c>
      <c r="BN527">
        <f t="shared" si="455"/>
        <v>-94.342472501274912</v>
      </c>
      <c r="BQ527" s="56">
        <f t="shared" si="468"/>
        <v>13.902550696569662</v>
      </c>
    </row>
    <row r="528" spans="1:69" x14ac:dyDescent="0.25">
      <c r="A528">
        <f t="shared" si="420"/>
        <v>1570000</v>
      </c>
      <c r="B528">
        <f t="shared" si="456"/>
        <v>1570</v>
      </c>
      <c r="C528">
        <f t="shared" si="425"/>
        <v>13.059615467479397</v>
      </c>
      <c r="D528">
        <f t="shared" si="426"/>
        <v>1.4941493688490783</v>
      </c>
      <c r="F528">
        <f t="shared" si="427"/>
        <v>1.0398241515638929E-5</v>
      </c>
      <c r="G528">
        <f t="shared" si="428"/>
        <v>1.096924734897355E-3</v>
      </c>
      <c r="H528">
        <f t="shared" si="429"/>
        <v>-3.1404957252651027</v>
      </c>
      <c r="J528">
        <f t="shared" si="430"/>
        <v>15</v>
      </c>
      <c r="M528">
        <f t="shared" si="431"/>
        <v>9.5165858070260414E-4</v>
      </c>
      <c r="N528">
        <f t="shared" si="432"/>
        <v>-1.5707963250000001</v>
      </c>
      <c r="O528">
        <f t="shared" si="433"/>
        <v>401.51023198674994</v>
      </c>
      <c r="P528">
        <f t="shared" si="434"/>
        <v>1.5683057276664514</v>
      </c>
      <c r="Q528">
        <f t="shared" si="435"/>
        <v>339.82710846713076</v>
      </c>
      <c r="R528">
        <f t="shared" si="436"/>
        <v>1.5678536497149635</v>
      </c>
      <c r="S528">
        <f t="shared" si="437"/>
        <v>7.7802382478478621E-2</v>
      </c>
      <c r="T528">
        <f t="shared" si="438"/>
        <v>-1.4929152373647041</v>
      </c>
      <c r="U528">
        <f t="shared" si="439"/>
        <v>9.9542408839492155E-2</v>
      </c>
      <c r="V528">
        <f t="shared" si="440"/>
        <v>-1.4710887914417647</v>
      </c>
      <c r="X528">
        <f t="shared" si="457"/>
        <v>-53.771632069196443</v>
      </c>
      <c r="Y528">
        <f t="shared" si="441"/>
        <v>-174.46492304194626</v>
      </c>
      <c r="Z528">
        <f t="shared" si="458"/>
        <v>5.535076958053736</v>
      </c>
      <c r="AC528">
        <v>1</v>
      </c>
      <c r="AD528">
        <f t="shared" si="442"/>
        <v>401.50898668654202</v>
      </c>
      <c r="AE528">
        <f t="shared" si="443"/>
        <v>-0.47528711038294064</v>
      </c>
      <c r="AF528">
        <f t="shared" si="444"/>
        <v>4.7547376439219996E-2</v>
      </c>
      <c r="AG528">
        <f t="shared" si="421"/>
        <v>81.58979155094525</v>
      </c>
      <c r="AH528">
        <f t="shared" si="422"/>
        <v>-836.60927777675272</v>
      </c>
      <c r="AJ528">
        <f t="shared" si="445"/>
        <v>22100</v>
      </c>
      <c r="AK528">
        <f t="shared" si="446"/>
        <v>283191.97677997593</v>
      </c>
      <c r="AL528">
        <v>1</v>
      </c>
      <c r="AM528">
        <f t="shared" si="447"/>
        <v>339.82563712752903</v>
      </c>
      <c r="AN528">
        <f t="shared" si="423"/>
        <v>833.5290995446652</v>
      </c>
      <c r="AO528">
        <f t="shared" si="424"/>
        <v>-62.580537125497983</v>
      </c>
      <c r="AQ528">
        <f t="shared" si="448"/>
        <v>1.0142398257292561E-3</v>
      </c>
      <c r="AR528">
        <f t="shared" si="449"/>
        <v>-3.1847130527898644</v>
      </c>
      <c r="AT528">
        <f t="shared" si="418"/>
        <v>-2664.2777354047621</v>
      </c>
      <c r="AU528">
        <f t="shared" si="419"/>
        <v>-260.68859657479527</v>
      </c>
      <c r="AV528">
        <f t="shared" si="459"/>
        <v>-3.0440572460382938</v>
      </c>
      <c r="AW528">
        <f t="shared" si="460"/>
        <v>720.47000260398022</v>
      </c>
      <c r="AX528">
        <f t="shared" si="461"/>
        <v>-3724.6475973040897</v>
      </c>
      <c r="AY528">
        <f t="shared" si="469"/>
        <v>-1.3797230271289178</v>
      </c>
      <c r="BA528">
        <f t="shared" si="450"/>
        <v>0.70564586591958611</v>
      </c>
      <c r="BB528">
        <f t="shared" si="462"/>
        <v>-3.0282639694179632</v>
      </c>
      <c r="BC528">
        <f t="shared" si="463"/>
        <v>-1.6643342189093759</v>
      </c>
      <c r="BD528">
        <f t="shared" si="451"/>
        <v>-275.35932655167358</v>
      </c>
      <c r="BF528">
        <f t="shared" si="452"/>
        <v>-56.848632988706044</v>
      </c>
      <c r="BG528">
        <f t="shared" si="453"/>
        <v>-189.68802449883881</v>
      </c>
      <c r="BH528">
        <f t="shared" si="464"/>
        <v>-9.6880244988388142</v>
      </c>
      <c r="BI528">
        <f t="shared" si="465"/>
        <v>-9.6880244988388142</v>
      </c>
      <c r="BJ528">
        <f t="shared" si="454"/>
        <v>0</v>
      </c>
      <c r="BK528">
        <f t="shared" si="466"/>
        <v>0</v>
      </c>
      <c r="BM528">
        <f t="shared" si="467"/>
        <v>-53.82036901928808</v>
      </c>
      <c r="BN528">
        <f t="shared" si="455"/>
        <v>-94.328697947165224</v>
      </c>
      <c r="BQ528" s="56">
        <f t="shared" si="468"/>
        <v>13.873696830867173</v>
      </c>
    </row>
    <row r="529" spans="1:69" x14ac:dyDescent="0.25">
      <c r="A529">
        <f t="shared" si="420"/>
        <v>1575000</v>
      </c>
      <c r="B529">
        <f t="shared" si="456"/>
        <v>1575</v>
      </c>
      <c r="C529">
        <f t="shared" si="425"/>
        <v>13.100963124698778</v>
      </c>
      <c r="D529">
        <f t="shared" si="426"/>
        <v>1.4943917451727287</v>
      </c>
      <c r="F529">
        <f t="shared" si="427"/>
        <v>1.033232508349602E-5</v>
      </c>
      <c r="G529">
        <f t="shared" si="428"/>
        <v>1.0934423644326479E-3</v>
      </c>
      <c r="H529">
        <f t="shared" si="429"/>
        <v>-3.1404992076355676</v>
      </c>
      <c r="J529">
        <f t="shared" si="430"/>
        <v>15</v>
      </c>
      <c r="M529">
        <f t="shared" si="431"/>
        <v>9.486374423511672E-4</v>
      </c>
      <c r="N529">
        <f t="shared" si="432"/>
        <v>-1.5707963250000001</v>
      </c>
      <c r="O529">
        <f t="shared" si="433"/>
        <v>402.7889190738311</v>
      </c>
      <c r="P529">
        <f t="shared" si="434"/>
        <v>1.5683136342978095</v>
      </c>
      <c r="Q529">
        <f t="shared" si="435"/>
        <v>340.90935104823001</v>
      </c>
      <c r="R529">
        <f t="shared" si="436"/>
        <v>1.5678629914932904</v>
      </c>
      <c r="S529">
        <f t="shared" si="437"/>
        <v>7.7556878811687338E-2</v>
      </c>
      <c r="T529">
        <f t="shared" si="438"/>
        <v>-1.4931614851010899</v>
      </c>
      <c r="U529">
        <f t="shared" si="439"/>
        <v>9.9229517666573744E-2</v>
      </c>
      <c r="V529">
        <f t="shared" si="440"/>
        <v>-1.4714032394611261</v>
      </c>
      <c r="X529">
        <f t="shared" si="457"/>
        <v>-53.826591220559521</v>
      </c>
      <c r="Y529">
        <f t="shared" si="441"/>
        <v>-174.48237266601444</v>
      </c>
      <c r="Z529">
        <f t="shared" si="458"/>
        <v>5.5176273339855584</v>
      </c>
      <c r="AC529">
        <v>1</v>
      </c>
      <c r="AD529">
        <f t="shared" si="442"/>
        <v>402.78767772694499</v>
      </c>
      <c r="AE529">
        <f t="shared" si="443"/>
        <v>-0.47831923737014981</v>
      </c>
      <c r="AF529">
        <f t="shared" si="444"/>
        <v>4.769880120495E-2</v>
      </c>
      <c r="AG529">
        <f t="shared" si="421"/>
        <v>81.077676087520103</v>
      </c>
      <c r="AH529">
        <f t="shared" si="422"/>
        <v>-834.00444432549637</v>
      </c>
      <c r="AJ529">
        <f t="shared" si="445"/>
        <v>22100</v>
      </c>
      <c r="AK529">
        <f t="shared" si="446"/>
        <v>284093.86205634527</v>
      </c>
      <c r="AL529">
        <v>1</v>
      </c>
      <c r="AM529">
        <f t="shared" si="447"/>
        <v>340.90788437952756</v>
      </c>
      <c r="AN529">
        <f t="shared" si="423"/>
        <v>833.52793217353826</v>
      </c>
      <c r="AO529">
        <f t="shared" si="424"/>
        <v>-62.381872177971758</v>
      </c>
      <c r="AQ529">
        <f t="shared" si="448"/>
        <v>1.007810430051859E-3</v>
      </c>
      <c r="AR529">
        <f t="shared" si="449"/>
        <v>-3.1746028546633553</v>
      </c>
      <c r="AT529">
        <f t="shared" si="418"/>
        <v>-2647.551178830041</v>
      </c>
      <c r="AU529">
        <f t="shared" si="419"/>
        <v>-258.22994033461305</v>
      </c>
      <c r="AV529">
        <f t="shared" si="459"/>
        <v>-3.0443647984463138</v>
      </c>
      <c r="AW529">
        <f t="shared" si="460"/>
        <v>721.1908457401463</v>
      </c>
      <c r="AX529">
        <f t="shared" si="461"/>
        <v>-3712.8726327357344</v>
      </c>
      <c r="AY529">
        <f t="shared" si="469"/>
        <v>-1.3789446734672279</v>
      </c>
      <c r="BA529">
        <f t="shared" si="450"/>
        <v>0.70331233702591678</v>
      </c>
      <c r="BB529">
        <f t="shared" si="462"/>
        <v>-3.0570352884363796</v>
      </c>
      <c r="BC529">
        <f t="shared" si="463"/>
        <v>-1.6654201249790859</v>
      </c>
      <c r="BD529">
        <f t="shared" si="451"/>
        <v>-275.42154438648674</v>
      </c>
      <c r="BF529">
        <f t="shared" si="452"/>
        <v>-56.905184386242844</v>
      </c>
      <c r="BG529">
        <f t="shared" si="453"/>
        <v>-189.73655471836759</v>
      </c>
      <c r="BH529">
        <f t="shared" si="464"/>
        <v>-9.7365547183675858</v>
      </c>
      <c r="BI529">
        <f t="shared" si="465"/>
        <v>-9.7365547183675858</v>
      </c>
      <c r="BJ529">
        <f t="shared" si="454"/>
        <v>0</v>
      </c>
      <c r="BK529">
        <f t="shared" si="466"/>
        <v>0</v>
      </c>
      <c r="BM529">
        <f t="shared" si="467"/>
        <v>-53.84814909780647</v>
      </c>
      <c r="BN529">
        <f t="shared" si="455"/>
        <v>-94.315010331880856</v>
      </c>
      <c r="BQ529" s="56">
        <f t="shared" si="468"/>
        <v>13.844925511848757</v>
      </c>
    </row>
    <row r="530" spans="1:69" x14ac:dyDescent="0.25">
      <c r="A530">
        <f t="shared" si="420"/>
        <v>1580000</v>
      </c>
      <c r="B530">
        <f t="shared" si="456"/>
        <v>1580</v>
      </c>
      <c r="C530">
        <f t="shared" si="425"/>
        <v>13.14231154670825</v>
      </c>
      <c r="D530">
        <f t="shared" si="426"/>
        <v>1.494632596378672</v>
      </c>
      <c r="F530">
        <f t="shared" si="427"/>
        <v>1.0267033457690232E-5</v>
      </c>
      <c r="G530">
        <f t="shared" si="428"/>
        <v>1.0899820349460963E-3</v>
      </c>
      <c r="H530">
        <f t="shared" si="429"/>
        <v>-3.1405026679650541</v>
      </c>
      <c r="J530">
        <f t="shared" si="430"/>
        <v>15</v>
      </c>
      <c r="M530">
        <f t="shared" si="431"/>
        <v>9.4563542512853698E-4</v>
      </c>
      <c r="N530">
        <f t="shared" si="432"/>
        <v>-1.5707963250000001</v>
      </c>
      <c r="O530">
        <f t="shared" si="433"/>
        <v>404.06760618593324</v>
      </c>
      <c r="P530">
        <f t="shared" si="434"/>
        <v>1.5683214908875047</v>
      </c>
      <c r="Q530">
        <f t="shared" si="435"/>
        <v>341.99159365889176</v>
      </c>
      <c r="R530">
        <f t="shared" si="436"/>
        <v>1.5678722741469453</v>
      </c>
      <c r="S530">
        <f t="shared" si="437"/>
        <v>7.731291498993656E-2</v>
      </c>
      <c r="T530">
        <f t="shared" si="438"/>
        <v>-1.4934061836527379</v>
      </c>
      <c r="U530">
        <f t="shared" si="439"/>
        <v>9.8918577659658433E-2</v>
      </c>
      <c r="V530">
        <f t="shared" si="440"/>
        <v>-1.4717157168381487</v>
      </c>
      <c r="X530">
        <f t="shared" si="457"/>
        <v>-53.881377905452148</v>
      </c>
      <c r="Y530">
        <f t="shared" si="441"/>
        <v>-174.49971299356949</v>
      </c>
      <c r="Z530">
        <f t="shared" si="458"/>
        <v>5.5002870064305114</v>
      </c>
      <c r="AC530">
        <v>1</v>
      </c>
      <c r="AD530">
        <f t="shared" si="442"/>
        <v>404.06636876734797</v>
      </c>
      <c r="AE530">
        <f t="shared" si="443"/>
        <v>-0.48136100546065691</v>
      </c>
      <c r="AF530">
        <f t="shared" si="444"/>
        <v>4.7850225970679998E-2</v>
      </c>
      <c r="AG530">
        <f t="shared" si="421"/>
        <v>80.570351352290118</v>
      </c>
      <c r="AH530">
        <f t="shared" si="422"/>
        <v>-831.41562093424341</v>
      </c>
      <c r="AJ530">
        <f t="shared" si="445"/>
        <v>22100</v>
      </c>
      <c r="AK530">
        <f t="shared" si="446"/>
        <v>284995.74733271461</v>
      </c>
      <c r="AL530">
        <v>1</v>
      </c>
      <c r="AM530">
        <f t="shared" si="447"/>
        <v>341.99013163152603</v>
      </c>
      <c r="AN530">
        <f t="shared" si="423"/>
        <v>833.52677586737718</v>
      </c>
      <c r="AO530">
        <f t="shared" si="424"/>
        <v>-62.18446457117652</v>
      </c>
      <c r="AQ530">
        <f t="shared" si="448"/>
        <v>1.0014419763016767E-3</v>
      </c>
      <c r="AR530">
        <f t="shared" si="449"/>
        <v>-3.1645566451132985</v>
      </c>
      <c r="AT530">
        <f t="shared" si="418"/>
        <v>-2630.9811415465697</v>
      </c>
      <c r="AU530">
        <f t="shared" si="419"/>
        <v>-255.8020552735594</v>
      </c>
      <c r="AV530">
        <f t="shared" si="459"/>
        <v>-3.0446704238547984</v>
      </c>
      <c r="AW530">
        <f t="shared" si="460"/>
        <v>721.90479007220767</v>
      </c>
      <c r="AX530">
        <f t="shared" si="461"/>
        <v>-3701.1717339081324</v>
      </c>
      <c r="AY530">
        <f t="shared" si="469"/>
        <v>-1.3781671605874641</v>
      </c>
      <c r="BA530">
        <f t="shared" si="450"/>
        <v>0.70099314384101563</v>
      </c>
      <c r="BB530">
        <f t="shared" si="462"/>
        <v>-3.085724593778818</v>
      </c>
      <c r="BC530">
        <f t="shared" si="463"/>
        <v>-1.6665032632673342</v>
      </c>
      <c r="BD530">
        <f t="shared" si="451"/>
        <v>-275.48360363910331</v>
      </c>
      <c r="BF530">
        <f t="shared" si="452"/>
        <v>-56.961564703066529</v>
      </c>
      <c r="BG530">
        <f t="shared" si="453"/>
        <v>-189.78501247565271</v>
      </c>
      <c r="BH530">
        <f t="shared" si="464"/>
        <v>-9.7850124756527066</v>
      </c>
      <c r="BI530">
        <f t="shared" si="465"/>
        <v>-9.7850124756527066</v>
      </c>
      <c r="BJ530">
        <f t="shared" si="454"/>
        <v>0</v>
      </c>
      <c r="BK530">
        <f t="shared" si="466"/>
        <v>0</v>
      </c>
      <c r="BM530">
        <f t="shared" si="467"/>
        <v>-53.875840109287708</v>
      </c>
      <c r="BN530">
        <f t="shared" si="455"/>
        <v>-94.301408836549442</v>
      </c>
      <c r="BQ530" s="56">
        <f t="shared" si="468"/>
        <v>13.816236206506318</v>
      </c>
    </row>
    <row r="531" spans="1:69" x14ac:dyDescent="0.25">
      <c r="A531">
        <f t="shared" si="420"/>
        <v>1585000</v>
      </c>
      <c r="B531">
        <f t="shared" si="456"/>
        <v>1585</v>
      </c>
      <c r="C531">
        <f t="shared" si="425"/>
        <v>13.183660726311894</v>
      </c>
      <c r="D531">
        <f t="shared" si="426"/>
        <v>1.4948719367889514</v>
      </c>
      <c r="F531">
        <f t="shared" si="427"/>
        <v>1.0202358766551111E-5</v>
      </c>
      <c r="G531">
        <f t="shared" si="428"/>
        <v>1.086543537839728E-3</v>
      </c>
      <c r="H531">
        <f t="shared" si="429"/>
        <v>-3.1405061064621607</v>
      </c>
      <c r="J531">
        <f t="shared" si="430"/>
        <v>15</v>
      </c>
      <c r="M531">
        <f t="shared" si="431"/>
        <v>9.4265234807765826E-4</v>
      </c>
      <c r="N531">
        <f t="shared" si="432"/>
        <v>-1.5707963250000001</v>
      </c>
      <c r="O531">
        <f t="shared" si="433"/>
        <v>405.34629332281946</v>
      </c>
      <c r="P531">
        <f t="shared" si="434"/>
        <v>1.5683292979091132</v>
      </c>
      <c r="Q531">
        <f t="shared" si="435"/>
        <v>343.07383629883611</v>
      </c>
      <c r="R531">
        <f t="shared" si="436"/>
        <v>1.567881498235461</v>
      </c>
      <c r="S531">
        <f t="shared" si="437"/>
        <v>7.7070476614767791E-2</v>
      </c>
      <c r="T531">
        <f t="shared" si="438"/>
        <v>-1.4936493475640382</v>
      </c>
      <c r="U531">
        <f t="shared" si="439"/>
        <v>9.8609570715170916E-2</v>
      </c>
      <c r="V531">
        <f t="shared" si="440"/>
        <v>-1.4720262419795054</v>
      </c>
      <c r="X531">
        <f t="shared" si="457"/>
        <v>-53.935993197598613</v>
      </c>
      <c r="Y531">
        <f t="shared" si="441"/>
        <v>-174.5169450447346</v>
      </c>
      <c r="Z531">
        <f t="shared" si="458"/>
        <v>5.483054955265402</v>
      </c>
      <c r="AC531">
        <v>1</v>
      </c>
      <c r="AD531">
        <f t="shared" si="442"/>
        <v>405.345059807751</v>
      </c>
      <c r="AE531">
        <f t="shared" si="443"/>
        <v>-0.48441241465446194</v>
      </c>
      <c r="AF531">
        <f t="shared" si="444"/>
        <v>4.8001650736409995E-2</v>
      </c>
      <c r="AG531">
        <f t="shared" si="421"/>
        <v>80.06775797243985</v>
      </c>
      <c r="AH531">
        <f t="shared" si="422"/>
        <v>-828.84266197163254</v>
      </c>
      <c r="AJ531">
        <f t="shared" si="445"/>
        <v>22100</v>
      </c>
      <c r="AK531">
        <f t="shared" si="446"/>
        <v>285897.63260908396</v>
      </c>
      <c r="AL531">
        <v>1</v>
      </c>
      <c r="AM531">
        <f t="shared" si="447"/>
        <v>343.07237888352455</v>
      </c>
      <c r="AN531">
        <f t="shared" si="423"/>
        <v>833.52563048678314</v>
      </c>
      <c r="AO531">
        <f t="shared" si="424"/>
        <v>-61.988302406394929</v>
      </c>
      <c r="AQ531">
        <f t="shared" si="448"/>
        <v>9.9513369670971991E-4</v>
      </c>
      <c r="AR531">
        <f t="shared" si="449"/>
        <v>-3.1545738185698116</v>
      </c>
      <c r="AT531">
        <f t="shared" si="418"/>
        <v>-2614.5656830454423</v>
      </c>
      <c r="AU531">
        <f t="shared" si="419"/>
        <v>-253.4044622736416</v>
      </c>
      <c r="AV531">
        <f t="shared" si="459"/>
        <v>-3.0449741402574002</v>
      </c>
      <c r="AW531">
        <f t="shared" si="460"/>
        <v>722.61192353916033</v>
      </c>
      <c r="AX531">
        <f t="shared" si="461"/>
        <v>-3689.5442055506701</v>
      </c>
      <c r="AY531">
        <f t="shared" si="469"/>
        <v>-1.377390482837056</v>
      </c>
      <c r="BA531">
        <f t="shared" si="450"/>
        <v>0.69868815289187092</v>
      </c>
      <c r="BB531">
        <f t="shared" si="462"/>
        <v>-3.1143324134964412</v>
      </c>
      <c r="BC531">
        <f t="shared" si="463"/>
        <v>-1.6675836574203442</v>
      </c>
      <c r="BD531">
        <f t="shared" si="451"/>
        <v>-275.54550566435211</v>
      </c>
      <c r="BF531">
        <f t="shared" si="452"/>
        <v>-57.017775039565009</v>
      </c>
      <c r="BG531">
        <f t="shared" si="453"/>
        <v>-189.83339831688221</v>
      </c>
      <c r="BH531">
        <f t="shared" si="464"/>
        <v>-9.8333983168822101</v>
      </c>
      <c r="BI531">
        <f t="shared" si="465"/>
        <v>-9.8333983168822101</v>
      </c>
      <c r="BJ531">
        <f t="shared" si="454"/>
        <v>0</v>
      </c>
      <c r="BK531">
        <f t="shared" si="466"/>
        <v>0</v>
      </c>
      <c r="BM531">
        <f t="shared" si="467"/>
        <v>-53.903442626068568</v>
      </c>
      <c r="BN531">
        <f t="shared" si="455"/>
        <v>-94.287892652530132</v>
      </c>
      <c r="BQ531" s="56">
        <f t="shared" si="468"/>
        <v>13.787628386788695</v>
      </c>
    </row>
    <row r="532" spans="1:69" x14ac:dyDescent="0.25">
      <c r="A532">
        <f t="shared" si="420"/>
        <v>1590000</v>
      </c>
      <c r="B532">
        <f t="shared" si="456"/>
        <v>1590</v>
      </c>
      <c r="C532">
        <f t="shared" si="425"/>
        <v>13.225010656403654</v>
      </c>
      <c r="D532">
        <f t="shared" si="426"/>
        <v>1.4951097805471876</v>
      </c>
      <c r="F532">
        <f t="shared" si="427"/>
        <v>1.0138293261984085E-5</v>
      </c>
      <c r="G532">
        <f t="shared" si="428"/>
        <v>1.0831266671395749E-3</v>
      </c>
      <c r="H532">
        <f t="shared" si="429"/>
        <v>-3.1405095233328608</v>
      </c>
      <c r="J532">
        <f t="shared" si="430"/>
        <v>15</v>
      </c>
      <c r="M532">
        <f t="shared" si="431"/>
        <v>9.3968803251766558E-4</v>
      </c>
      <c r="N532">
        <f t="shared" si="432"/>
        <v>-1.5707963250000001</v>
      </c>
      <c r="O532">
        <f t="shared" si="433"/>
        <v>406.62498048425607</v>
      </c>
      <c r="P532">
        <f t="shared" si="434"/>
        <v>1.5683370558302547</v>
      </c>
      <c r="Q532">
        <f t="shared" si="435"/>
        <v>344.15607896778704</v>
      </c>
      <c r="R532">
        <f t="shared" si="436"/>
        <v>1.5678906643113328</v>
      </c>
      <c r="S532">
        <f t="shared" si="437"/>
        <v>7.6829549466133351E-2</v>
      </c>
      <c r="T532">
        <f t="shared" si="438"/>
        <v>-1.4938909911982456</v>
      </c>
      <c r="U532">
        <f t="shared" si="439"/>
        <v>9.8302478951675598E-2</v>
      </c>
      <c r="V532">
        <f t="shared" si="440"/>
        <v>-1.4723348330640955</v>
      </c>
      <c r="X532">
        <f t="shared" si="457"/>
        <v>-53.990438160776471</v>
      </c>
      <c r="Y532">
        <f t="shared" si="441"/>
        <v>-174.53406982702126</v>
      </c>
      <c r="Z532">
        <f t="shared" si="458"/>
        <v>5.4659301729787444</v>
      </c>
      <c r="AC532">
        <v>1</v>
      </c>
      <c r="AD532">
        <f t="shared" si="442"/>
        <v>406.62375084815397</v>
      </c>
      <c r="AE532">
        <f t="shared" si="443"/>
        <v>-0.48747346495156491</v>
      </c>
      <c r="AF532">
        <f t="shared" si="444"/>
        <v>4.815307550214E-2</v>
      </c>
      <c r="AG532">
        <f t="shared" si="421"/>
        <v>79.569837489046137</v>
      </c>
      <c r="AH532">
        <f t="shared" si="422"/>
        <v>-826.28542354786862</v>
      </c>
      <c r="AJ532">
        <f t="shared" si="445"/>
        <v>22100</v>
      </c>
      <c r="AK532">
        <f t="shared" si="446"/>
        <v>286799.5178854533</v>
      </c>
      <c r="AL532">
        <v>1</v>
      </c>
      <c r="AM532">
        <f t="shared" si="447"/>
        <v>344.15462613552302</v>
      </c>
      <c r="AN532">
        <f t="shared" si="423"/>
        <v>833.52449589454625</v>
      </c>
      <c r="AO532">
        <f t="shared" si="424"/>
        <v>-61.793373934572735</v>
      </c>
      <c r="AQ532">
        <f t="shared" si="448"/>
        <v>9.8888483555982401E-4</v>
      </c>
      <c r="AR532">
        <f t="shared" si="449"/>
        <v>-3.1446537770802405</v>
      </c>
      <c r="AT532">
        <f t="shared" si="418"/>
        <v>-2598.3028927004902</v>
      </c>
      <c r="AU532">
        <f t="shared" si="419"/>
        <v>-251.03669112678048</v>
      </c>
      <c r="AV532">
        <f t="shared" si="459"/>
        <v>-3.0452759654251946</v>
      </c>
      <c r="AW532">
        <f t="shared" si="460"/>
        <v>723.31233268052665</v>
      </c>
      <c r="AX532">
        <f t="shared" si="461"/>
        <v>-3677.989361051471</v>
      </c>
      <c r="AY532">
        <f t="shared" si="469"/>
        <v>-1.3766146346433989</v>
      </c>
      <c r="BA532">
        <f t="shared" si="450"/>
        <v>0.69639723235762974</v>
      </c>
      <c r="BB532">
        <f t="shared" si="462"/>
        <v>-3.1428592707436898</v>
      </c>
      <c r="BC532">
        <f t="shared" si="463"/>
        <v>-1.6686613307817957</v>
      </c>
      <c r="BD532">
        <f t="shared" si="451"/>
        <v>-275.60725179972752</v>
      </c>
      <c r="BF532">
        <f t="shared" si="452"/>
        <v>-57.073816485703468</v>
      </c>
      <c r="BG532">
        <f t="shared" si="453"/>
        <v>-189.88171278098207</v>
      </c>
      <c r="BH532">
        <f t="shared" si="464"/>
        <v>-9.8817127809820704</v>
      </c>
      <c r="BI532">
        <f t="shared" si="465"/>
        <v>-9.8817127809820704</v>
      </c>
      <c r="BJ532">
        <f t="shared" si="454"/>
        <v>0</v>
      </c>
      <c r="BK532">
        <f t="shared" si="466"/>
        <v>0</v>
      </c>
      <c r="BM532">
        <f t="shared" si="467"/>
        <v>-53.930957214959776</v>
      </c>
      <c r="BN532">
        <f t="shared" si="455"/>
        <v>-94.274460981254563</v>
      </c>
      <c r="BQ532" s="56">
        <f t="shared" si="468"/>
        <v>13.759101529541446</v>
      </c>
    </row>
    <row r="533" spans="1:69" x14ac:dyDescent="0.25">
      <c r="A533">
        <f t="shared" si="420"/>
        <v>1595000</v>
      </c>
      <c r="B533">
        <f t="shared" si="456"/>
        <v>1595</v>
      </c>
      <c r="C533">
        <f t="shared" si="425"/>
        <v>13.266361329965935</v>
      </c>
      <c r="D533">
        <f t="shared" si="426"/>
        <v>1.4953461416213436</v>
      </c>
      <c r="F533">
        <f t="shared" si="427"/>
        <v>1.0074829317149744E-5</v>
      </c>
      <c r="G533">
        <f t="shared" si="428"/>
        <v>1.0797312194545403E-3</v>
      </c>
      <c r="H533">
        <f t="shared" si="429"/>
        <v>-3.1405129187805456</v>
      </c>
      <c r="J533">
        <f t="shared" si="430"/>
        <v>15</v>
      </c>
      <c r="M533">
        <f t="shared" si="431"/>
        <v>9.3674230200820573E-4</v>
      </c>
      <c r="N533">
        <f t="shared" si="432"/>
        <v>-1.5707963250000001</v>
      </c>
      <c r="O533">
        <f t="shared" si="433"/>
        <v>407.903667670012</v>
      </c>
      <c r="P533">
        <f t="shared" si="434"/>
        <v>1.5683447651126856</v>
      </c>
      <c r="Q533">
        <f t="shared" si="435"/>
        <v>345.23832166547152</v>
      </c>
      <c r="R533">
        <f t="shared" si="436"/>
        <v>1.5678997729201278</v>
      </c>
      <c r="S533">
        <f t="shared" si="437"/>
        <v>7.6590119499649945E-2</v>
      </c>
      <c r="T533">
        <f t="shared" si="438"/>
        <v>-1.4941311287402845</v>
      </c>
      <c r="U533">
        <f t="shared" si="439"/>
        <v>9.7997284706497739E-2</v>
      </c>
      <c r="V533">
        <f t="shared" si="440"/>
        <v>-1.4726415080465458</v>
      </c>
      <c r="X533">
        <f t="shared" si="457"/>
        <v>-54.044713848938471</v>
      </c>
      <c r="Y533">
        <f t="shared" si="441"/>
        <v>-174.55108833552285</v>
      </c>
      <c r="Z533">
        <f t="shared" si="458"/>
        <v>5.4489116644771514</v>
      </c>
      <c r="AC533">
        <v>1</v>
      </c>
      <c r="AD533">
        <f t="shared" si="442"/>
        <v>407.90244188855706</v>
      </c>
      <c r="AE533">
        <f t="shared" si="443"/>
        <v>-0.49054415635196591</v>
      </c>
      <c r="AF533">
        <f t="shared" si="444"/>
        <v>4.8304500267869997E-2</v>
      </c>
      <c r="AG533">
        <f t="shared" si="421"/>
        <v>79.076532340305974</v>
      </c>
      <c r="AH533">
        <f t="shared" si="422"/>
        <v>-823.74376348907685</v>
      </c>
      <c r="AJ533">
        <f t="shared" si="445"/>
        <v>22100</v>
      </c>
      <c r="AK533">
        <f t="shared" si="446"/>
        <v>287701.40316182264</v>
      </c>
      <c r="AL533">
        <v>1</v>
      </c>
      <c r="AM533">
        <f t="shared" si="447"/>
        <v>345.23687338752154</v>
      </c>
      <c r="AN533">
        <f t="shared" si="423"/>
        <v>833.52337195560324</v>
      </c>
      <c r="AO533">
        <f t="shared" si="424"/>
        <v>-61.599667553973006</v>
      </c>
      <c r="AQ533">
        <f t="shared" si="448"/>
        <v>9.8269464896230891E-4</v>
      </c>
      <c r="AR533">
        <f t="shared" si="449"/>
        <v>-3.1347959301897652</v>
      </c>
      <c r="AT533">
        <f t="shared" si="418"/>
        <v>-2582.1908892195693</v>
      </c>
      <c r="AU533">
        <f t="shared" si="419"/>
        <v>-248.69828034240729</v>
      </c>
      <c r="AV533">
        <f t="shared" si="459"/>
        <v>-3.0455759169100975</v>
      </c>
      <c r="AW533">
        <f t="shared" si="460"/>
        <v>724.00610266304454</v>
      </c>
      <c r="AX533">
        <f t="shared" si="461"/>
        <v>-3666.50652232326</v>
      </c>
      <c r="AY533">
        <f t="shared" si="469"/>
        <v>-1.3758396105125204</v>
      </c>
      <c r="BA533">
        <f t="shared" si="450"/>
        <v>0.69412025204421501</v>
      </c>
      <c r="BB533">
        <f t="shared" si="462"/>
        <v>-3.1713056838375691</v>
      </c>
      <c r="BC533">
        <f t="shared" si="463"/>
        <v>-1.6697363063975772</v>
      </c>
      <c r="BD533">
        <f t="shared" si="451"/>
        <v>-275.66884336566164</v>
      </c>
      <c r="BF533">
        <f t="shared" si="452"/>
        <v>-57.129690121154802</v>
      </c>
      <c r="BG533">
        <f t="shared" si="453"/>
        <v>-189.92995639973253</v>
      </c>
      <c r="BH533">
        <f t="shared" si="464"/>
        <v>-9.9299563997325322</v>
      </c>
      <c r="BI533">
        <f t="shared" si="465"/>
        <v>-9.9299563997325322</v>
      </c>
      <c r="BJ533">
        <f t="shared" si="454"/>
        <v>0</v>
      </c>
      <c r="BK533">
        <f t="shared" si="466"/>
        <v>0</v>
      </c>
      <c r="BM533">
        <f t="shared" si="467"/>
        <v>-53.958384437317235</v>
      </c>
      <c r="BN533">
        <f t="shared" si="455"/>
        <v>-94.261113034070902</v>
      </c>
      <c r="BQ533" s="56">
        <f t="shared" si="468"/>
        <v>13.730655116447569</v>
      </c>
    </row>
    <row r="534" spans="1:69" x14ac:dyDescent="0.25">
      <c r="A534">
        <f t="shared" si="420"/>
        <v>1600000</v>
      </c>
      <c r="B534">
        <f t="shared" si="456"/>
        <v>1600</v>
      </c>
      <c r="C534">
        <f t="shared" si="425"/>
        <v>13.307712740068245</v>
      </c>
      <c r="D534">
        <f t="shared" si="426"/>
        <v>1.495581033806437</v>
      </c>
      <c r="F534">
        <f t="shared" si="427"/>
        <v>1.001195942419382E-5</v>
      </c>
      <c r="G534">
        <f t="shared" si="428"/>
        <v>1.0763569939360412E-3</v>
      </c>
      <c r="H534">
        <f t="shared" si="429"/>
        <v>-3.1405162930060642</v>
      </c>
      <c r="J534">
        <f t="shared" si="430"/>
        <v>15</v>
      </c>
      <c r="M534">
        <f t="shared" si="431"/>
        <v>9.3381498231443025E-4</v>
      </c>
      <c r="N534">
        <f t="shared" si="432"/>
        <v>-1.5707963250000001</v>
      </c>
      <c r="O534">
        <f t="shared" si="433"/>
        <v>409.18235487985942</v>
      </c>
      <c r="P534">
        <f t="shared" si="434"/>
        <v>1.5683524262123898</v>
      </c>
      <c r="Q534">
        <f t="shared" si="435"/>
        <v>346.32056439162034</v>
      </c>
      <c r="R534">
        <f t="shared" si="436"/>
        <v>1.5679088246005943</v>
      </c>
      <c r="S534">
        <f t="shared" si="437"/>
        <v>7.6352172843902721E-2</v>
      </c>
      <c r="T534">
        <f t="shared" si="438"/>
        <v>-1.4943697741995028</v>
      </c>
      <c r="U534">
        <f t="shared" si="439"/>
        <v>9.7693970532405167E-2</v>
      </c>
      <c r="V534">
        <f t="shared" si="440"/>
        <v>-1.472946284660648</v>
      </c>
      <c r="X534">
        <f t="shared" si="457"/>
        <v>-54.098821306332539</v>
      </c>
      <c r="Y534">
        <f t="shared" si="441"/>
        <v>-174.56800155310489</v>
      </c>
      <c r="Z534">
        <f t="shared" si="458"/>
        <v>5.4319984468951077</v>
      </c>
      <c r="AC534">
        <v>1</v>
      </c>
      <c r="AD534">
        <f t="shared" si="442"/>
        <v>409.18113292895998</v>
      </c>
      <c r="AE534">
        <f t="shared" si="443"/>
        <v>-0.49362448885566484</v>
      </c>
      <c r="AF534">
        <f t="shared" si="444"/>
        <v>4.8455925033600002E-2</v>
      </c>
      <c r="AG534">
        <f t="shared" si="421"/>
        <v>78.587785845121445</v>
      </c>
      <c r="AH534">
        <f t="shared" si="422"/>
        <v>-821.21754131210196</v>
      </c>
      <c r="AJ534">
        <f t="shared" si="445"/>
        <v>22100</v>
      </c>
      <c r="AK534">
        <f t="shared" si="446"/>
        <v>288603.28843819199</v>
      </c>
      <c r="AL534">
        <v>1</v>
      </c>
      <c r="AM534">
        <f t="shared" si="447"/>
        <v>346.31912063952001</v>
      </c>
      <c r="AN534">
        <f t="shared" si="423"/>
        <v>833.52225853699815</v>
      </c>
      <c r="AO534">
        <f t="shared" si="424"/>
        <v>-61.407171807874448</v>
      </c>
      <c r="AQ534">
        <f t="shared" si="448"/>
        <v>9.7656240463257771E-4</v>
      </c>
      <c r="AR534">
        <f t="shared" si="449"/>
        <v>-3.1249996948242487</v>
      </c>
      <c r="AT534">
        <f t="shared" ref="AT534:AT597" si="470">-AR534*AH534+AG534*AQ534</f>
        <v>-2566.2278201075187</v>
      </c>
      <c r="AU534">
        <f t="shared" ref="AU534:AU597" si="471">AQ534*AH534+AG534*AR534</f>
        <v>-246.38877695978815</v>
      </c>
      <c r="AV534">
        <f t="shared" si="459"/>
        <v>-3.0458740120482237</v>
      </c>
      <c r="AW534">
        <f t="shared" si="460"/>
        <v>724.69331730676163</v>
      </c>
      <c r="AX534">
        <f t="shared" si="461"/>
        <v>-3655.0950196717172</v>
      </c>
      <c r="AY534">
        <f t="shared" si="469"/>
        <v>-1.3750654050277755</v>
      </c>
      <c r="BA534">
        <f t="shared" si="450"/>
        <v>0.69185708335940299</v>
      </c>
      <c r="BB534">
        <f t="shared" si="462"/>
        <v>-3.1996721663161027</v>
      </c>
      <c r="BC534">
        <f t="shared" si="463"/>
        <v>-1.6708086070204482</v>
      </c>
      <c r="BD534">
        <f t="shared" si="451"/>
        <v>-275.73028166579161</v>
      </c>
      <c r="BF534">
        <f t="shared" si="452"/>
        <v>-57.185397015428237</v>
      </c>
      <c r="BG534">
        <f t="shared" si="453"/>
        <v>-189.97812969788222</v>
      </c>
      <c r="BH534">
        <f t="shared" si="464"/>
        <v>-9.978129697882224</v>
      </c>
      <c r="BI534">
        <f t="shared" si="465"/>
        <v>-9.978129697882224</v>
      </c>
      <c r="BJ534">
        <f t="shared" si="454"/>
        <v>0</v>
      </c>
      <c r="BK534">
        <f t="shared" si="466"/>
        <v>0</v>
      </c>
      <c r="BM534">
        <f t="shared" si="467"/>
        <v>-53.985724849112131</v>
      </c>
      <c r="BN534">
        <f t="shared" si="455"/>
        <v>-94.247848032090616</v>
      </c>
      <c r="BQ534" s="56">
        <f t="shared" si="468"/>
        <v>13.702288633969035</v>
      </c>
    </row>
    <row r="535" spans="1:69" x14ac:dyDescent="0.25">
      <c r="A535">
        <f t="shared" si="420"/>
        <v>1605000</v>
      </c>
      <c r="B535">
        <f t="shared" si="456"/>
        <v>1605</v>
      </c>
      <c r="C535">
        <f t="shared" si="425"/>
        <v>13.349064879865844</v>
      </c>
      <c r="D535">
        <f t="shared" si="426"/>
        <v>1.4958144707272043</v>
      </c>
      <c r="F535">
        <f t="shared" si="427"/>
        <v>9.9496761920265806E-6</v>
      </c>
      <c r="G535">
        <f t="shared" si="428"/>
        <v>1.0730037922384006E-3</v>
      </c>
      <c r="H535">
        <f t="shared" si="429"/>
        <v>-3.1405196462077618</v>
      </c>
      <c r="J535">
        <f t="shared" si="430"/>
        <v>15</v>
      </c>
      <c r="M535">
        <f t="shared" si="431"/>
        <v>9.309059013726408E-4</v>
      </c>
      <c r="N535">
        <f t="shared" si="432"/>
        <v>-1.5707963250000001</v>
      </c>
      <c r="O535">
        <f t="shared" si="433"/>
        <v>410.46104211357311</v>
      </c>
      <c r="P535">
        <f t="shared" si="434"/>
        <v>1.56836003957967</v>
      </c>
      <c r="Q535">
        <f t="shared" si="435"/>
        <v>347.40280714596742</v>
      </c>
      <c r="R535">
        <f t="shared" si="436"/>
        <v>1.5679178198847663</v>
      </c>
      <c r="S535">
        <f t="shared" si="437"/>
        <v>7.6115695797798769E-2</v>
      </c>
      <c r="T535">
        <f t="shared" si="438"/>
        <v>-1.4946069414123748</v>
      </c>
      <c r="U535">
        <f t="shared" si="439"/>
        <v>9.7392519194350352E-2</v>
      </c>
      <c r="V535">
        <f t="shared" si="440"/>
        <v>-1.4732491804227312</v>
      </c>
      <c r="X535">
        <f t="shared" si="457"/>
        <v>-54.152761567620004</v>
      </c>
      <c r="Y535">
        <f t="shared" si="441"/>
        <v>-174.58481045059133</v>
      </c>
      <c r="Z535">
        <f t="shared" si="458"/>
        <v>5.4151895494086659</v>
      </c>
      <c r="AC535">
        <v>1</v>
      </c>
      <c r="AD535">
        <f t="shared" si="442"/>
        <v>410.45982396936296</v>
      </c>
      <c r="AE535">
        <f t="shared" si="443"/>
        <v>-0.49671446246266171</v>
      </c>
      <c r="AF535">
        <f t="shared" si="444"/>
        <v>4.8607349799329999E-2</v>
      </c>
      <c r="AG535">
        <f t="shared" si="421"/>
        <v>78.103542187032431</v>
      </c>
      <c r="AH535">
        <f t="shared" si="422"/>
        <v>-818.70661819974737</v>
      </c>
      <c r="AJ535">
        <f t="shared" si="445"/>
        <v>22100</v>
      </c>
      <c r="AK535">
        <f t="shared" si="446"/>
        <v>289505.17371456139</v>
      </c>
      <c r="AL535">
        <v>1</v>
      </c>
      <c r="AM535">
        <f t="shared" si="447"/>
        <v>347.40136789151853</v>
      </c>
      <c r="AN535">
        <f t="shared" si="423"/>
        <v>833.52115550784276</v>
      </c>
      <c r="AO535">
        <f t="shared" si="424"/>
        <v>-61.215875382312674</v>
      </c>
      <c r="AQ535">
        <f t="shared" si="448"/>
        <v>9.7048738167453911E-4</v>
      </c>
      <c r="AR535">
        <f t="shared" si="449"/>
        <v>-3.1152644951752704</v>
      </c>
      <c r="AT535">
        <f t="shared" si="470"/>
        <v>-2550.4118611405324</v>
      </c>
      <c r="AU535">
        <f t="shared" si="471"/>
        <v>-244.10773636494233</v>
      </c>
      <c r="AV535">
        <f t="shared" si="459"/>
        <v>-3.0461702679631815</v>
      </c>
      <c r="AW535">
        <f t="shared" si="460"/>
        <v>725.37405911055396</v>
      </c>
      <c r="AX535">
        <f t="shared" si="461"/>
        <v>-3643.754191666254</v>
      </c>
      <c r="AY535">
        <f t="shared" si="469"/>
        <v>-1.3742920128485674</v>
      </c>
      <c r="BA535">
        <f t="shared" si="450"/>
        <v>0.6896075992883598</v>
      </c>
      <c r="BB535">
        <f t="shared" si="462"/>
        <v>-3.227959226995857</v>
      </c>
      <c r="BC535">
        <f t="shared" si="463"/>
        <v>-1.6718782551146141</v>
      </c>
      <c r="BD535">
        <f t="shared" si="451"/>
        <v>-275.79156798722158</v>
      </c>
      <c r="BF535">
        <f t="shared" si="452"/>
        <v>-57.240938227995734</v>
      </c>
      <c r="BG535">
        <f t="shared" si="453"/>
        <v>-190.02623319325974</v>
      </c>
      <c r="BH535">
        <f t="shared" si="464"/>
        <v>-10.026233193259742</v>
      </c>
      <c r="BI535">
        <f t="shared" si="465"/>
        <v>-10.026233193259742</v>
      </c>
      <c r="BJ535">
        <f t="shared" si="454"/>
        <v>0</v>
      </c>
      <c r="BK535">
        <f t="shared" si="466"/>
        <v>0</v>
      </c>
      <c r="BM535">
        <f t="shared" si="467"/>
        <v>-54.01297900099987</v>
      </c>
      <c r="BN535">
        <f t="shared" si="455"/>
        <v>-94.234665206038201</v>
      </c>
      <c r="BQ535" s="56">
        <f t="shared" si="468"/>
        <v>13.674001573289281</v>
      </c>
    </row>
    <row r="536" spans="1:69" x14ac:dyDescent="0.25">
      <c r="A536">
        <f t="shared" si="420"/>
        <v>1610000</v>
      </c>
      <c r="B536">
        <f t="shared" si="456"/>
        <v>1610</v>
      </c>
      <c r="C536">
        <f t="shared" si="425"/>
        <v>13.390417742598419</v>
      </c>
      <c r="D536">
        <f t="shared" si="426"/>
        <v>1.4960464658407153</v>
      </c>
      <c r="F536">
        <f t="shared" si="427"/>
        <v>9.8879723441504395E-6</v>
      </c>
      <c r="G536">
        <f t="shared" si="428"/>
        <v>1.0696714184799828E-3</v>
      </c>
      <c r="H536">
        <f t="shared" si="429"/>
        <v>-3.1405229785815201</v>
      </c>
      <c r="J536">
        <f t="shared" si="430"/>
        <v>15</v>
      </c>
      <c r="M536">
        <f t="shared" si="431"/>
        <v>9.2801488925657659E-4</v>
      </c>
      <c r="N536">
        <f t="shared" si="432"/>
        <v>-1.5707963250000001</v>
      </c>
      <c r="O536">
        <f t="shared" si="433"/>
        <v>411.73972937093066</v>
      </c>
      <c r="P536">
        <f t="shared" si="434"/>
        <v>1.5683676056592344</v>
      </c>
      <c r="Q536">
        <f t="shared" si="435"/>
        <v>348.48504992825002</v>
      </c>
      <c r="R536">
        <f t="shared" si="436"/>
        <v>1.5679267592980697</v>
      </c>
      <c r="S536">
        <f t="shared" si="437"/>
        <v>7.5880674827968661E-2</v>
      </c>
      <c r="T536">
        <f t="shared" si="438"/>
        <v>-1.4948426440451539</v>
      </c>
      <c r="U536">
        <f t="shared" si="439"/>
        <v>9.709291366627093E-2</v>
      </c>
      <c r="V536">
        <f t="shared" si="440"/>
        <v>-1.4735502126349758</v>
      </c>
      <c r="X536">
        <f t="shared" si="457"/>
        <v>-54.206535657991999</v>
      </c>
      <c r="Y536">
        <f t="shared" si="441"/>
        <v>-174.60151598694804</v>
      </c>
      <c r="Z536">
        <f t="shared" si="458"/>
        <v>5.3984840130519558</v>
      </c>
      <c r="AC536">
        <v>1</v>
      </c>
      <c r="AD536">
        <f t="shared" si="442"/>
        <v>411.73851500976605</v>
      </c>
      <c r="AE536">
        <f t="shared" si="443"/>
        <v>-0.49981407717295656</v>
      </c>
      <c r="AF536">
        <f t="shared" si="444"/>
        <v>4.8758774565059997E-2</v>
      </c>
      <c r="AG536">
        <f t="shared" si="421"/>
        <v>77.62374639848943</v>
      </c>
      <c r="AH536">
        <f t="shared" si="422"/>
        <v>-816.21085697643878</v>
      </c>
      <c r="AJ536">
        <f t="shared" si="445"/>
        <v>22100</v>
      </c>
      <c r="AK536">
        <f t="shared" si="446"/>
        <v>290407.05899093073</v>
      </c>
      <c r="AL536">
        <v>1</v>
      </c>
      <c r="AM536">
        <f t="shared" si="447"/>
        <v>348.48361514351706</v>
      </c>
      <c r="AN536">
        <f t="shared" si="423"/>
        <v>833.52006273927748</v>
      </c>
      <c r="AO536">
        <f t="shared" si="424"/>
        <v>-61.025767103863643</v>
      </c>
      <c r="AQ536">
        <f t="shared" si="448"/>
        <v>9.6446887036872903E-4</v>
      </c>
      <c r="AR536">
        <f t="shared" si="449"/>
        <v>-3.1055897625873072</v>
      </c>
      <c r="AT536">
        <f t="shared" si="470"/>
        <v>-2534.7412158516381</v>
      </c>
      <c r="AU536">
        <f t="shared" si="471"/>
        <v>-241.8547221120329</v>
      </c>
      <c r="AV536">
        <f t="shared" si="459"/>
        <v>-3.0464647015693078</v>
      </c>
      <c r="AW536">
        <f t="shared" si="460"/>
        <v>726.04840927707869</v>
      </c>
      <c r="AX536">
        <f t="shared" si="461"/>
        <v>-3632.4833850131658</v>
      </c>
      <c r="AY536">
        <f t="shared" si="469"/>
        <v>-1.3735194287090915</v>
      </c>
      <c r="BA536">
        <f t="shared" si="450"/>
        <v>0.68737167436962132</v>
      </c>
      <c r="BB536">
        <f t="shared" si="462"/>
        <v>-3.2561673700286384</v>
      </c>
      <c r="BC536">
        <f t="shared" si="463"/>
        <v>-1.6729452728602163</v>
      </c>
      <c r="BD536">
        <f t="shared" si="451"/>
        <v>-275.85270360077999</v>
      </c>
      <c r="BF536">
        <f t="shared" si="452"/>
        <v>-57.296314808416547</v>
      </c>
      <c r="BG536">
        <f t="shared" si="453"/>
        <v>-190.07426739688347</v>
      </c>
      <c r="BH536">
        <f t="shared" si="464"/>
        <v>-10.074267396883471</v>
      </c>
      <c r="BI536">
        <f t="shared" si="465"/>
        <v>-10.074267396883471</v>
      </c>
      <c r="BJ536">
        <f t="shared" si="454"/>
        <v>0</v>
      </c>
      <c r="BK536">
        <f t="shared" si="466"/>
        <v>0</v>
      </c>
      <c r="BM536">
        <f t="shared" si="467"/>
        <v>-54.040147438387905</v>
      </c>
      <c r="BN536">
        <f t="shared" si="455"/>
        <v>-94.221563796103496</v>
      </c>
      <c r="BQ536" s="56">
        <f t="shared" si="468"/>
        <v>13.645793430256498</v>
      </c>
    </row>
    <row r="537" spans="1:69" x14ac:dyDescent="0.25">
      <c r="A537">
        <f t="shared" si="420"/>
        <v>1615000</v>
      </c>
      <c r="B537">
        <f t="shared" si="456"/>
        <v>1615</v>
      </c>
      <c r="C537">
        <f t="shared" si="425"/>
        <v>13.431771321588794</v>
      </c>
      <c r="D537">
        <f t="shared" si="426"/>
        <v>1.4962770324389381</v>
      </c>
      <c r="F537">
        <f t="shared" si="427"/>
        <v>9.8268407165345587E-6</v>
      </c>
      <c r="G537">
        <f t="shared" si="428"/>
        <v>1.066359679205046E-3</v>
      </c>
      <c r="H537">
        <f t="shared" si="429"/>
        <v>-3.1405262903207953</v>
      </c>
      <c r="J537">
        <f t="shared" si="430"/>
        <v>15</v>
      </c>
      <c r="M537">
        <f t="shared" si="431"/>
        <v>9.2514177814432717E-4</v>
      </c>
      <c r="N537">
        <f t="shared" si="432"/>
        <v>-1.5707963250000001</v>
      </c>
      <c r="O537">
        <f t="shared" si="433"/>
        <v>413.01841665171264</v>
      </c>
      <c r="P537">
        <f t="shared" si="434"/>
        <v>1.5683751248902842</v>
      </c>
      <c r="Q537">
        <f t="shared" si="435"/>
        <v>349.56729273820872</v>
      </c>
      <c r="R537">
        <f t="shared" si="436"/>
        <v>1.5679356433594229</v>
      </c>
      <c r="S537">
        <f t="shared" si="437"/>
        <v>7.5647096566215696E-2</v>
      </c>
      <c r="T537">
        <f t="shared" si="438"/>
        <v>-1.4950768955964777</v>
      </c>
      <c r="U537">
        <f t="shared" si="439"/>
        <v>9.6795137127947545E-2</v>
      </c>
      <c r="V537">
        <f t="shared" si="440"/>
        <v>-1.473849398388664</v>
      </c>
      <c r="X537">
        <f t="shared" si="457"/>
        <v>-54.260144593284139</v>
      </c>
      <c r="Y537">
        <f t="shared" si="441"/>
        <v>-174.61811910946267</v>
      </c>
      <c r="Z537">
        <f t="shared" si="458"/>
        <v>5.3818808905373317</v>
      </c>
      <c r="AC537">
        <v>1</v>
      </c>
      <c r="AD537">
        <f t="shared" si="442"/>
        <v>413.01720605016897</v>
      </c>
      <c r="AE537">
        <f t="shared" si="443"/>
        <v>-0.50292333298654934</v>
      </c>
      <c r="AF537">
        <f t="shared" si="444"/>
        <v>4.8910199330790001E-2</v>
      </c>
      <c r="AG537">
        <f t="shared" si="421"/>
        <v>77.148344345457758</v>
      </c>
      <c r="AH537">
        <f t="shared" si="422"/>
        <v>-813.73012208430873</v>
      </c>
      <c r="AJ537">
        <f t="shared" si="445"/>
        <v>22100</v>
      </c>
      <c r="AK537">
        <f t="shared" si="446"/>
        <v>291308.94426730007</v>
      </c>
      <c r="AL537">
        <v>1</v>
      </c>
      <c r="AM537">
        <f t="shared" si="447"/>
        <v>349.56586239551558</v>
      </c>
      <c r="AN537">
        <f t="shared" si="423"/>
        <v>833.51898010443551</v>
      </c>
      <c r="AO537">
        <f t="shared" si="424"/>
        <v>-60.836835937468194</v>
      </c>
      <c r="AQ537">
        <f t="shared" si="448"/>
        <v>9.5850617196501723E-4</v>
      </c>
      <c r="AR537">
        <f t="shared" si="449"/>
        <v>-3.0959749354470056</v>
      </c>
      <c r="AT537">
        <f t="shared" si="470"/>
        <v>-2519.21411502704</v>
      </c>
      <c r="AU537">
        <f t="shared" si="471"/>
        <v>-239.62930574910359</v>
      </c>
      <c r="AV537">
        <f t="shared" si="459"/>
        <v>-3.0467573295748447</v>
      </c>
      <c r="AW537">
        <f t="shared" si="460"/>
        <v>726.71644773718162</v>
      </c>
      <c r="AX537">
        <f t="shared" si="461"/>
        <v>-3621.2819544311142</v>
      </c>
      <c r="AY537">
        <f t="shared" si="469"/>
        <v>-1.3727476474171043</v>
      </c>
      <c r="BA537">
        <f t="shared" si="450"/>
        <v>0.68514918467150776</v>
      </c>
      <c r="BB537">
        <f t="shared" si="462"/>
        <v>-3.2842970949573642</v>
      </c>
      <c r="BC537">
        <f t="shared" si="463"/>
        <v>-1.6740096821577404</v>
      </c>
      <c r="BD537">
        <f t="shared" si="451"/>
        <v>-275.91368976127228</v>
      </c>
      <c r="BF537">
        <f t="shared" si="452"/>
        <v>-57.351527796459905</v>
      </c>
      <c r="BG537">
        <f t="shared" si="453"/>
        <v>-190.12223281306933</v>
      </c>
      <c r="BH537">
        <f t="shared" si="464"/>
        <v>-10.122232813069331</v>
      </c>
      <c r="BI537">
        <f t="shared" si="465"/>
        <v>-10.122232813069331</v>
      </c>
      <c r="BJ537">
        <f t="shared" si="454"/>
        <v>0</v>
      </c>
      <c r="BK537">
        <f t="shared" si="466"/>
        <v>0</v>
      </c>
      <c r="BM537">
        <f t="shared" si="467"/>
        <v>-54.067230701502538</v>
      </c>
      <c r="BN537">
        <f t="shared" si="455"/>
        <v>-94.208543051797079</v>
      </c>
      <c r="BQ537" s="56">
        <f t="shared" si="468"/>
        <v>13.617663705327773</v>
      </c>
    </row>
    <row r="538" spans="1:69" x14ac:dyDescent="0.25">
      <c r="A538">
        <f t="shared" ref="A538:A591" si="472">A537+5000</f>
        <v>1620000</v>
      </c>
      <c r="B538">
        <f t="shared" si="456"/>
        <v>1620</v>
      </c>
      <c r="C538">
        <f t="shared" si="425"/>
        <v>13.473125610241661</v>
      </c>
      <c r="D538">
        <f t="shared" si="426"/>
        <v>1.4965061836512605</v>
      </c>
      <c r="F538">
        <f t="shared" si="427"/>
        <v>9.766274255535309E-6</v>
      </c>
      <c r="G538">
        <f t="shared" si="428"/>
        <v>1.0630683833463043E-3</v>
      </c>
      <c r="H538">
        <f t="shared" si="429"/>
        <v>-3.1405295816166539</v>
      </c>
      <c r="J538">
        <f t="shared" si="430"/>
        <v>15</v>
      </c>
      <c r="M538">
        <f t="shared" si="431"/>
        <v>9.22286402285857E-4</v>
      </c>
      <c r="N538">
        <f t="shared" si="432"/>
        <v>-1.5707963250000001</v>
      </c>
      <c r="O538">
        <f t="shared" si="433"/>
        <v>414.29710395570203</v>
      </c>
      <c r="P538">
        <f t="shared" si="434"/>
        <v>1.568382597706599</v>
      </c>
      <c r="Q538">
        <f t="shared" si="435"/>
        <v>350.64953557558727</v>
      </c>
      <c r="R538">
        <f t="shared" si="436"/>
        <v>1.5679444725813387</v>
      </c>
      <c r="S538">
        <f t="shared" si="437"/>
        <v>7.5414947807010885E-2</v>
      </c>
      <c r="T538">
        <f t="shared" si="438"/>
        <v>-1.4953097093999246</v>
      </c>
      <c r="U538">
        <f t="shared" si="439"/>
        <v>9.6499172961918109E-2</v>
      </c>
      <c r="V538">
        <f t="shared" si="440"/>
        <v>-1.4741467545673743</v>
      </c>
      <c r="X538">
        <f t="shared" si="457"/>
        <v>-54.313589380089454</v>
      </c>
      <c r="Y538">
        <f t="shared" si="441"/>
        <v>-174.63462075392104</v>
      </c>
      <c r="Z538">
        <f t="shared" si="458"/>
        <v>5.3653792460789589</v>
      </c>
      <c r="AC538">
        <v>1</v>
      </c>
      <c r="AD538">
        <f t="shared" si="442"/>
        <v>414.29589709057205</v>
      </c>
      <c r="AE538">
        <f t="shared" si="443"/>
        <v>-0.50604222990344017</v>
      </c>
      <c r="AF538">
        <f t="shared" si="444"/>
        <v>4.9061624096519998E-2</v>
      </c>
      <c r="AG538">
        <f t="shared" si="421"/>
        <v>76.677282712345672</v>
      </c>
      <c r="AH538">
        <f t="shared" si="422"/>
        <v>-811.26427955969564</v>
      </c>
      <c r="AJ538">
        <f t="shared" si="445"/>
        <v>22100</v>
      </c>
      <c r="AK538">
        <f t="shared" si="446"/>
        <v>292210.82954366942</v>
      </c>
      <c r="AL538">
        <v>1</v>
      </c>
      <c r="AM538">
        <f t="shared" si="447"/>
        <v>350.64810964751405</v>
      </c>
      <c r="AN538">
        <f t="shared" si="423"/>
        <v>833.51790747840357</v>
      </c>
      <c r="AO538">
        <f t="shared" si="424"/>
        <v>-60.649070984296877</v>
      </c>
      <c r="AQ538">
        <f t="shared" si="448"/>
        <v>9.5259859847978605E-4</v>
      </c>
      <c r="AR538">
        <f t="shared" si="449"/>
        <v>-3.0864194590745067</v>
      </c>
      <c r="AT538">
        <f t="shared" si="470"/>
        <v>-2503.828816213058</v>
      </c>
      <c r="AU538">
        <f t="shared" si="471"/>
        <v>-237.43106664804623</v>
      </c>
      <c r="AV538">
        <f t="shared" si="459"/>
        <v>-3.0470481684850603</v>
      </c>
      <c r="AW538">
        <f t="shared" si="460"/>
        <v>727.37825317376428</v>
      </c>
      <c r="AX538">
        <f t="shared" si="461"/>
        <v>-3610.1492625288747</v>
      </c>
      <c r="AY538">
        <f t="shared" si="469"/>
        <v>-1.3719766638527184</v>
      </c>
      <c r="BA538">
        <f t="shared" si="450"/>
        <v>0.68294000776896835</v>
      </c>
      <c r="BB538">
        <f t="shared" si="462"/>
        <v>-3.3123488967710553</v>
      </c>
      <c r="BC538">
        <f t="shared" si="463"/>
        <v>-1.6750715046323419</v>
      </c>
      <c r="BD538">
        <f t="shared" si="451"/>
        <v>-275.97452770772861</v>
      </c>
      <c r="BF538">
        <f t="shared" si="452"/>
        <v>-57.406578222225633</v>
      </c>
      <c r="BG538">
        <f t="shared" si="453"/>
        <v>-190.17012993953631</v>
      </c>
      <c r="BH538">
        <f t="shared" si="464"/>
        <v>-10.170129939536309</v>
      </c>
      <c r="BI538">
        <f t="shared" si="465"/>
        <v>-10.170129939536309</v>
      </c>
      <c r="BJ538">
        <f t="shared" si="454"/>
        <v>0</v>
      </c>
      <c r="BK538">
        <f t="shared" si="466"/>
        <v>0</v>
      </c>
      <c r="BM538">
        <f t="shared" si="467"/>
        <v>-54.094229325454577</v>
      </c>
      <c r="BN538">
        <f t="shared" si="455"/>
        <v>-94.19560223180774</v>
      </c>
      <c r="BQ538" s="56">
        <f t="shared" si="468"/>
        <v>13.589611903514083</v>
      </c>
    </row>
    <row r="539" spans="1:69" x14ac:dyDescent="0.25">
      <c r="A539">
        <f t="shared" si="472"/>
        <v>1625000</v>
      </c>
      <c r="B539">
        <f t="shared" si="456"/>
        <v>1625</v>
      </c>
      <c r="C539">
        <f t="shared" si="425"/>
        <v>13.514480602042315</v>
      </c>
      <c r="D539">
        <f t="shared" si="426"/>
        <v>1.4967339324469626</v>
      </c>
      <c r="F539">
        <f t="shared" si="427"/>
        <v>9.7062660158614569E-6</v>
      </c>
      <c r="G539">
        <f t="shared" si="428"/>
        <v>1.0597973421881811E-3</v>
      </c>
      <c r="H539">
        <f t="shared" si="429"/>
        <v>-3.1405328526578122</v>
      </c>
      <c r="J539">
        <f t="shared" si="430"/>
        <v>15</v>
      </c>
      <c r="M539">
        <f t="shared" si="431"/>
        <v>9.1944859797113117E-4</v>
      </c>
      <c r="N539">
        <f t="shared" si="432"/>
        <v>-1.5707963250000001</v>
      </c>
      <c r="O539">
        <f t="shared" si="433"/>
        <v>415.57579128268463</v>
      </c>
      <c r="P539">
        <f t="shared" si="434"/>
        <v>1.5683900245366189</v>
      </c>
      <c r="Q539">
        <f t="shared" si="435"/>
        <v>351.73177844013253</v>
      </c>
      <c r="R539">
        <f t="shared" si="436"/>
        <v>1.5679532474700217</v>
      </c>
      <c r="S539">
        <f t="shared" si="437"/>
        <v>7.518421550503368E-2</v>
      </c>
      <c r="T539">
        <f t="shared" si="438"/>
        <v>-1.4955410986265243</v>
      </c>
      <c r="U539">
        <f t="shared" si="439"/>
        <v>9.6205004750446937E-2</v>
      </c>
      <c r="V539">
        <f t="shared" si="440"/>
        <v>-1.4744422978501164</v>
      </c>
      <c r="X539">
        <f t="shared" si="457"/>
        <v>-54.366871015869684</v>
      </c>
      <c r="Y539">
        <f t="shared" si="441"/>
        <v>-174.65102184478084</v>
      </c>
      <c r="Z539">
        <f t="shared" si="458"/>
        <v>5.3489781552191573</v>
      </c>
      <c r="AC539">
        <v>1</v>
      </c>
      <c r="AD539">
        <f t="shared" si="442"/>
        <v>415.57458813097503</v>
      </c>
      <c r="AE539">
        <f t="shared" si="443"/>
        <v>-0.50917076792362892</v>
      </c>
      <c r="AF539">
        <f t="shared" si="444"/>
        <v>4.9213048862249996E-2</v>
      </c>
      <c r="AG539">
        <f t="shared" si="421"/>
        <v>76.210508987248318</v>
      </c>
      <c r="AH539">
        <f t="shared" si="422"/>
        <v>-808.81319701004236</v>
      </c>
      <c r="AJ539">
        <f t="shared" si="445"/>
        <v>22100</v>
      </c>
      <c r="AK539">
        <f t="shared" si="446"/>
        <v>293112.71482003876</v>
      </c>
      <c r="AL539">
        <v>1</v>
      </c>
      <c r="AM539">
        <f t="shared" si="447"/>
        <v>351.73035689951257</v>
      </c>
      <c r="AN539">
        <f t="shared" si="423"/>
        <v>833.51684473818773</v>
      </c>
      <c r="AO539">
        <f t="shared" si="424"/>
        <v>-60.462461479654223</v>
      </c>
      <c r="AQ539">
        <f t="shared" si="448"/>
        <v>9.4674547249747011E-4</v>
      </c>
      <c r="AR539">
        <f t="shared" si="449"/>
        <v>-3.0769227856167776</v>
      </c>
      <c r="AT539">
        <f t="shared" si="470"/>
        <v>-2488.5836032334105</v>
      </c>
      <c r="AU539">
        <f t="shared" si="471"/>
        <v>-235.25959183868201</v>
      </c>
      <c r="AV539">
        <f t="shared" si="459"/>
        <v>-3.0473372346053087</v>
      </c>
      <c r="AW539">
        <f t="shared" si="460"/>
        <v>728.03390304513459</v>
      </c>
      <c r="AX539">
        <f t="shared" si="461"/>
        <v>-3599.0846796853289</v>
      </c>
      <c r="AY539">
        <f t="shared" si="469"/>
        <v>-1.371206472967218</v>
      </c>
      <c r="BA539">
        <f t="shared" si="450"/>
        <v>0.68074402272084178</v>
      </c>
      <c r="BB539">
        <f t="shared" si="462"/>
        <v>-3.3403232659590554</v>
      </c>
      <c r="BC539">
        <f t="shared" si="463"/>
        <v>-1.6761307616380907</v>
      </c>
      <c r="BD539">
        <f t="shared" si="451"/>
        <v>-276.03521866364702</v>
      </c>
      <c r="BF539">
        <f t="shared" si="452"/>
        <v>-57.461467106263093</v>
      </c>
      <c r="BG539">
        <f t="shared" si="453"/>
        <v>-190.21795926751011</v>
      </c>
      <c r="BH539">
        <f t="shared" si="464"/>
        <v>-10.217959267510111</v>
      </c>
      <c r="BI539">
        <f t="shared" si="465"/>
        <v>-10.217959267510111</v>
      </c>
      <c r="BJ539">
        <f t="shared" si="454"/>
        <v>0</v>
      </c>
      <c r="BK539">
        <f t="shared" si="466"/>
        <v>0</v>
      </c>
      <c r="BM539">
        <f t="shared" si="467"/>
        <v>-54.121143840304036</v>
      </c>
      <c r="BN539">
        <f t="shared" si="455"/>
        <v>-94.18274060386311</v>
      </c>
      <c r="BQ539" s="56">
        <f t="shared" si="468"/>
        <v>13.561637534326081</v>
      </c>
    </row>
    <row r="540" spans="1:69" x14ac:dyDescent="0.25">
      <c r="A540">
        <f t="shared" si="472"/>
        <v>1630000</v>
      </c>
      <c r="B540">
        <f t="shared" si="456"/>
        <v>1630</v>
      </c>
      <c r="C540">
        <f t="shared" si="425"/>
        <v>13.555836290555451</v>
      </c>
      <c r="D540">
        <f t="shared" si="426"/>
        <v>1.4969602916376448</v>
      </c>
      <c r="F540">
        <f t="shared" si="427"/>
        <v>9.6468091585829519E-6</v>
      </c>
      <c r="G540">
        <f t="shared" si="428"/>
        <v>1.0565463693307364E-3</v>
      </c>
      <c r="H540">
        <f t="shared" si="429"/>
        <v>-3.1405361036306694</v>
      </c>
      <c r="J540">
        <f t="shared" si="430"/>
        <v>15</v>
      </c>
      <c r="M540">
        <f t="shared" si="431"/>
        <v>9.1662820349882733E-4</v>
      </c>
      <c r="N540">
        <f t="shared" si="432"/>
        <v>-1.5707963250000001</v>
      </c>
      <c r="O540">
        <f t="shared" si="433"/>
        <v>416.85447863244883</v>
      </c>
      <c r="P540">
        <f t="shared" si="434"/>
        <v>1.5683974058035275</v>
      </c>
      <c r="Q540">
        <f t="shared" si="435"/>
        <v>352.81402133159452</v>
      </c>
      <c r="R540">
        <f t="shared" si="436"/>
        <v>1.5679619685254658</v>
      </c>
      <c r="S540">
        <f t="shared" si="437"/>
        <v>7.4954886772756871E-2</v>
      </c>
      <c r="T540">
        <f t="shared" si="438"/>
        <v>-1.4957710762872225</v>
      </c>
      <c r="U540">
        <f t="shared" si="439"/>
        <v>9.5912616272548046E-2</v>
      </c>
      <c r="V540">
        <f t="shared" si="440"/>
        <v>-1.4747360447144109</v>
      </c>
      <c r="X540">
        <f t="shared" si="457"/>
        <v>-54.419990489064809</v>
      </c>
      <c r="Y540">
        <f t="shared" si="441"/>
        <v>-174.66732329534182</v>
      </c>
      <c r="Z540">
        <f t="shared" si="458"/>
        <v>5.3326767046581836</v>
      </c>
      <c r="AC540">
        <v>1</v>
      </c>
      <c r="AD540">
        <f t="shared" si="442"/>
        <v>416.85327917137795</v>
      </c>
      <c r="AE540">
        <f t="shared" si="443"/>
        <v>-0.5123089470471156</v>
      </c>
      <c r="AF540">
        <f t="shared" si="444"/>
        <v>4.9364473627979993E-2</v>
      </c>
      <c r="AG540">
        <f t="shared" si="421"/>
        <v>75.747971447500021</v>
      </c>
      <c r="AH540">
        <f t="shared" si="422"/>
        <v>-806.37674359119069</v>
      </c>
      <c r="AJ540">
        <f t="shared" si="445"/>
        <v>22100</v>
      </c>
      <c r="AK540">
        <f t="shared" si="446"/>
        <v>294014.6000964081</v>
      </c>
      <c r="AL540">
        <v>1</v>
      </c>
      <c r="AM540">
        <f t="shared" si="447"/>
        <v>352.81260415151104</v>
      </c>
      <c r="AN540">
        <f t="shared" si="423"/>
        <v>833.51579176267796</v>
      </c>
      <c r="AO540">
        <f t="shared" si="424"/>
        <v>-60.276996790921594</v>
      </c>
      <c r="AQ540">
        <f t="shared" si="448"/>
        <v>9.4094612697635143E-4</v>
      </c>
      <c r="AR540">
        <f t="shared" si="449"/>
        <v>-3.0674843739429059</v>
      </c>
      <c r="AT540">
        <f t="shared" si="470"/>
        <v>-2473.476785716583</v>
      </c>
      <c r="AU540">
        <f t="shared" si="471"/>
        <v>-233.11447584684564</v>
      </c>
      <c r="AV540">
        <f t="shared" si="459"/>
        <v>-3.0476245440440404</v>
      </c>
      <c r="AW540">
        <f t="shared" si="460"/>
        <v>728.68347360784571</v>
      </c>
      <c r="AX540">
        <f t="shared" si="461"/>
        <v>-3588.0875839316236</v>
      </c>
      <c r="AY540">
        <f t="shared" si="469"/>
        <v>-1.3704370697818991</v>
      </c>
      <c r="BA540">
        <f t="shared" si="450"/>
        <v>0.67856111004752273</v>
      </c>
      <c r="BB540">
        <f t="shared" si="462"/>
        <v>-3.3682206885644801</v>
      </c>
      <c r="BC540">
        <f t="shared" si="463"/>
        <v>-1.6771874742621413</v>
      </c>
      <c r="BD540">
        <f t="shared" si="451"/>
        <v>-276.09576383723248</v>
      </c>
      <c r="BF540">
        <f t="shared" si="452"/>
        <v>-57.516195459688234</v>
      </c>
      <c r="BG540">
        <f t="shared" si="453"/>
        <v>-190.26572128182491</v>
      </c>
      <c r="BH540">
        <f t="shared" si="464"/>
        <v>-10.265721281824909</v>
      </c>
      <c r="BI540">
        <f t="shared" si="465"/>
        <v>-10.265721281824909</v>
      </c>
      <c r="BJ540">
        <f t="shared" si="454"/>
        <v>0</v>
      </c>
      <c r="BK540">
        <f t="shared" si="466"/>
        <v>0</v>
      </c>
      <c r="BM540">
        <f t="shared" si="467"/>
        <v>-54.147974771123756</v>
      </c>
      <c r="BN540">
        <f t="shared" si="455"/>
        <v>-94.169957444592441</v>
      </c>
      <c r="BQ540" s="56">
        <f t="shared" si="468"/>
        <v>13.533740111720657</v>
      </c>
    </row>
    <row r="541" spans="1:69" x14ac:dyDescent="0.25">
      <c r="A541">
        <f t="shared" si="472"/>
        <v>1635000</v>
      </c>
      <c r="B541">
        <f t="shared" si="456"/>
        <v>1635</v>
      </c>
      <c r="C541">
        <f t="shared" si="425"/>
        <v>13.597192669423944</v>
      </c>
      <c r="D541">
        <f t="shared" si="426"/>
        <v>1.4971852738796136</v>
      </c>
      <c r="F541">
        <f t="shared" si="427"/>
        <v>9.5878969491823111E-6</v>
      </c>
      <c r="G541">
        <f t="shared" si="428"/>
        <v>1.0533152806542581E-3</v>
      </c>
      <c r="H541">
        <f t="shared" si="429"/>
        <v>-3.140539334719346</v>
      </c>
      <c r="J541">
        <f t="shared" si="430"/>
        <v>15</v>
      </c>
      <c r="M541">
        <f t="shared" si="431"/>
        <v>9.1382505914561988E-4</v>
      </c>
      <c r="N541">
        <f t="shared" si="432"/>
        <v>-1.5707963250000001</v>
      </c>
      <c r="O541">
        <f t="shared" si="433"/>
        <v>418.13316600478572</v>
      </c>
      <c r="P541">
        <f t="shared" si="434"/>
        <v>1.5684047419253317</v>
      </c>
      <c r="Q541">
        <f t="shared" si="435"/>
        <v>353.8962642497263</v>
      </c>
      <c r="R541">
        <f t="shared" si="436"/>
        <v>1.5679706362415482</v>
      </c>
      <c r="S541">
        <f t="shared" si="437"/>
        <v>7.472694887807492E-2</v>
      </c>
      <c r="T541">
        <f t="shared" si="438"/>
        <v>-1.495999655235301</v>
      </c>
      <c r="U541">
        <f t="shared" si="439"/>
        <v>9.5621991501060918E-2</v>
      </c>
      <c r="V541">
        <f t="shared" si="440"/>
        <v>-1.4750280114393128</v>
      </c>
      <c r="X541">
        <f t="shared" si="457"/>
        <v>-54.472948779201076</v>
      </c>
      <c r="Y541">
        <f t="shared" si="441"/>
        <v>-174.6835260079132</v>
      </c>
      <c r="Z541">
        <f t="shared" si="458"/>
        <v>5.3164739920867987</v>
      </c>
      <c r="AC541">
        <v>1</v>
      </c>
      <c r="AD541">
        <f t="shared" si="442"/>
        <v>418.13197021178104</v>
      </c>
      <c r="AE541">
        <f t="shared" si="443"/>
        <v>-0.51545676727390022</v>
      </c>
      <c r="AF541">
        <f t="shared" si="444"/>
        <v>4.9515898393709998E-2</v>
      </c>
      <c r="AG541">
        <f t="shared" si="421"/>
        <v>75.28961914552805</v>
      </c>
      <c r="AH541">
        <f t="shared" si="422"/>
        <v>-803.95478998506701</v>
      </c>
      <c r="AJ541">
        <f t="shared" si="445"/>
        <v>22100</v>
      </c>
      <c r="AK541">
        <f t="shared" si="446"/>
        <v>294916.48537277745</v>
      </c>
      <c r="AL541">
        <v>1</v>
      </c>
      <c r="AM541">
        <f t="shared" si="447"/>
        <v>353.89485140350956</v>
      </c>
      <c r="AN541">
        <f t="shared" si="423"/>
        <v>833.51474843261224</v>
      </c>
      <c r="AO541">
        <f t="shared" si="424"/>
        <v>-60.092666415537707</v>
      </c>
      <c r="AQ541">
        <f t="shared" si="448"/>
        <v>9.3519990505850563E-4</v>
      </c>
      <c r="AR541">
        <f t="shared" si="449"/>
        <v>-3.0581036895413134</v>
      </c>
      <c r="AT541">
        <f t="shared" si="470"/>
        <v>-2458.5066986330685</v>
      </c>
      <c r="AU541">
        <f t="shared" si="471"/>
        <v>-230.99532053636503</v>
      </c>
      <c r="AV541">
        <f t="shared" si="459"/>
        <v>-3.047910112715754</v>
      </c>
      <c r="AW541">
        <f t="shared" si="460"/>
        <v>729.32703993903749</v>
      </c>
      <c r="AX541">
        <f t="shared" si="461"/>
        <v>-3577.1573608354638</v>
      </c>
      <c r="AY541">
        <f t="shared" si="469"/>
        <v>-1.3696684493869302</v>
      </c>
      <c r="BA541">
        <f t="shared" si="450"/>
        <v>0.67639115170903641</v>
      </c>
      <c r="BB541">
        <f t="shared" si="462"/>
        <v>-3.3960416462367875</v>
      </c>
      <c r="BC541">
        <f t="shared" si="463"/>
        <v>-1.6782416633288237</v>
      </c>
      <c r="BD541">
        <f t="shared" si="451"/>
        <v>-276.15616442163127</v>
      </c>
      <c r="BF541">
        <f t="shared" si="452"/>
        <v>-57.570764284298797</v>
      </c>
      <c r="BG541">
        <f t="shared" si="453"/>
        <v>-190.31341646102337</v>
      </c>
      <c r="BH541">
        <f t="shared" si="464"/>
        <v>-10.313416461023365</v>
      </c>
      <c r="BI541">
        <f t="shared" si="465"/>
        <v>-10.313416461023365</v>
      </c>
      <c r="BJ541">
        <f t="shared" si="454"/>
        <v>0</v>
      </c>
      <c r="BK541">
        <f t="shared" si="466"/>
        <v>0</v>
      </c>
      <c r="BM541">
        <f t="shared" si="467"/>
        <v>-54.174722638062008</v>
      </c>
      <c r="BN541">
        <f t="shared" si="455"/>
        <v>-94.15725203939212</v>
      </c>
      <c r="BQ541" s="56">
        <f t="shared" si="468"/>
        <v>13.50591915404835</v>
      </c>
    </row>
    <row r="542" spans="1:69" x14ac:dyDescent="0.25">
      <c r="A542">
        <f t="shared" si="472"/>
        <v>1640000</v>
      </c>
      <c r="B542">
        <f t="shared" si="456"/>
        <v>1640</v>
      </c>
      <c r="C542">
        <f t="shared" si="425"/>
        <v>13.638549732367663</v>
      </c>
      <c r="D542">
        <f t="shared" si="426"/>
        <v>1.4974088916762234</v>
      </c>
      <c r="F542">
        <f t="shared" si="427"/>
        <v>9.5295227556475089E-6</v>
      </c>
      <c r="G542">
        <f t="shared" si="428"/>
        <v>1.050103894284501E-3</v>
      </c>
      <c r="H542">
        <f t="shared" si="429"/>
        <v>-3.1405425461057157</v>
      </c>
      <c r="J542">
        <f t="shared" si="430"/>
        <v>15</v>
      </c>
      <c r="M542">
        <f t="shared" si="431"/>
        <v>9.110390071360295E-4</v>
      </c>
      <c r="N542">
        <f t="shared" si="432"/>
        <v>-1.5707963250000001</v>
      </c>
      <c r="O542">
        <f t="shared" si="433"/>
        <v>419.41185339948868</v>
      </c>
      <c r="P542">
        <f t="shared" si="434"/>
        <v>1.5684120333149409</v>
      </c>
      <c r="Q542">
        <f t="shared" si="435"/>
        <v>354.97850719428396</v>
      </c>
      <c r="R542">
        <f t="shared" si="436"/>
        <v>1.5679792511061241</v>
      </c>
      <c r="S542">
        <f t="shared" si="437"/>
        <v>7.4500389241974788E-2</v>
      </c>
      <c r="T542">
        <f t="shared" si="438"/>
        <v>-1.4962268481687546</v>
      </c>
      <c r="U542">
        <f t="shared" si="439"/>
        <v>9.5333114599778418E-2</v>
      </c>
      <c r="V542">
        <f t="shared" si="440"/>
        <v>-1.4753182141083812</v>
      </c>
      <c r="X542">
        <f t="shared" si="457"/>
        <v>-54.525746856997287</v>
      </c>
      <c r="Y542">
        <f t="shared" si="441"/>
        <v>-174.69963087397767</v>
      </c>
      <c r="Z542">
        <f t="shared" si="458"/>
        <v>5.300369126022332</v>
      </c>
      <c r="AC542">
        <v>1</v>
      </c>
      <c r="AD542">
        <f t="shared" si="442"/>
        <v>419.41066125218401</v>
      </c>
      <c r="AE542">
        <f t="shared" si="443"/>
        <v>-0.51861422860398287</v>
      </c>
      <c r="AF542">
        <f t="shared" si="444"/>
        <v>4.9667323159440002E-2</v>
      </c>
      <c r="AG542">
        <f t="shared" si="421"/>
        <v>74.835401894999677</v>
      </c>
      <c r="AH542">
        <f t="shared" si="422"/>
        <v>-801.54720837774175</v>
      </c>
      <c r="AJ542">
        <f t="shared" si="445"/>
        <v>22100</v>
      </c>
      <c r="AK542">
        <f t="shared" si="446"/>
        <v>295818.37064914685</v>
      </c>
      <c r="AL542">
        <v>1</v>
      </c>
      <c r="AM542">
        <f t="shared" si="447"/>
        <v>354.97709865550803</v>
      </c>
      <c r="AN542">
        <f t="shared" si="423"/>
        <v>833.51371463054477</v>
      </c>
      <c r="AO542">
        <f t="shared" si="424"/>
        <v>-59.909459979016226</v>
      </c>
      <c r="AQ542">
        <f t="shared" si="448"/>
        <v>9.2950615988379682E-4</v>
      </c>
      <c r="AR542">
        <f t="shared" si="449"/>
        <v>-3.0487802044188537</v>
      </c>
      <c r="AT542">
        <f t="shared" si="470"/>
        <v>-2443.6717018422141</v>
      </c>
      <c r="AU542">
        <f t="shared" si="471"/>
        <v>-228.90173495482895</v>
      </c>
      <c r="AV542">
        <f t="shared" si="459"/>
        <v>-3.0481939563438991</v>
      </c>
      <c r="AW542">
        <f t="shared" si="460"/>
        <v>729.96467595829824</v>
      </c>
      <c r="AX542">
        <f t="shared" si="461"/>
        <v>-3566.2934033875063</v>
      </c>
      <c r="AY542">
        <f t="shared" si="469"/>
        <v>-1.3689006069402379</v>
      </c>
      <c r="BA542">
        <f t="shared" si="450"/>
        <v>0.67423403108349633</v>
      </c>
      <c r="BB542">
        <f t="shared" si="462"/>
        <v>-3.4237866162836998</v>
      </c>
      <c r="BC542">
        <f t="shared" si="463"/>
        <v>-1.6792933494036613</v>
      </c>
      <c r="BD542">
        <f t="shared" si="451"/>
        <v>-276.21642159516097</v>
      </c>
      <c r="BF542">
        <f t="shared" si="452"/>
        <v>-57.625174572687918</v>
      </c>
      <c r="BG542">
        <f t="shared" si="453"/>
        <v>-190.36104527745428</v>
      </c>
      <c r="BH542">
        <f t="shared" si="464"/>
        <v>-10.361045277454281</v>
      </c>
      <c r="BI542">
        <f t="shared" si="465"/>
        <v>-10.361045277454281</v>
      </c>
      <c r="BJ542">
        <f t="shared" si="454"/>
        <v>0</v>
      </c>
      <c r="BK542">
        <f t="shared" si="466"/>
        <v>0</v>
      </c>
      <c r="BM542">
        <f t="shared" si="467"/>
        <v>-54.201387956404218</v>
      </c>
      <c r="BN542">
        <f t="shared" si="455"/>
        <v>-94.144623682293314</v>
      </c>
      <c r="BQ542" s="56">
        <f t="shared" si="468"/>
        <v>13.478174184001437</v>
      </c>
    </row>
    <row r="543" spans="1:69" x14ac:dyDescent="0.25">
      <c r="A543">
        <f t="shared" si="472"/>
        <v>1645000</v>
      </c>
      <c r="B543">
        <f t="shared" si="456"/>
        <v>1645</v>
      </c>
      <c r="C543">
        <f t="shared" si="425"/>
        <v>13.679907473182327</v>
      </c>
      <c r="D543">
        <f t="shared" si="426"/>
        <v>1.4976311573801739</v>
      </c>
      <c r="F543">
        <f t="shared" si="427"/>
        <v>9.471680046605372E-6</v>
      </c>
      <c r="G543">
        <f t="shared" si="428"/>
        <v>1.0469120305585588E-3</v>
      </c>
      <c r="H543">
        <f t="shared" si="429"/>
        <v>-3.1405457379694415</v>
      </c>
      <c r="J543">
        <f t="shared" si="430"/>
        <v>15</v>
      </c>
      <c r="M543">
        <f t="shared" si="431"/>
        <v>9.0826989161281967E-4</v>
      </c>
      <c r="N543">
        <f t="shared" si="432"/>
        <v>-1.5707963250000001</v>
      </c>
      <c r="O543">
        <f t="shared" si="433"/>
        <v>420.69054081635392</v>
      </c>
      <c r="P543">
        <f t="shared" si="434"/>
        <v>1.5684192803802446</v>
      </c>
      <c r="Q543">
        <f t="shared" si="435"/>
        <v>356.06075016502649</v>
      </c>
      <c r="R543">
        <f t="shared" si="436"/>
        <v>1.5679878136011169</v>
      </c>
      <c r="S543">
        <f t="shared" si="437"/>
        <v>7.4275195436248484E-2</v>
      </c>
      <c r="T543">
        <f t="shared" si="438"/>
        <v>-1.4964526676326242</v>
      </c>
      <c r="U543">
        <f t="shared" si="439"/>
        <v>9.5045969920624959E-2</v>
      </c>
      <c r="V543">
        <f t="shared" si="440"/>
        <v>-1.4756066686125964</v>
      </c>
      <c r="X543">
        <f t="shared" si="457"/>
        <v>-54.578385684469652</v>
      </c>
      <c r="Y543">
        <f t="shared" si="441"/>
        <v>-174.7156387743531</v>
      </c>
      <c r="Z543">
        <f t="shared" si="458"/>
        <v>5.2843612256469044</v>
      </c>
      <c r="AC543">
        <v>1</v>
      </c>
      <c r="AD543">
        <f t="shared" si="442"/>
        <v>420.68935229258705</v>
      </c>
      <c r="AE543">
        <f t="shared" si="443"/>
        <v>-0.52178133103736357</v>
      </c>
      <c r="AF543">
        <f t="shared" si="444"/>
        <v>4.981874792517E-2</v>
      </c>
      <c r="AG543">
        <f t="shared" si="421"/>
        <v>74.385270257257233</v>
      </c>
      <c r="AH543">
        <f t="shared" si="422"/>
        <v>-799.15387243786972</v>
      </c>
      <c r="AJ543">
        <f t="shared" si="445"/>
        <v>22100</v>
      </c>
      <c r="AK543">
        <f t="shared" si="446"/>
        <v>296720.25592551619</v>
      </c>
      <c r="AL543">
        <v>1</v>
      </c>
      <c r="AM543">
        <f t="shared" si="447"/>
        <v>356.0593459075065</v>
      </c>
      <c r="AN543">
        <f t="shared" si="423"/>
        <v>833.51269024081091</v>
      </c>
      <c r="AO543">
        <f t="shared" si="424"/>
        <v>-59.727367232999356</v>
      </c>
      <c r="AQ543">
        <f t="shared" si="448"/>
        <v>9.2386425440782569E-4</v>
      </c>
      <c r="AR543">
        <f t="shared" si="449"/>
        <v>-3.0395133970017465</v>
      </c>
      <c r="AT543">
        <f t="shared" si="470"/>
        <v>-2428.9701796484846</v>
      </c>
      <c r="AU543">
        <f t="shared" si="471"/>
        <v>-226.83333518304585</v>
      </c>
      <c r="AV543">
        <f t="shared" si="459"/>
        <v>-3.048476090463724</v>
      </c>
      <c r="AW543">
        <f t="shared" si="460"/>
        <v>730.59645444904936</v>
      </c>
      <c r="AX543">
        <f t="shared" si="461"/>
        <v>-3555.4951118897889</v>
      </c>
      <c r="AY543">
        <f t="shared" si="469"/>
        <v>-1.3681335376664103</v>
      </c>
      <c r="BA543">
        <f t="shared" si="450"/>
        <v>0.67208963294595425</v>
      </c>
      <c r="BB543">
        <f t="shared" si="462"/>
        <v>-3.4514560717222547</v>
      </c>
      <c r="BC543">
        <f t="shared" si="463"/>
        <v>-1.6803425527973137</v>
      </c>
      <c r="BD543">
        <f t="shared" si="451"/>
        <v>-276.27653652153674</v>
      </c>
      <c r="BF543">
        <f t="shared" si="452"/>
        <v>-57.679427308355827</v>
      </c>
      <c r="BG543">
        <f t="shared" si="453"/>
        <v>-190.40860819736912</v>
      </c>
      <c r="BH543">
        <f t="shared" si="464"/>
        <v>-10.408608197369119</v>
      </c>
      <c r="BI543">
        <f t="shared" si="465"/>
        <v>-10.408608197369119</v>
      </c>
      <c r="BJ543">
        <f t="shared" si="454"/>
        <v>0</v>
      </c>
      <c r="BK543">
        <f t="shared" si="466"/>
        <v>0</v>
      </c>
      <c r="BM543">
        <f t="shared" si="467"/>
        <v>-54.227971236633579</v>
      </c>
      <c r="BN543">
        <f t="shared" si="455"/>
        <v>-94.132071675832364</v>
      </c>
      <c r="BQ543" s="56">
        <f t="shared" si="468"/>
        <v>13.450504728562882</v>
      </c>
    </row>
    <row r="544" spans="1:69" x14ac:dyDescent="0.25">
      <c r="A544">
        <f t="shared" si="472"/>
        <v>1650000</v>
      </c>
      <c r="B544">
        <f t="shared" si="456"/>
        <v>1650</v>
      </c>
      <c r="C544">
        <f t="shared" si="425"/>
        <v>13.721265885738354</v>
      </c>
      <c r="D544">
        <f t="shared" si="426"/>
        <v>1.4978520831957711</v>
      </c>
      <c r="F544">
        <f t="shared" si="427"/>
        <v>9.4143623894945383E-6</v>
      </c>
      <c r="G544">
        <f t="shared" si="428"/>
        <v>1.0437395119913568E-3</v>
      </c>
      <c r="H544">
        <f t="shared" si="429"/>
        <v>-3.1405489104880089</v>
      </c>
      <c r="J544">
        <f t="shared" si="430"/>
        <v>15</v>
      </c>
      <c r="M544">
        <f t="shared" si="431"/>
        <v>9.0551755860793226E-4</v>
      </c>
      <c r="N544">
        <f t="shared" si="432"/>
        <v>-1.5707963250000001</v>
      </c>
      <c r="O544">
        <f t="shared" si="433"/>
        <v>421.96922825517987</v>
      </c>
      <c r="P544">
        <f t="shared" si="434"/>
        <v>1.5684264835241877</v>
      </c>
      <c r="Q544">
        <f t="shared" si="435"/>
        <v>357.14299316171588</v>
      </c>
      <c r="R544">
        <f t="shared" si="436"/>
        <v>1.5679963242026087</v>
      </c>
      <c r="S544">
        <f t="shared" si="437"/>
        <v>7.4051355181246364E-2</v>
      </c>
      <c r="T544">
        <f t="shared" si="438"/>
        <v>-1.4966771260212886</v>
      </c>
      <c r="U544">
        <f t="shared" si="439"/>
        <v>9.4760542000884601E-2</v>
      </c>
      <c r="V544">
        <f t="shared" si="440"/>
        <v>-1.4758933906532246</v>
      </c>
      <c r="X544">
        <f t="shared" si="457"/>
        <v>-54.63086621503497</v>
      </c>
      <c r="Y544">
        <f t="shared" si="441"/>
        <v>-174.73155057935085</v>
      </c>
      <c r="Z544">
        <f t="shared" si="458"/>
        <v>5.2684494206491479</v>
      </c>
      <c r="AC544">
        <v>1</v>
      </c>
      <c r="AD544">
        <f t="shared" si="442"/>
        <v>421.96804333299002</v>
      </c>
      <c r="AE544">
        <f t="shared" si="443"/>
        <v>-0.52495807457404209</v>
      </c>
      <c r="AF544">
        <f t="shared" si="444"/>
        <v>4.9970172690900004E-2</v>
      </c>
      <c r="AG544">
        <f t="shared" si="421"/>
        <v>73.939175528032735</v>
      </c>
      <c r="AH544">
        <f t="shared" si="422"/>
        <v>-796.77465729548771</v>
      </c>
      <c r="AJ544">
        <f t="shared" si="445"/>
        <v>22100</v>
      </c>
      <c r="AK544">
        <f t="shared" si="446"/>
        <v>297622.14120188553</v>
      </c>
      <c r="AL544">
        <v>1</v>
      </c>
      <c r="AM544">
        <f t="shared" si="447"/>
        <v>357.14159315950502</v>
      </c>
      <c r="AN544">
        <f t="shared" si="423"/>
        <v>833.51167514949623</v>
      </c>
      <c r="AO544">
        <f t="shared" si="424"/>
        <v>-59.54637805334692</v>
      </c>
      <c r="AQ544">
        <f t="shared" si="448"/>
        <v>9.1827356122373171E-4</v>
      </c>
      <c r="AR544">
        <f t="shared" si="449"/>
        <v>-3.0303027520383146</v>
      </c>
      <c r="AT544">
        <f t="shared" si="470"/>
        <v>-2414.4005403668752</v>
      </c>
      <c r="AU544">
        <f t="shared" si="471"/>
        <v>-224.78974418808914</v>
      </c>
      <c r="AV544">
        <f t="shared" si="459"/>
        <v>-3.048756530425075</v>
      </c>
      <c r="AW544">
        <f t="shared" si="460"/>
        <v>731.22244707947459</v>
      </c>
      <c r="AX544">
        <f t="shared" si="461"/>
        <v>-3544.7618938461651</v>
      </c>
      <c r="AY544">
        <f t="shared" si="469"/>
        <v>-1.3673672368556236</v>
      </c>
      <c r="BA544">
        <f t="shared" si="450"/>
        <v>0.66995784344762088</v>
      </c>
      <c r="BB544">
        <f t="shared" si="462"/>
        <v>-3.479050481329188</v>
      </c>
      <c r="BC544">
        <f t="shared" si="463"/>
        <v>-1.6813892935694514</v>
      </c>
      <c r="BD544">
        <f t="shared" si="451"/>
        <v>-276.33651035009302</v>
      </c>
      <c r="BF544">
        <f t="shared" si="452"/>
        <v>-57.733523465819985</v>
      </c>
      <c r="BG544">
        <f t="shared" si="453"/>
        <v>-190.45610568101625</v>
      </c>
      <c r="BH544">
        <f t="shared" si="464"/>
        <v>-10.456105681016254</v>
      </c>
      <c r="BI544">
        <f t="shared" si="465"/>
        <v>-10.456105681016254</v>
      </c>
      <c r="BJ544">
        <f t="shared" si="454"/>
        <v>0</v>
      </c>
      <c r="BK544">
        <f t="shared" si="466"/>
        <v>0</v>
      </c>
      <c r="BM544">
        <f t="shared" si="467"/>
        <v>-54.254472984490796</v>
      </c>
      <c r="BN544">
        <f t="shared" si="455"/>
        <v>-94.119595330923246</v>
      </c>
      <c r="BQ544" s="56">
        <f t="shared" si="468"/>
        <v>13.422910318955948</v>
      </c>
    </row>
    <row r="545" spans="1:69" x14ac:dyDescent="0.25">
      <c r="A545">
        <f t="shared" si="472"/>
        <v>1655000</v>
      </c>
      <c r="B545">
        <f t="shared" si="456"/>
        <v>1655</v>
      </c>
      <c r="C545">
        <f t="shared" si="425"/>
        <v>13.762624963979746</v>
      </c>
      <c r="D545">
        <f t="shared" si="426"/>
        <v>1.4980716811811425</v>
      </c>
      <c r="F545">
        <f t="shared" si="427"/>
        <v>9.3575634487769651E-6</v>
      </c>
      <c r="G545">
        <f t="shared" si="428"/>
        <v>1.0405861632427525E-3</v>
      </c>
      <c r="H545">
        <f t="shared" si="429"/>
        <v>-3.1405520638367577</v>
      </c>
      <c r="J545">
        <f t="shared" si="430"/>
        <v>15</v>
      </c>
      <c r="M545">
        <f t="shared" si="431"/>
        <v>9.0278185601395055E-4</v>
      </c>
      <c r="N545">
        <f t="shared" si="432"/>
        <v>-1.5707963250000001</v>
      </c>
      <c r="O545">
        <f t="shared" si="433"/>
        <v>423.24791571576748</v>
      </c>
      <c r="P545">
        <f t="shared" si="434"/>
        <v>1.568433643144846</v>
      </c>
      <c r="Q545">
        <f t="shared" si="435"/>
        <v>358.22523618411691</v>
      </c>
      <c r="R545">
        <f t="shared" si="436"/>
        <v>1.5680047833809285</v>
      </c>
      <c r="S545">
        <f t="shared" si="437"/>
        <v>7.3828856343670243E-2</v>
      </c>
      <c r="T545">
        <f t="shared" si="438"/>
        <v>-1.4969002355807162</v>
      </c>
      <c r="U545">
        <f t="shared" si="439"/>
        <v>9.4476815560477698E-2</v>
      </c>
      <c r="V545">
        <f t="shared" si="440"/>
        <v>-1.4761783957446317</v>
      </c>
      <c r="X545">
        <f t="shared" si="457"/>
        <v>-54.683189393612423</v>
      </c>
      <c r="Y545">
        <f t="shared" si="441"/>
        <v>-174.74736714893126</v>
      </c>
      <c r="Z545">
        <f t="shared" si="458"/>
        <v>5.2526328510687392</v>
      </c>
      <c r="AC545">
        <v>1</v>
      </c>
      <c r="AD545">
        <f t="shared" si="442"/>
        <v>423.246734373393</v>
      </c>
      <c r="AE545">
        <f t="shared" si="443"/>
        <v>-0.52814445921401854</v>
      </c>
      <c r="AF545">
        <f t="shared" si="444"/>
        <v>5.0121597456629995E-2</v>
      </c>
      <c r="AG545">
        <f t="shared" si="421"/>
        <v>73.497069724436301</v>
      </c>
      <c r="AH545">
        <f t="shared" si="422"/>
        <v>-794.40943952117573</v>
      </c>
      <c r="AJ545">
        <f t="shared" si="445"/>
        <v>22100</v>
      </c>
      <c r="AK545">
        <f t="shared" si="446"/>
        <v>298524.02647825488</v>
      </c>
      <c r="AL545">
        <v>1</v>
      </c>
      <c r="AM545">
        <f t="shared" si="447"/>
        <v>358.22384041150355</v>
      </c>
      <c r="AN545">
        <f t="shared" si="423"/>
        <v>833.51066924440465</v>
      </c>
      <c r="AO545">
        <f t="shared" si="424"/>
        <v>-59.36648243826005</v>
      </c>
      <c r="AQ545">
        <f t="shared" si="448"/>
        <v>9.1273346238776002E-4</v>
      </c>
      <c r="AR545">
        <f t="shared" si="449"/>
        <v>-3.0211477605034855</v>
      </c>
      <c r="AT545">
        <f t="shared" si="470"/>
        <v>-2399.9612158973041</v>
      </c>
      <c r="AU545">
        <f t="shared" si="471"/>
        <v>-222.77059167983694</v>
      </c>
      <c r="AV545">
        <f t="shared" si="459"/>
        <v>-3.0490352913951453</v>
      </c>
      <c r="AW545">
        <f t="shared" si="460"/>
        <v>731.84272442299698</v>
      </c>
      <c r="AX545">
        <f t="shared" si="461"/>
        <v>-3534.0931638547063</v>
      </c>
      <c r="AY545">
        <f t="shared" si="469"/>
        <v>-1.3666016998625876</v>
      </c>
      <c r="BA545">
        <f t="shared" si="450"/>
        <v>0.66783855009545612</v>
      </c>
      <c r="BB545">
        <f t="shared" si="462"/>
        <v>-3.5065703096905665</v>
      </c>
      <c r="BC545">
        <f t="shared" si="463"/>
        <v>-1.6824335915325577</v>
      </c>
      <c r="BD545">
        <f t="shared" si="451"/>
        <v>-276.39634421600152</v>
      </c>
      <c r="BF545">
        <f t="shared" si="452"/>
        <v>-57.787464010723532</v>
      </c>
      <c r="BG545">
        <f t="shared" si="453"/>
        <v>-190.50353818273385</v>
      </c>
      <c r="BH545">
        <f t="shared" si="464"/>
        <v>-10.503538182733848</v>
      </c>
      <c r="BI545">
        <f t="shared" si="465"/>
        <v>-10.503538182733848</v>
      </c>
      <c r="BJ545">
        <f t="shared" si="454"/>
        <v>0</v>
      </c>
      <c r="BK545">
        <f t="shared" si="466"/>
        <v>0</v>
      </c>
      <c r="BM545">
        <f t="shared" si="467"/>
        <v>-54.280893701032966</v>
      </c>
      <c r="BN545">
        <f t="shared" si="455"/>
        <v>-94.107193966732368</v>
      </c>
      <c r="BQ545" s="56">
        <f t="shared" si="468"/>
        <v>13.39539049059457</v>
      </c>
    </row>
    <row r="546" spans="1:69" x14ac:dyDescent="0.25">
      <c r="A546">
        <f t="shared" si="472"/>
        <v>1660000</v>
      </c>
      <c r="B546">
        <f t="shared" si="456"/>
        <v>1660</v>
      </c>
      <c r="C546">
        <f t="shared" si="425"/>
        <v>13.80398470192298</v>
      </c>
      <c r="D546">
        <f t="shared" si="426"/>
        <v>1.4982899632504165</v>
      </c>
      <c r="F546">
        <f t="shared" si="427"/>
        <v>9.3012769841871152E-6</v>
      </c>
      <c r="G546">
        <f t="shared" si="428"/>
        <v>1.0374518110852317E-3</v>
      </c>
      <c r="H546">
        <f t="shared" si="429"/>
        <v>-3.140555198188915</v>
      </c>
      <c r="J546">
        <f t="shared" si="430"/>
        <v>15</v>
      </c>
      <c r="M546">
        <f t="shared" si="431"/>
        <v>9.0006263355607737E-4</v>
      </c>
      <c r="N546">
        <f t="shared" si="432"/>
        <v>-1.5707963250000001</v>
      </c>
      <c r="O546">
        <f t="shared" si="433"/>
        <v>424.52660319792028</v>
      </c>
      <c r="P546">
        <f t="shared" si="434"/>
        <v>1.5684407596354997</v>
      </c>
      <c r="Q546">
        <f t="shared" si="435"/>
        <v>359.30747923199738</v>
      </c>
      <c r="R546">
        <f t="shared" si="436"/>
        <v>1.5680131916007387</v>
      </c>
      <c r="S546">
        <f t="shared" si="437"/>
        <v>7.3607686934405822E-2</v>
      </c>
      <c r="T546">
        <f t="shared" si="438"/>
        <v>-1.4971220084106744</v>
      </c>
      <c r="U546">
        <f t="shared" si="439"/>
        <v>9.419477549928508E-2</v>
      </c>
      <c r="V546">
        <f t="shared" si="440"/>
        <v>-1.4764616992170485</v>
      </c>
      <c r="X546">
        <f t="shared" si="457"/>
        <v>-54.735356156723682</v>
      </c>
      <c r="Y546">
        <f t="shared" si="441"/>
        <v>-174.76308933285699</v>
      </c>
      <c r="Z546">
        <f t="shared" si="458"/>
        <v>5.2369106671430075</v>
      </c>
      <c r="AC546">
        <v>1</v>
      </c>
      <c r="AD546">
        <f t="shared" si="442"/>
        <v>424.52542541379603</v>
      </c>
      <c r="AE546">
        <f t="shared" si="443"/>
        <v>-0.53134048495729302</v>
      </c>
      <c r="AF546">
        <f t="shared" si="444"/>
        <v>5.0273022222360006E-2</v>
      </c>
      <c r="AG546">
        <f t="shared" si="421"/>
        <v>73.058905572212325</v>
      </c>
      <c r="AH546">
        <f t="shared" si="422"/>
        <v>-792.05809710556741</v>
      </c>
      <c r="AJ546">
        <f t="shared" si="445"/>
        <v>22100</v>
      </c>
      <c r="AK546">
        <f t="shared" si="446"/>
        <v>299425.91175462422</v>
      </c>
      <c r="AL546">
        <v>1</v>
      </c>
      <c r="AM546">
        <f t="shared" si="447"/>
        <v>359.30608766350207</v>
      </c>
      <c r="AN546">
        <f t="shared" si="423"/>
        <v>833.50967241502724</v>
      </c>
      <c r="AO546">
        <f t="shared" si="424"/>
        <v>-59.187670506438792</v>
      </c>
      <c r="AQ546">
        <f t="shared" si="448"/>
        <v>9.0724334924849857E-4</v>
      </c>
      <c r="AR546">
        <f t="shared" si="449"/>
        <v>-3.0120479195050152</v>
      </c>
      <c r="AT546">
        <f t="shared" si="470"/>
        <v>-2385.6506613077422</v>
      </c>
      <c r="AU546">
        <f t="shared" si="471"/>
        <v>-220.77551397091295</v>
      </c>
      <c r="AV546">
        <f t="shared" si="459"/>
        <v>-3.0493123883611735</v>
      </c>
      <c r="AW546">
        <f t="shared" si="460"/>
        <v>732.45735597831936</v>
      </c>
      <c r="AX546">
        <f t="shared" si="461"/>
        <v>-3523.4883435020138</v>
      </c>
      <c r="AY546">
        <f t="shared" si="469"/>
        <v>-1.3658369221055133</v>
      </c>
      <c r="BA546">
        <f t="shared" si="450"/>
        <v>0.66573164173212185</v>
      </c>
      <c r="BB546">
        <f t="shared" si="462"/>
        <v>-3.5340160172506851</v>
      </c>
      <c r="BC546">
        <f t="shared" si="463"/>
        <v>-1.6834754662556601</v>
      </c>
      <c r="BD546">
        <f t="shared" si="451"/>
        <v>-276.45603924048487</v>
      </c>
      <c r="BF546">
        <f t="shared" si="452"/>
        <v>-57.841249899942056</v>
      </c>
      <c r="BG546">
        <f t="shared" si="453"/>
        <v>-190.55090615104044</v>
      </c>
      <c r="BH546">
        <f t="shared" si="464"/>
        <v>-10.550906151040436</v>
      </c>
      <c r="BI546">
        <f t="shared" si="465"/>
        <v>-10.550906151040436</v>
      </c>
      <c r="BJ546">
        <f t="shared" si="454"/>
        <v>0</v>
      </c>
      <c r="BK546">
        <f t="shared" si="466"/>
        <v>0</v>
      </c>
      <c r="BM546">
        <f t="shared" si="467"/>
        <v>-54.307233882691371</v>
      </c>
      <c r="BN546">
        <f t="shared" si="455"/>
        <v>-94.094866910555609</v>
      </c>
      <c r="BQ546" s="56">
        <f t="shared" si="468"/>
        <v>13.367944783034451</v>
      </c>
    </row>
    <row r="547" spans="1:69" x14ac:dyDescent="0.25">
      <c r="A547">
        <f t="shared" si="472"/>
        <v>1665000</v>
      </c>
      <c r="B547">
        <f t="shared" si="456"/>
        <v>1665</v>
      </c>
      <c r="C547">
        <f t="shared" si="425"/>
        <v>13.845345093655942</v>
      </c>
      <c r="D547">
        <f t="shared" si="426"/>
        <v>1.4985069411758618</v>
      </c>
      <c r="F547">
        <f t="shared" si="427"/>
        <v>9.2454968490178814E-6</v>
      </c>
      <c r="G547">
        <f t="shared" si="428"/>
        <v>1.0343362843721843E-3</v>
      </c>
      <c r="H547">
        <f t="shared" si="429"/>
        <v>-3.1405583137156281</v>
      </c>
      <c r="J547">
        <f t="shared" si="430"/>
        <v>15</v>
      </c>
      <c r="M547">
        <f t="shared" si="431"/>
        <v>8.9735974276461763E-4</v>
      </c>
      <c r="N547">
        <f t="shared" si="432"/>
        <v>-1.5707963250000001</v>
      </c>
      <c r="O547">
        <f t="shared" si="433"/>
        <v>425.80529070144377</v>
      </c>
      <c r="P547">
        <f t="shared" si="434"/>
        <v>1.5684478333847041</v>
      </c>
      <c r="Q547">
        <f t="shared" si="435"/>
        <v>360.38972230512758</v>
      </c>
      <c r="R547">
        <f t="shared" si="436"/>
        <v>1.5680215493211203</v>
      </c>
      <c r="S547">
        <f t="shared" si="437"/>
        <v>7.3387835106393254E-2</v>
      </c>
      <c r="T547">
        <f t="shared" si="438"/>
        <v>-1.497342456466902</v>
      </c>
      <c r="U547">
        <f t="shared" si="439"/>
        <v>9.3914406894519048E-2</v>
      </c>
      <c r="V547">
        <f t="shared" si="440"/>
        <v>-1.4767433162192845</v>
      </c>
      <c r="X547">
        <f t="shared" si="457"/>
        <v>-54.787367432591807</v>
      </c>
      <c r="Y547">
        <f t="shared" si="441"/>
        <v>-174.77871797084293</v>
      </c>
      <c r="Z547">
        <f t="shared" si="458"/>
        <v>5.2212820291570665</v>
      </c>
      <c r="AC547">
        <v>1</v>
      </c>
      <c r="AD547">
        <f t="shared" si="442"/>
        <v>425.804116454199</v>
      </c>
      <c r="AE547">
        <f t="shared" si="443"/>
        <v>-0.53454615180386544</v>
      </c>
      <c r="AF547">
        <f t="shared" si="444"/>
        <v>5.0424446988089996E-2</v>
      </c>
      <c r="AG547">
        <f t="shared" si="421"/>
        <v>72.624636493256133</v>
      </c>
      <c r="AH547">
        <f t="shared" si="422"/>
        <v>-789.72050943920556</v>
      </c>
      <c r="AJ547">
        <f t="shared" si="445"/>
        <v>22100</v>
      </c>
      <c r="AK547">
        <f t="shared" si="446"/>
        <v>300327.79703099356</v>
      </c>
      <c r="AL547">
        <v>1</v>
      </c>
      <c r="AM547">
        <f t="shared" si="447"/>
        <v>360.38833491550054</v>
      </c>
      <c r="AN547">
        <f t="shared" si="423"/>
        <v>833.50868455251157</v>
      </c>
      <c r="AO547">
        <f t="shared" si="424"/>
        <v>-59.009932495272906</v>
      </c>
      <c r="AQ547">
        <f t="shared" si="448"/>
        <v>9.0180262227970113E-4</v>
      </c>
      <c r="AR547">
        <f t="shared" si="449"/>
        <v>-3.0030027321914048</v>
      </c>
      <c r="AT547">
        <f t="shared" si="470"/>
        <v>-2371.4673544258908</v>
      </c>
      <c r="AU547">
        <f t="shared" si="471"/>
        <v>-218.80415383993611</v>
      </c>
      <c r="AV547">
        <f t="shared" si="459"/>
        <v>-3.0495878361331004</v>
      </c>
      <c r="AW547">
        <f t="shared" si="460"/>
        <v>733.06641018903599</v>
      </c>
      <c r="AX547">
        <f t="shared" si="461"/>
        <v>-3512.9468612594183</v>
      </c>
      <c r="AY547">
        <f t="shared" si="469"/>
        <v>-1.3650728990650971</v>
      </c>
      <c r="BA547">
        <f t="shared" si="450"/>
        <v>0.66363700851628582</v>
      </c>
      <c r="BB547">
        <f t="shared" si="462"/>
        <v>-3.5613880603602821</v>
      </c>
      <c r="BC547">
        <f t="shared" si="463"/>
        <v>-1.6845149370680033</v>
      </c>
      <c r="BD547">
        <f t="shared" si="451"/>
        <v>-276.5155965310272</v>
      </c>
      <c r="BF547">
        <f t="shared" si="452"/>
        <v>-57.894882081688841</v>
      </c>
      <c r="BG547">
        <f t="shared" si="453"/>
        <v>-190.59821002872488</v>
      </c>
      <c r="BH547">
        <f t="shared" si="464"/>
        <v>-10.598210028724878</v>
      </c>
      <c r="BI547">
        <f t="shared" si="465"/>
        <v>-10.598210028724878</v>
      </c>
      <c r="BJ547">
        <f t="shared" si="454"/>
        <v>0</v>
      </c>
      <c r="BK547">
        <f t="shared" si="466"/>
        <v>0</v>
      </c>
      <c r="BM547">
        <f t="shared" si="467"/>
        <v>-54.333494021328555</v>
      </c>
      <c r="BN547">
        <f t="shared" si="455"/>
        <v>-94.082613497697722</v>
      </c>
      <c r="BQ547" s="56">
        <f t="shared" si="468"/>
        <v>13.340572739924854</v>
      </c>
    </row>
    <row r="548" spans="1:69" x14ac:dyDescent="0.25">
      <c r="A548">
        <f t="shared" si="472"/>
        <v>1670000</v>
      </c>
      <c r="B548">
        <f t="shared" si="456"/>
        <v>1670</v>
      </c>
      <c r="C548">
        <f t="shared" si="425"/>
        <v>13.886706133336856</v>
      </c>
      <c r="D548">
        <f t="shared" si="426"/>
        <v>1.4987226265899884</v>
      </c>
      <c r="F548">
        <f t="shared" si="427"/>
        <v>9.1902169884423764E-6</v>
      </c>
      <c r="G548">
        <f t="shared" si="428"/>
        <v>1.0312394140067516E-3</v>
      </c>
      <c r="H548">
        <f t="shared" si="429"/>
        <v>-3.1405614105859936</v>
      </c>
      <c r="J548">
        <f t="shared" si="430"/>
        <v>15</v>
      </c>
      <c r="M548">
        <f t="shared" si="431"/>
        <v>8.9467303694795708E-4</v>
      </c>
      <c r="N548">
        <f t="shared" si="432"/>
        <v>-1.5707963250000001</v>
      </c>
      <c r="O548">
        <f t="shared" si="433"/>
        <v>427.08397822614614</v>
      </c>
      <c r="P548">
        <f t="shared" si="434"/>
        <v>1.5684548647763616</v>
      </c>
      <c r="Q548">
        <f t="shared" si="435"/>
        <v>361.47196540328088</v>
      </c>
      <c r="R548">
        <f t="shared" si="436"/>
        <v>1.5680298569956559</v>
      </c>
      <c r="S548">
        <f t="shared" si="437"/>
        <v>7.3169289152535275E-2</v>
      </c>
      <c r="T548">
        <f t="shared" si="438"/>
        <v>-1.4975615915632412</v>
      </c>
      <c r="U548">
        <f t="shared" si="439"/>
        <v>9.3635694998140021E-2</v>
      </c>
      <c r="V548">
        <f t="shared" si="440"/>
        <v>-1.477023261721397</v>
      </c>
      <c r="X548">
        <f t="shared" si="457"/>
        <v>-54.839224141238461</v>
      </c>
      <c r="Y548">
        <f t="shared" si="441"/>
        <v>-174.79425389270395</v>
      </c>
      <c r="Z548">
        <f t="shared" si="458"/>
        <v>5.2057461072960507</v>
      </c>
      <c r="AC548">
        <v>1</v>
      </c>
      <c r="AD548">
        <f t="shared" si="442"/>
        <v>427.08280749460204</v>
      </c>
      <c r="AE548">
        <f t="shared" si="443"/>
        <v>-0.5377614597537359</v>
      </c>
      <c r="AF548">
        <f t="shared" si="444"/>
        <v>5.0575871753820001E-2</v>
      </c>
      <c r="AG548">
        <f t="shared" si="421"/>
        <v>72.194216593386216</v>
      </c>
      <c r="AH548">
        <f t="shared" si="422"/>
        <v>-787.39655729273511</v>
      </c>
      <c r="AJ548">
        <f t="shared" si="445"/>
        <v>22100</v>
      </c>
      <c r="AK548">
        <f t="shared" si="446"/>
        <v>301229.68230736291</v>
      </c>
      <c r="AL548">
        <v>1</v>
      </c>
      <c r="AM548">
        <f t="shared" si="447"/>
        <v>361.47058216749906</v>
      </c>
      <c r="AN548">
        <f t="shared" si="423"/>
        <v>833.50770554963231</v>
      </c>
      <c r="AO548">
        <f t="shared" si="424"/>
        <v>-58.833258759065082</v>
      </c>
      <c r="AQ548">
        <f t="shared" si="448"/>
        <v>8.9641069091660772E-4</v>
      </c>
      <c r="AR548">
        <f t="shared" si="449"/>
        <v>-2.9940117076614698</v>
      </c>
      <c r="AT548">
        <f t="shared" si="470"/>
        <v>-2357.4097954392073</v>
      </c>
      <c r="AU548">
        <f t="shared" si="471"/>
        <v>-216.85616039799442</v>
      </c>
      <c r="AV548">
        <f t="shared" si="459"/>
        <v>-3.0498616493461697</v>
      </c>
      <c r="AW548">
        <f t="shared" si="460"/>
        <v>733.66995446282999</v>
      </c>
      <c r="AX548">
        <f t="shared" si="461"/>
        <v>-3502.4681523810186</v>
      </c>
      <c r="AY548">
        <f t="shared" si="469"/>
        <v>-1.3643096262835264</v>
      </c>
      <c r="BA548">
        <f t="shared" si="450"/>
        <v>0.66155454190327401</v>
      </c>
      <c r="BB548">
        <f t="shared" si="462"/>
        <v>-3.5886868913240324</v>
      </c>
      <c r="BC548">
        <f t="shared" si="463"/>
        <v>-1.6855520230626433</v>
      </c>
      <c r="BD548">
        <f t="shared" si="451"/>
        <v>-276.57501718158011</v>
      </c>
      <c r="BF548">
        <f t="shared" si="452"/>
        <v>-57.948361495618457</v>
      </c>
      <c r="BG548">
        <f t="shared" si="453"/>
        <v>-190.64545025293356</v>
      </c>
      <c r="BH548">
        <f t="shared" si="464"/>
        <v>-10.645450252933557</v>
      </c>
      <c r="BI548">
        <f t="shared" si="465"/>
        <v>-10.645450252933557</v>
      </c>
      <c r="BJ548">
        <f t="shared" si="454"/>
        <v>0</v>
      </c>
      <c r="BK548">
        <f t="shared" si="466"/>
        <v>0</v>
      </c>
      <c r="BM548">
        <f t="shared" si="467"/>
        <v>-54.359674604294419</v>
      </c>
      <c r="BN548">
        <f t="shared" si="455"/>
        <v>-94.070433071353435</v>
      </c>
      <c r="BQ548" s="56">
        <f t="shared" si="468"/>
        <v>13.313273908961104</v>
      </c>
    </row>
    <row r="549" spans="1:69" x14ac:dyDescent="0.25">
      <c r="A549">
        <f t="shared" si="472"/>
        <v>1675000</v>
      </c>
      <c r="B549">
        <f t="shared" si="456"/>
        <v>1675</v>
      </c>
      <c r="C549">
        <f t="shared" si="425"/>
        <v>13.92806781519325</v>
      </c>
      <c r="D549">
        <f t="shared" si="426"/>
        <v>1.498937030987612</v>
      </c>
      <c r="F549">
        <f t="shared" si="427"/>
        <v>9.1354314378707518E-6</v>
      </c>
      <c r="G549">
        <f t="shared" si="428"/>
        <v>1.0281610329112322E-3</v>
      </c>
      <c r="H549">
        <f t="shared" si="429"/>
        <v>-3.140564488967089</v>
      </c>
      <c r="J549">
        <f t="shared" si="430"/>
        <v>15</v>
      </c>
      <c r="M549">
        <f t="shared" si="431"/>
        <v>8.9200237116602286E-4</v>
      </c>
      <c r="N549">
        <f t="shared" si="432"/>
        <v>-1.5707963250000001</v>
      </c>
      <c r="O549">
        <f t="shared" si="433"/>
        <v>428.36266577183761</v>
      </c>
      <c r="P549">
        <f t="shared" si="434"/>
        <v>1.5684618541897912</v>
      </c>
      <c r="Q549">
        <f t="shared" si="435"/>
        <v>362.55420852623308</v>
      </c>
      <c r="R549">
        <f t="shared" si="436"/>
        <v>1.5680381150725133</v>
      </c>
      <c r="S549">
        <f t="shared" si="437"/>
        <v>7.2952037503642098E-2</v>
      </c>
      <c r="T549">
        <f t="shared" si="438"/>
        <v>-1.4977794253737331</v>
      </c>
      <c r="U549">
        <f t="shared" si="439"/>
        <v>9.3358625234318024E-2</v>
      </c>
      <c r="V549">
        <f t="shared" si="440"/>
        <v>-1.4773015505173119</v>
      </c>
      <c r="X549">
        <f t="shared" si="457"/>
        <v>-54.890927194579866</v>
      </c>
      <c r="Y549">
        <f t="shared" si="441"/>
        <v>-174.80969791849975</v>
      </c>
      <c r="Z549">
        <f t="shared" si="458"/>
        <v>5.1903020815002492</v>
      </c>
      <c r="AC549">
        <v>1</v>
      </c>
      <c r="AD549">
        <f t="shared" si="442"/>
        <v>428.36149853500501</v>
      </c>
      <c r="AE549">
        <f t="shared" si="443"/>
        <v>-0.54098640880690418</v>
      </c>
      <c r="AF549">
        <f t="shared" si="444"/>
        <v>5.0727296519549998E-2</v>
      </c>
      <c r="AG549">
        <f t="shared" si="421"/>
        <v>71.76760065036504</v>
      </c>
      <c r="AH549">
        <f t="shared" si="422"/>
        <v>-785.08612279742908</v>
      </c>
      <c r="AJ549">
        <f t="shared" si="445"/>
        <v>22100</v>
      </c>
      <c r="AK549">
        <f t="shared" si="446"/>
        <v>302131.56758373231</v>
      </c>
      <c r="AL549">
        <v>1</v>
      </c>
      <c r="AM549">
        <f t="shared" si="447"/>
        <v>362.55282941949753</v>
      </c>
      <c r="AN549">
        <f t="shared" si="423"/>
        <v>833.50673530076233</v>
      </c>
      <c r="AO549">
        <f t="shared" si="424"/>
        <v>-58.65763976728617</v>
      </c>
      <c r="AQ549">
        <f t="shared" si="448"/>
        <v>8.9106697339568072E-4</v>
      </c>
      <c r="AR549">
        <f t="shared" si="449"/>
        <v>-2.9850743608755304</v>
      </c>
      <c r="AT549">
        <f t="shared" si="470"/>
        <v>-2343.4765065030847</v>
      </c>
      <c r="AU549">
        <f t="shared" si="471"/>
        <v>-214.93118895825475</v>
      </c>
      <c r="AV549">
        <f t="shared" si="459"/>
        <v>-3.0501338424634938</v>
      </c>
      <c r="AW549">
        <f t="shared" si="460"/>
        <v>734.26805519026038</v>
      </c>
      <c r="AX549">
        <f t="shared" si="461"/>
        <v>-3492.051658803528</v>
      </c>
      <c r="AY549">
        <f t="shared" si="469"/>
        <v>-1.3635470993635028</v>
      </c>
      <c r="BA549">
        <f t="shared" si="450"/>
        <v>0.65948413462606059</v>
      </c>
      <c r="BB549">
        <f t="shared" si="462"/>
        <v>-3.6159129584473817</v>
      </c>
      <c r="BC549">
        <f t="shared" si="463"/>
        <v>-1.686586743099991</v>
      </c>
      <c r="BD549">
        <f t="shared" si="451"/>
        <v>-276.63430227276547</v>
      </c>
      <c r="BF549">
        <f t="shared" si="452"/>
        <v>-58.001689072928862</v>
      </c>
      <c r="BG549">
        <f t="shared" si="453"/>
        <v>-190.6926272552567</v>
      </c>
      <c r="BH549">
        <f t="shared" si="464"/>
        <v>-10.692627255256696</v>
      </c>
      <c r="BI549">
        <f t="shared" si="465"/>
        <v>-10.692627255256696</v>
      </c>
      <c r="BJ549">
        <f t="shared" si="454"/>
        <v>0</v>
      </c>
      <c r="BK549">
        <f t="shared" si="466"/>
        <v>0</v>
      </c>
      <c r="BM549">
        <f t="shared" si="467"/>
        <v>-54.385776114481487</v>
      </c>
      <c r="BN549">
        <f t="shared" si="455"/>
        <v>-94.058324982491229</v>
      </c>
      <c r="BQ549" s="56">
        <f t="shared" si="468"/>
        <v>13.286047841837757</v>
      </c>
    </row>
    <row r="550" spans="1:69" x14ac:dyDescent="0.25">
      <c r="A550">
        <f t="shared" si="472"/>
        <v>1680000</v>
      </c>
      <c r="B550">
        <f t="shared" si="456"/>
        <v>1680</v>
      </c>
      <c r="C550">
        <f t="shared" si="425"/>
        <v>13.969430133520929</v>
      </c>
      <c r="D550">
        <f t="shared" si="426"/>
        <v>1.4991501657278816</v>
      </c>
      <c r="F550">
        <f t="shared" si="427"/>
        <v>9.081134321341193E-6</v>
      </c>
      <c r="G550">
        <f t="shared" si="428"/>
        <v>1.0251009759970323E-3</v>
      </c>
      <c r="H550">
        <f t="shared" si="429"/>
        <v>-3.140567549024003</v>
      </c>
      <c r="J550">
        <f t="shared" si="430"/>
        <v>15</v>
      </c>
      <c r="M550">
        <f t="shared" si="431"/>
        <v>8.8934760220421918E-4</v>
      </c>
      <c r="N550">
        <f t="shared" si="432"/>
        <v>-1.5707963250000001</v>
      </c>
      <c r="O550">
        <f t="shared" si="433"/>
        <v>429.64135333833087</v>
      </c>
      <c r="P550">
        <f t="shared" si="434"/>
        <v>1.5684688019997952</v>
      </c>
      <c r="Q550">
        <f t="shared" si="435"/>
        <v>363.63645167376274</v>
      </c>
      <c r="R550">
        <f t="shared" si="436"/>
        <v>1.5680463239945241</v>
      </c>
      <c r="S550">
        <f t="shared" si="437"/>
        <v>7.2736068726412306E-2</v>
      </c>
      <c r="T550">
        <f t="shared" si="438"/>
        <v>-1.4979959694346763</v>
      </c>
      <c r="U550">
        <f t="shared" si="439"/>
        <v>9.3083183196938105E-2</v>
      </c>
      <c r="V550">
        <f t="shared" si="440"/>
        <v>-1.477578197227398</v>
      </c>
      <c r="X550">
        <f t="shared" si="457"/>
        <v>-54.942477496521285</v>
      </c>
      <c r="Y550">
        <f t="shared" si="441"/>
        <v>-174.8250508586776</v>
      </c>
      <c r="Z550">
        <f t="shared" si="458"/>
        <v>5.1749491413224007</v>
      </c>
      <c r="AC550">
        <v>1</v>
      </c>
      <c r="AD550">
        <f t="shared" si="442"/>
        <v>429.64018957540799</v>
      </c>
      <c r="AE550">
        <f t="shared" si="443"/>
        <v>-0.54422099896337062</v>
      </c>
      <c r="AF550">
        <f t="shared" si="444"/>
        <v>5.0878721285280003E-2</v>
      </c>
      <c r="AG550">
        <f t="shared" si="421"/>
        <v>71.344744102163375</v>
      </c>
      <c r="AH550">
        <f t="shared" si="422"/>
        <v>-782.78908942603562</v>
      </c>
      <c r="AJ550">
        <f t="shared" si="445"/>
        <v>22100</v>
      </c>
      <c r="AK550">
        <f t="shared" si="446"/>
        <v>303033.45286010165</v>
      </c>
      <c r="AL550">
        <v>1</v>
      </c>
      <c r="AM550">
        <f t="shared" si="447"/>
        <v>363.63507667149605</v>
      </c>
      <c r="AN550">
        <f t="shared" si="423"/>
        <v>833.50577370184351</v>
      </c>
      <c r="AO550">
        <f t="shared" si="424"/>
        <v>-58.483066102861351</v>
      </c>
      <c r="AQ550">
        <f t="shared" si="448"/>
        <v>8.8577089659767428E-4</v>
      </c>
      <c r="AR550">
        <f t="shared" si="449"/>
        <v>-2.9761902125681856</v>
      </c>
      <c r="AT550">
        <f t="shared" si="470"/>
        <v>-2329.6660313569782</v>
      </c>
      <c r="AU550">
        <f t="shared" si="471"/>
        <v>-213.0289009086282</v>
      </c>
      <c r="AV550">
        <f t="shared" si="459"/>
        <v>-3.0504044297785642</v>
      </c>
      <c r="AW550">
        <f t="shared" si="460"/>
        <v>734.86077776315506</v>
      </c>
      <c r="AX550">
        <f t="shared" si="461"/>
        <v>-3481.6968290478799</v>
      </c>
      <c r="AY550">
        <f t="shared" si="469"/>
        <v>-1.3627853139672839</v>
      </c>
      <c r="BA550">
        <f t="shared" si="450"/>
        <v>0.65742568067658869</v>
      </c>
      <c r="BB550">
        <f t="shared" si="462"/>
        <v>-3.6430667060827249</v>
      </c>
      <c r="BC550">
        <f t="shared" si="463"/>
        <v>-1.6876191158112803</v>
      </c>
      <c r="BD550">
        <f t="shared" si="451"/>
        <v>-276.69345287207443</v>
      </c>
      <c r="BF550">
        <f t="shared" si="452"/>
        <v>-58.05486573646202</v>
      </c>
      <c r="BG550">
        <f t="shared" si="453"/>
        <v>-190.73974146181308</v>
      </c>
      <c r="BH550">
        <f t="shared" si="464"/>
        <v>-10.739741461813082</v>
      </c>
      <c r="BI550">
        <f t="shared" si="465"/>
        <v>-10.739741461813082</v>
      </c>
      <c r="BJ550">
        <f t="shared" si="454"/>
        <v>0</v>
      </c>
      <c r="BK550">
        <f t="shared" si="466"/>
        <v>0</v>
      </c>
      <c r="BM550">
        <f t="shared" si="467"/>
        <v>-54.411799030379285</v>
      </c>
      <c r="BN550">
        <f t="shared" si="455"/>
        <v>-94.046288589738666</v>
      </c>
      <c r="BQ550" s="56">
        <f t="shared" si="468"/>
        <v>13.258894094202411</v>
      </c>
    </row>
    <row r="551" spans="1:69" x14ac:dyDescent="0.25">
      <c r="A551">
        <f t="shared" si="472"/>
        <v>1685000</v>
      </c>
      <c r="B551">
        <f t="shared" si="456"/>
        <v>1685</v>
      </c>
      <c r="C551">
        <f t="shared" si="425"/>
        <v>14.010793082682968</v>
      </c>
      <c r="D551">
        <f t="shared" si="426"/>
        <v>1.4993620420362725</v>
      </c>
      <c r="F551">
        <f t="shared" si="427"/>
        <v>9.0273198499442768E-6</v>
      </c>
      <c r="G551">
        <f t="shared" si="428"/>
        <v>1.0220590801351531E-3</v>
      </c>
      <c r="H551">
        <f t="shared" si="429"/>
        <v>-3.1405705909198649</v>
      </c>
      <c r="J551">
        <f t="shared" si="430"/>
        <v>15</v>
      </c>
      <c r="M551">
        <f t="shared" si="431"/>
        <v>8.8670858854782684E-4</v>
      </c>
      <c r="N551">
        <f t="shared" si="432"/>
        <v>-1.5707963250000001</v>
      </c>
      <c r="O551">
        <f t="shared" si="433"/>
        <v>430.92004092544079</v>
      </c>
      <c r="P551">
        <f t="shared" si="434"/>
        <v>1.5684757085767285</v>
      </c>
      <c r="Q551">
        <f t="shared" si="435"/>
        <v>364.71869484565121</v>
      </c>
      <c r="R551">
        <f t="shared" si="436"/>
        <v>1.5680544841992643</v>
      </c>
      <c r="S551">
        <f t="shared" si="437"/>
        <v>7.252137152144908E-2</v>
      </c>
      <c r="T551">
        <f t="shared" si="438"/>
        <v>-1.4982112351466472</v>
      </c>
      <c r="U551">
        <f t="shared" si="439"/>
        <v>9.2809354647148692E-2</v>
      </c>
      <c r="V551">
        <f t="shared" si="440"/>
        <v>-1.4778532163009981</v>
      </c>
      <c r="X551">
        <f t="shared" si="457"/>
        <v>-54.99387594305017</v>
      </c>
      <c r="Y551">
        <f t="shared" si="441"/>
        <v>-174.84031351421197</v>
      </c>
      <c r="Z551">
        <f t="shared" si="458"/>
        <v>5.1596864857880291</v>
      </c>
      <c r="AC551">
        <v>1</v>
      </c>
      <c r="AD551">
        <f t="shared" si="442"/>
        <v>430.91888061581102</v>
      </c>
      <c r="AE551">
        <f t="shared" si="443"/>
        <v>-0.54746523022313487</v>
      </c>
      <c r="AF551">
        <f t="shared" si="444"/>
        <v>5.103014605101E-2</v>
      </c>
      <c r="AG551">
        <f t="shared" si="421"/>
        <v>70.925603035462572</v>
      </c>
      <c r="AH551">
        <f t="shared" si="422"/>
        <v>-780.50534197395041</v>
      </c>
      <c r="AJ551">
        <f t="shared" si="445"/>
        <v>22100</v>
      </c>
      <c r="AK551">
        <f t="shared" si="446"/>
        <v>303935.33813647099</v>
      </c>
      <c r="AL551">
        <v>1</v>
      </c>
      <c r="AM551">
        <f t="shared" si="447"/>
        <v>364.71732392349452</v>
      </c>
      <c r="AN551">
        <f t="shared" si="423"/>
        <v>833.50482065035965</v>
      </c>
      <c r="AO551">
        <f t="shared" si="424"/>
        <v>-58.309528460486945</v>
      </c>
      <c r="AQ551">
        <f t="shared" si="448"/>
        <v>8.8052189589395906E-4</v>
      </c>
      <c r="AR551">
        <f t="shared" si="449"/>
        <v>-2.9673587891626423</v>
      </c>
      <c r="AT551">
        <f t="shared" si="470"/>
        <v>-2315.9769349483431</v>
      </c>
      <c r="AU551">
        <f t="shared" si="471"/>
        <v>-211.14896358741072</v>
      </c>
      <c r="AV551">
        <f t="shared" si="459"/>
        <v>-3.0506734254177275</v>
      </c>
      <c r="AW551">
        <f t="shared" si="460"/>
        <v>735.44818659261557</v>
      </c>
      <c r="AX551">
        <f t="shared" si="461"/>
        <v>-3471.4031181225737</v>
      </c>
      <c r="AY551">
        <f t="shared" si="469"/>
        <v>-1.3620242658157422</v>
      </c>
      <c r="BA551">
        <f t="shared" si="450"/>
        <v>0.65537907528742234</v>
      </c>
      <c r="BB551">
        <f t="shared" si="462"/>
        <v>-3.6701485746748554</v>
      </c>
      <c r="BC551">
        <f t="shared" si="463"/>
        <v>-1.6886491596019853</v>
      </c>
      <c r="BD551">
        <f t="shared" si="451"/>
        <v>-276.75247003406292</v>
      </c>
      <c r="BF551">
        <f t="shared" si="452"/>
        <v>-58.107892400802861</v>
      </c>
      <c r="BG551">
        <f t="shared" si="453"/>
        <v>-190.78679329333286</v>
      </c>
      <c r="BH551">
        <f t="shared" si="464"/>
        <v>-10.786793293332863</v>
      </c>
      <c r="BI551">
        <f t="shared" si="465"/>
        <v>-10.786793293332863</v>
      </c>
      <c r="BJ551">
        <f t="shared" si="454"/>
        <v>0</v>
      </c>
      <c r="BK551">
        <f t="shared" si="466"/>
        <v>0</v>
      </c>
      <c r="BM551">
        <f t="shared" si="467"/>
        <v>-54.437743826128006</v>
      </c>
      <c r="BN551">
        <f t="shared" si="455"/>
        <v>-94.034323259269968</v>
      </c>
      <c r="BQ551" s="56">
        <f t="shared" si="468"/>
        <v>13.23181222561028</v>
      </c>
    </row>
    <row r="552" spans="1:69" x14ac:dyDescent="0.25">
      <c r="A552">
        <f t="shared" si="472"/>
        <v>1690000</v>
      </c>
      <c r="B552">
        <f t="shared" si="456"/>
        <v>1690</v>
      </c>
      <c r="C552">
        <f t="shared" si="425"/>
        <v>14.052156657108725</v>
      </c>
      <c r="D552">
        <f t="shared" si="426"/>
        <v>1.499572671006542</v>
      </c>
      <c r="F552">
        <f t="shared" si="427"/>
        <v>8.9739823202799319E-6</v>
      </c>
      <c r="G552">
        <f t="shared" si="428"/>
        <v>1.0190351841272004E-3</v>
      </c>
      <c r="H552">
        <f t="shared" si="429"/>
        <v>-3.1405736148158732</v>
      </c>
      <c r="J552">
        <f t="shared" si="430"/>
        <v>15</v>
      </c>
      <c r="M552">
        <f t="shared" si="431"/>
        <v>8.8408519035685707E-4</v>
      </c>
      <c r="N552">
        <f t="shared" si="432"/>
        <v>-1.5707963250000001</v>
      </c>
      <c r="O552">
        <f t="shared" si="433"/>
        <v>432.19872853298421</v>
      </c>
      <c r="P552">
        <f t="shared" si="434"/>
        <v>1.5684825742865618</v>
      </c>
      <c r="Q552">
        <f t="shared" si="435"/>
        <v>365.80093804168217</v>
      </c>
      <c r="R552">
        <f t="shared" si="436"/>
        <v>1.5680625961191312</v>
      </c>
      <c r="S552">
        <f t="shared" si="437"/>
        <v>7.2307934721310779E-2</v>
      </c>
      <c r="T552">
        <f t="shared" si="438"/>
        <v>-1.4984252337764892</v>
      </c>
      <c r="U552">
        <f t="shared" si="439"/>
        <v>9.2537125510952237E-2</v>
      </c>
      <c r="V552">
        <f t="shared" si="440"/>
        <v>-1.478126622018914</v>
      </c>
      <c r="X552">
        <f t="shared" si="457"/>
        <v>-55.045123422328018</v>
      </c>
      <c r="Y552">
        <f t="shared" si="441"/>
        <v>-174.85548667674254</v>
      </c>
      <c r="Z552">
        <f t="shared" si="458"/>
        <v>5.1445133232574562</v>
      </c>
      <c r="AC552">
        <v>1</v>
      </c>
      <c r="AD552">
        <f t="shared" si="442"/>
        <v>432.197571656214</v>
      </c>
      <c r="AE552">
        <f t="shared" si="443"/>
        <v>-0.55071910258619716</v>
      </c>
      <c r="AF552">
        <f t="shared" si="444"/>
        <v>5.1181570816740005E-2</v>
      </c>
      <c r="AG552">
        <f t="shared" ref="AG552:AG615" si="473">AC552*AE552/(AE552^2+AF552^2)+AD552*AF552/(AE552^2+AF552^2)</f>
        <v>70.510134174388625</v>
      </c>
      <c r="AH552">
        <f t="shared" ref="AH552:AH615" si="474">AD552*AE552/(AE552^2+AF552^2)-AC552*AF552/(AE552^2+AF552^2)</f>
        <v>-778.23476654069395</v>
      </c>
      <c r="AJ552">
        <f t="shared" si="445"/>
        <v>22100</v>
      </c>
      <c r="AK552">
        <f t="shared" si="446"/>
        <v>304837.22341284034</v>
      </c>
      <c r="AL552">
        <v>1</v>
      </c>
      <c r="AM552">
        <f t="shared" si="447"/>
        <v>365.79957117549304</v>
      </c>
      <c r="AN552">
        <f t="shared" ref="AN552:AN615" si="475">AJ552*AL552/(AL552^2+AM552^2)+AK552*AM552/(AL552^2+AM552^2)</f>
        <v>833.50387604530897</v>
      </c>
      <c r="AO552">
        <f t="shared" ref="AO552:AO615" si="476">AK552*AL552/(AL552^2+AM552^2)-AJ552*AM552/(AL552^2+AM552^2)</f>
        <v>-58.137017644977085</v>
      </c>
      <c r="AQ552">
        <f t="shared" si="448"/>
        <v>8.7531941499602469E-4</v>
      </c>
      <c r="AR552">
        <f t="shared" si="449"/>
        <v>-2.9585796226865635</v>
      </c>
      <c r="AT552">
        <f t="shared" si="470"/>
        <v>-2302.4078030641354</v>
      </c>
      <c r="AU552">
        <f t="shared" si="471"/>
        <v>-209.29105016181964</v>
      </c>
      <c r="AV552">
        <f t="shared" si="459"/>
        <v>-3.050940843342612</v>
      </c>
      <c r="AW552">
        <f t="shared" si="460"/>
        <v>736.0303451266434</v>
      </c>
      <c r="AX552">
        <f t="shared" si="461"/>
        <v>-3461.1699874287046</v>
      </c>
      <c r="AY552">
        <f t="shared" si="469"/>
        <v>-1.3612639506874429</v>
      </c>
      <c r="BA552">
        <f t="shared" si="450"/>
        <v>0.65334421491370953</v>
      </c>
      <c r="BB552">
        <f t="shared" si="462"/>
        <v>-3.6971590008058635</v>
      </c>
      <c r="BC552">
        <f t="shared" si="463"/>
        <v>-1.6896768926551691</v>
      </c>
      <c r="BD552">
        <f t="shared" si="451"/>
        <v>-276.81135480054371</v>
      </c>
      <c r="BF552">
        <f t="shared" si="452"/>
        <v>-58.160769972377047</v>
      </c>
      <c r="BG552">
        <f t="shared" si="453"/>
        <v>-190.83378316523942</v>
      </c>
      <c r="BH552">
        <f t="shared" si="464"/>
        <v>-10.833783165239424</v>
      </c>
      <c r="BI552">
        <f t="shared" si="465"/>
        <v>-10.833783165239424</v>
      </c>
      <c r="BJ552">
        <f t="shared" si="454"/>
        <v>0</v>
      </c>
      <c r="BK552">
        <f t="shared" si="466"/>
        <v>0</v>
      </c>
      <c r="BM552">
        <f t="shared" si="467"/>
        <v>-54.463610971571171</v>
      </c>
      <c r="BN552">
        <f t="shared" si="455"/>
        <v>-94.022428364695713</v>
      </c>
      <c r="BQ552" s="56">
        <f t="shared" si="468"/>
        <v>13.204801799479274</v>
      </c>
    </row>
    <row r="553" spans="1:69" x14ac:dyDescent="0.25">
      <c r="A553">
        <f t="shared" si="472"/>
        <v>1695000</v>
      </c>
      <c r="B553">
        <f t="shared" si="456"/>
        <v>1695</v>
      </c>
      <c r="C553">
        <f t="shared" si="425"/>
        <v>14.093520851292874</v>
      </c>
      <c r="D553">
        <f t="shared" si="426"/>
        <v>1.499782063602654</v>
      </c>
      <c r="F553">
        <f t="shared" si="427"/>
        <v>8.9211161129462061E-6</v>
      </c>
      <c r="G553">
        <f t="shared" si="428"/>
        <v>1.0160291286769091E-3</v>
      </c>
      <c r="H553">
        <f t="shared" si="429"/>
        <v>-3.1405766208713235</v>
      </c>
      <c r="J553">
        <f t="shared" si="430"/>
        <v>15</v>
      </c>
      <c r="M553">
        <f t="shared" si="431"/>
        <v>8.8147726944135007E-4</v>
      </c>
      <c r="N553">
        <f t="shared" si="432"/>
        <v>-1.5707963250000001</v>
      </c>
      <c r="O553">
        <f t="shared" si="433"/>
        <v>433.47741616078054</v>
      </c>
      <c r="P553">
        <f t="shared" si="434"/>
        <v>1.5684893994909486</v>
      </c>
      <c r="Q553">
        <f t="shared" si="435"/>
        <v>366.88318126164205</v>
      </c>
      <c r="R553">
        <f t="shared" si="436"/>
        <v>1.5680706601814203</v>
      </c>
      <c r="S553">
        <f t="shared" si="437"/>
        <v>7.2095747288595677E-2</v>
      </c>
      <c r="T553">
        <f t="shared" si="438"/>
        <v>-1.4986379764592614</v>
      </c>
      <c r="U553">
        <f t="shared" si="439"/>
        <v>9.2266481876837114E-2</v>
      </c>
      <c r="V553">
        <f t="shared" si="440"/>
        <v>-1.4783984284958513</v>
      </c>
      <c r="X553">
        <f t="shared" si="457"/>
        <v>-55.096220814780771</v>
      </c>
      <c r="Y553">
        <f t="shared" si="441"/>
        <v>-174.870571128709</v>
      </c>
      <c r="Z553">
        <f t="shared" si="458"/>
        <v>5.1294288712909974</v>
      </c>
      <c r="AC553">
        <v>1</v>
      </c>
      <c r="AD553">
        <f t="shared" si="442"/>
        <v>433.47626269661703</v>
      </c>
      <c r="AE553">
        <f t="shared" si="443"/>
        <v>-0.55398261605255728</v>
      </c>
      <c r="AF553">
        <f t="shared" si="444"/>
        <v>5.1332995582469995E-2</v>
      </c>
      <c r="AG553">
        <f t="shared" si="473"/>
        <v>70.098294869473435</v>
      </c>
      <c r="AH553">
        <f t="shared" si="474"/>
        <v>-775.97725051170266</v>
      </c>
      <c r="AJ553">
        <f t="shared" si="445"/>
        <v>22100</v>
      </c>
      <c r="AK553">
        <f t="shared" si="446"/>
        <v>305739.10868920968</v>
      </c>
      <c r="AL553">
        <v>1</v>
      </c>
      <c r="AM553">
        <f t="shared" si="447"/>
        <v>366.88181842749151</v>
      </c>
      <c r="AN553">
        <f t="shared" si="475"/>
        <v>833.50293978717662</v>
      </c>
      <c r="AO553">
        <f t="shared" si="476"/>
        <v>-57.965524569639619</v>
      </c>
      <c r="AQ553">
        <f t="shared" si="448"/>
        <v>8.7016290580808507E-4</v>
      </c>
      <c r="AR553">
        <f t="shared" si="449"/>
        <v>-2.9498522506894083</v>
      </c>
      <c r="AT553">
        <f t="shared" si="470"/>
        <v>-2288.9572419697693</v>
      </c>
      <c r="AU553">
        <f t="shared" si="471"/>
        <v>-207.45483950935224</v>
      </c>
      <c r="AV553">
        <f t="shared" si="459"/>
        <v>-3.0512066973525145</v>
      </c>
      <c r="AW553">
        <f t="shared" si="460"/>
        <v>736.60731586739644</v>
      </c>
      <c r="AX553">
        <f t="shared" si="461"/>
        <v>-3450.9969046666647</v>
      </c>
      <c r="AY553">
        <f t="shared" si="469"/>
        <v>-1.3605043644177375</v>
      </c>
      <c r="BA553">
        <f t="shared" si="450"/>
        <v>0.65132099721546444</v>
      </c>
      <c r="BB553">
        <f t="shared" si="462"/>
        <v>-3.7240984172393174</v>
      </c>
      <c r="BC553">
        <f t="shared" si="463"/>
        <v>-1.690702332934777</v>
      </c>
      <c r="BD553">
        <f t="shared" si="451"/>
        <v>-276.87010820077512</v>
      </c>
      <c r="BF553">
        <f t="shared" si="452"/>
        <v>-58.213499349547028</v>
      </c>
      <c r="BG553">
        <f t="shared" si="453"/>
        <v>-190.88071148772909</v>
      </c>
      <c r="BH553">
        <f t="shared" si="464"/>
        <v>-10.880711487729087</v>
      </c>
      <c r="BI553">
        <f t="shared" si="465"/>
        <v>-10.880711487729087</v>
      </c>
      <c r="BJ553">
        <f t="shared" si="454"/>
        <v>0</v>
      </c>
      <c r="BK553">
        <f t="shared" si="466"/>
        <v>0</v>
      </c>
      <c r="BM553">
        <f t="shared" si="467"/>
        <v>-54.489400932307703</v>
      </c>
      <c r="BN553">
        <f t="shared" si="455"/>
        <v>-94.010603286953994</v>
      </c>
      <c r="BQ553" s="56">
        <f t="shared" si="468"/>
        <v>13.17786238304582</v>
      </c>
    </row>
    <row r="554" spans="1:69" x14ac:dyDescent="0.25">
      <c r="A554">
        <f t="shared" si="472"/>
        <v>1700000</v>
      </c>
      <c r="B554">
        <f t="shared" si="456"/>
        <v>1700</v>
      </c>
      <c r="C554">
        <f t="shared" si="425"/>
        <v>14.134885659794453</v>
      </c>
      <c r="D554">
        <f t="shared" si="426"/>
        <v>1.4999902306606672</v>
      </c>
      <c r="F554">
        <f t="shared" si="427"/>
        <v>8.8687156910590921E-6</v>
      </c>
      <c r="G554">
        <f t="shared" si="428"/>
        <v>1.0130407563621675E-3</v>
      </c>
      <c r="H554">
        <f t="shared" si="429"/>
        <v>-3.140579609243638</v>
      </c>
      <c r="J554">
        <f t="shared" si="430"/>
        <v>15</v>
      </c>
      <c r="M554">
        <f t="shared" si="431"/>
        <v>8.7888468923711077E-4</v>
      </c>
      <c r="N554">
        <f t="shared" si="432"/>
        <v>-1.5707963250000001</v>
      </c>
      <c r="O554">
        <f t="shared" si="433"/>
        <v>434.75610380865078</v>
      </c>
      <c r="P554">
        <f t="shared" si="434"/>
        <v>1.5684961845472873</v>
      </c>
      <c r="Q554">
        <f t="shared" si="435"/>
        <v>367.96542450531962</v>
      </c>
      <c r="R554">
        <f t="shared" si="436"/>
        <v>1.5680786768084003</v>
      </c>
      <c r="S554">
        <f t="shared" si="437"/>
        <v>7.1884798314059611E-2</v>
      </c>
      <c r="T554">
        <f t="shared" si="438"/>
        <v>-1.4988494742001592</v>
      </c>
      <c r="U554">
        <f t="shared" si="439"/>
        <v>9.1997409993450116E-2</v>
      </c>
      <c r="V554">
        <f t="shared" si="440"/>
        <v>-1.4786686496828185</v>
      </c>
      <c r="X554">
        <f t="shared" si="457"/>
        <v>-55.147168993188018</v>
      </c>
      <c r="Y554">
        <f t="shared" si="441"/>
        <v>-174.88556764348394</v>
      </c>
      <c r="Z554">
        <f t="shared" si="458"/>
        <v>5.1144323565160619</v>
      </c>
      <c r="AC554">
        <v>1</v>
      </c>
      <c r="AD554">
        <f t="shared" si="442"/>
        <v>434.75495373702</v>
      </c>
      <c r="AE554">
        <f t="shared" si="443"/>
        <v>-0.55725577062221543</v>
      </c>
      <c r="AF554">
        <f t="shared" si="444"/>
        <v>5.14844203482E-2</v>
      </c>
      <c r="AG554">
        <f t="shared" si="473"/>
        <v>69.690043086837676</v>
      </c>
      <c r="AH554">
        <f t="shared" si="474"/>
        <v>-773.73268254041534</v>
      </c>
      <c r="AJ554">
        <f t="shared" si="445"/>
        <v>22100</v>
      </c>
      <c r="AK554">
        <f t="shared" si="446"/>
        <v>306640.99396557902</v>
      </c>
      <c r="AL554">
        <v>1</v>
      </c>
      <c r="AM554">
        <f t="shared" si="447"/>
        <v>367.96406567949003</v>
      </c>
      <c r="AN554">
        <f t="shared" si="475"/>
        <v>833.50201177790927</v>
      </c>
      <c r="AO554">
        <f t="shared" si="476"/>
        <v>-57.795040254680679</v>
      </c>
      <c r="AQ554">
        <f t="shared" si="448"/>
        <v>8.6505182828271383E-4</v>
      </c>
      <c r="AR554">
        <f t="shared" si="449"/>
        <v>-2.9411762161612272</v>
      </c>
      <c r="AT554">
        <f t="shared" si="470"/>
        <v>-2275.6238780553094</v>
      </c>
      <c r="AU554">
        <f t="shared" si="471"/>
        <v>-205.64001610189177</v>
      </c>
      <c r="AV554">
        <f t="shared" si="459"/>
        <v>-3.0514710010867461</v>
      </c>
      <c r="AW554">
        <f t="shared" si="460"/>
        <v>737.17916038808698</v>
      </c>
      <c r="AX554">
        <f t="shared" si="461"/>
        <v>-3440.8833437444646</v>
      </c>
      <c r="AY554">
        <f t="shared" si="469"/>
        <v>-1.3597455028978747</v>
      </c>
      <c r="BA554">
        <f t="shared" si="450"/>
        <v>0.64930932104015104</v>
      </c>
      <c r="BB554">
        <f t="shared" si="462"/>
        <v>-3.7509672529638749</v>
      </c>
      <c r="BC554">
        <f t="shared" si="463"/>
        <v>-1.6917254981888714</v>
      </c>
      <c r="BD554">
        <f t="shared" si="451"/>
        <v>-276.92873125164613</v>
      </c>
      <c r="BF554">
        <f t="shared" si="452"/>
        <v>-58.26608142270689</v>
      </c>
      <c r="BG554">
        <f t="shared" si="453"/>
        <v>-190.92757866585009</v>
      </c>
      <c r="BH554">
        <f t="shared" si="464"/>
        <v>-10.927578665850092</v>
      </c>
      <c r="BI554">
        <f t="shared" si="465"/>
        <v>-10.927578665850092</v>
      </c>
      <c r="BJ554">
        <f t="shared" si="454"/>
        <v>0</v>
      </c>
      <c r="BK554">
        <f t="shared" si="466"/>
        <v>0</v>
      </c>
      <c r="BM554">
        <f t="shared" si="467"/>
        <v>-54.515114169743015</v>
      </c>
      <c r="BN554">
        <f t="shared" si="455"/>
        <v>-93.998847414203979</v>
      </c>
      <c r="BQ554" s="56">
        <f t="shared" si="468"/>
        <v>13.150993547321262</v>
      </c>
    </row>
    <row r="555" spans="1:69" x14ac:dyDescent="0.25">
      <c r="A555">
        <f t="shared" si="472"/>
        <v>1705000</v>
      </c>
      <c r="B555">
        <f t="shared" si="456"/>
        <v>1705</v>
      </c>
      <c r="C555">
        <f t="shared" si="425"/>
        <v>14.176251077235916</v>
      </c>
      <c r="D555">
        <f t="shared" si="426"/>
        <v>1.5001971828905925</v>
      </c>
      <c r="F555">
        <f t="shared" si="427"/>
        <v>8.8167755988027151E-6</v>
      </c>
      <c r="G555">
        <f t="shared" si="428"/>
        <v>1.0100699116075379E-3</v>
      </c>
      <c r="H555">
        <f t="shared" si="429"/>
        <v>-3.1405825800883926</v>
      </c>
      <c r="J555">
        <f t="shared" si="430"/>
        <v>15</v>
      </c>
      <c r="M555">
        <f t="shared" si="431"/>
        <v>8.7630731478186995E-4</v>
      </c>
      <c r="N555">
        <f t="shared" si="432"/>
        <v>-1.5707963250000001</v>
      </c>
      <c r="O555">
        <f t="shared" si="433"/>
        <v>436.03479147641866</v>
      </c>
      <c r="P555">
        <f t="shared" si="434"/>
        <v>1.5685029298087843</v>
      </c>
      <c r="Q555">
        <f t="shared" si="435"/>
        <v>369.04766777250632</v>
      </c>
      <c r="R555">
        <f t="shared" si="436"/>
        <v>1.5680866464173866</v>
      </c>
      <c r="S555">
        <f t="shared" si="437"/>
        <v>7.1675077014766289E-2</v>
      </c>
      <c r="T555">
        <f t="shared" si="438"/>
        <v>-1.4990597378763966</v>
      </c>
      <c r="U555">
        <f t="shared" si="439"/>
        <v>9.1729896267308597E-2</v>
      </c>
      <c r="V555">
        <f t="shared" si="440"/>
        <v>-1.4789372993694869</v>
      </c>
      <c r="X555">
        <f t="shared" si="457"/>
        <v>-55.197968822770925</v>
      </c>
      <c r="Y555">
        <f t="shared" si="441"/>
        <v>-174.90047698550356</v>
      </c>
      <c r="Z555">
        <f t="shared" si="458"/>
        <v>5.099523014496441</v>
      </c>
      <c r="AC555">
        <v>1</v>
      </c>
      <c r="AD555">
        <f t="shared" si="442"/>
        <v>436.03364477742298</v>
      </c>
      <c r="AE555">
        <f t="shared" si="443"/>
        <v>-0.5605385662951714</v>
      </c>
      <c r="AF555">
        <f t="shared" si="444"/>
        <v>5.1635845113929997E-2</v>
      </c>
      <c r="AG555">
        <f t="shared" si="473"/>
        <v>69.285337397590439</v>
      </c>
      <c r="AH555">
        <f t="shared" si="474"/>
        <v>-771.50095253065876</v>
      </c>
      <c r="AJ555">
        <f t="shared" si="445"/>
        <v>22100</v>
      </c>
      <c r="AK555">
        <f t="shared" si="446"/>
        <v>307542.87924194837</v>
      </c>
      <c r="AL555">
        <v>1</v>
      </c>
      <c r="AM555">
        <f t="shared" si="447"/>
        <v>369.04631293148856</v>
      </c>
      <c r="AN555">
        <f t="shared" si="475"/>
        <v>833.50109192088951</v>
      </c>
      <c r="AO555">
        <f t="shared" si="476"/>
        <v>-57.625555825637306</v>
      </c>
      <c r="AQ555">
        <f t="shared" si="448"/>
        <v>8.5998565027943941E-4</v>
      </c>
      <c r="AR555">
        <f t="shared" si="449"/>
        <v>-2.9325510674528883</v>
      </c>
      <c r="AT555">
        <f t="shared" si="470"/>
        <v>-2262.4063574887668</v>
      </c>
      <c r="AU555">
        <f t="shared" si="471"/>
        <v>-203.84626989249065</v>
      </c>
      <c r="AV555">
        <f t="shared" si="459"/>
        <v>-3.0517337680269376</v>
      </c>
      <c r="AW555">
        <f t="shared" si="460"/>
        <v>737.74593934952782</v>
      </c>
      <c r="AX555">
        <f t="shared" si="461"/>
        <v>-3430.8287846876492</v>
      </c>
      <c r="AY555">
        <f t="shared" si="469"/>
        <v>-1.3589873620741268</v>
      </c>
      <c r="BA555">
        <f t="shared" si="450"/>
        <v>0.64730908640557117</v>
      </c>
      <c r="BB555">
        <f t="shared" si="462"/>
        <v>-3.7777659332362279</v>
      </c>
      <c r="BC555">
        <f t="shared" si="463"/>
        <v>-1.6927464059528108</v>
      </c>
      <c r="BD555">
        <f t="shared" si="451"/>
        <v>-276.98722495785887</v>
      </c>
      <c r="BF555">
        <f t="shared" si="452"/>
        <v>-58.318517074375706</v>
      </c>
      <c r="BG555">
        <f t="shared" si="453"/>
        <v>-190.97438509957993</v>
      </c>
      <c r="BH555">
        <f t="shared" si="464"/>
        <v>-10.974385099579933</v>
      </c>
      <c r="BI555">
        <f t="shared" si="465"/>
        <v>-10.974385099579933</v>
      </c>
      <c r="BJ555">
        <f t="shared" si="454"/>
        <v>0</v>
      </c>
      <c r="BK555">
        <f t="shared" si="466"/>
        <v>0</v>
      </c>
      <c r="BM555">
        <f t="shared" si="467"/>
        <v>-54.540751141139474</v>
      </c>
      <c r="BN555">
        <f t="shared" si="455"/>
        <v>-93.98716014172112</v>
      </c>
      <c r="BQ555" s="56">
        <f t="shared" si="468"/>
        <v>13.124194867048908</v>
      </c>
    </row>
    <row r="556" spans="1:69" x14ac:dyDescent="0.25">
      <c r="A556">
        <f t="shared" si="472"/>
        <v>1710000</v>
      </c>
      <c r="B556">
        <f t="shared" si="456"/>
        <v>1710</v>
      </c>
      <c r="C556">
        <f t="shared" si="425"/>
        <v>14.217617098302231</v>
      </c>
      <c r="D556">
        <f t="shared" si="426"/>
        <v>1.500402930878217</v>
      </c>
      <c r="F556">
        <f t="shared" si="427"/>
        <v>8.7652904600091262E-6</v>
      </c>
      <c r="G556">
        <f t="shared" si="428"/>
        <v>1.0071164406572561E-3</v>
      </c>
      <c r="H556">
        <f t="shared" si="429"/>
        <v>-3.1405855335593431</v>
      </c>
      <c r="J556">
        <f t="shared" si="430"/>
        <v>15</v>
      </c>
      <c r="M556">
        <f t="shared" si="431"/>
        <v>8.7374501269186448E-4</v>
      </c>
      <c r="N556">
        <f t="shared" si="432"/>
        <v>-1.5707963250000001</v>
      </c>
      <c r="O556">
        <f t="shared" si="433"/>
        <v>437.31347916390939</v>
      </c>
      <c r="P556">
        <f t="shared" si="434"/>
        <v>1.5685096356245143</v>
      </c>
      <c r="Q556">
        <f t="shared" si="435"/>
        <v>370.12991106299586</v>
      </c>
      <c r="R556">
        <f t="shared" si="436"/>
        <v>1.5680945694208135</v>
      </c>
      <c r="S556">
        <f t="shared" si="437"/>
        <v>7.1466572732269432E-2</v>
      </c>
      <c r="T556">
        <f t="shared" si="438"/>
        <v>-1.499268778239059</v>
      </c>
      <c r="U556">
        <f t="shared" si="439"/>
        <v>9.1463927260551414E-2</v>
      </c>
      <c r="V556">
        <f t="shared" si="440"/>
        <v>-1.4792043911865105</v>
      </c>
      <c r="X556">
        <f t="shared" si="457"/>
        <v>-55.248621161278912</v>
      </c>
      <c r="Y556">
        <f t="shared" si="441"/>
        <v>-174.91529991039616</v>
      </c>
      <c r="Z556">
        <f t="shared" si="458"/>
        <v>5.0847000896038423</v>
      </c>
      <c r="AC556">
        <v>1</v>
      </c>
      <c r="AD556">
        <f t="shared" si="442"/>
        <v>437.31233581782601</v>
      </c>
      <c r="AE556">
        <f t="shared" si="443"/>
        <v>-0.56383100307142553</v>
      </c>
      <c r="AF556">
        <f t="shared" si="444"/>
        <v>5.1787269879660001E-2</v>
      </c>
      <c r="AG556">
        <f t="shared" si="473"/>
        <v>68.884136967440313</v>
      </c>
      <c r="AH556">
        <f t="shared" si="474"/>
        <v>-769.28195161932115</v>
      </c>
      <c r="AJ556">
        <f t="shared" si="445"/>
        <v>22100</v>
      </c>
      <c r="AK556">
        <f t="shared" si="446"/>
        <v>308444.76451831777</v>
      </c>
      <c r="AL556">
        <v>1</v>
      </c>
      <c r="AM556">
        <f t="shared" si="447"/>
        <v>370.12856018348708</v>
      </c>
      <c r="AN556">
        <f t="shared" si="475"/>
        <v>833.50018012091004</v>
      </c>
      <c r="AO556">
        <f t="shared" si="476"/>
        <v>-57.45706251183767</v>
      </c>
      <c r="AQ556">
        <f t="shared" si="448"/>
        <v>8.549638474262297E-4</v>
      </c>
      <c r="AR556">
        <f t="shared" si="449"/>
        <v>-2.9239763581977054</v>
      </c>
      <c r="AT556">
        <f t="shared" si="470"/>
        <v>-2249.303345876318</v>
      </c>
      <c r="AU556">
        <f t="shared" si="471"/>
        <v>-202.07329620476006</v>
      </c>
      <c r="AV556">
        <f t="shared" si="459"/>
        <v>-3.0519950114993035</v>
      </c>
      <c r="AW556">
        <f t="shared" si="460"/>
        <v>738.30771251633303</v>
      </c>
      <c r="AX556">
        <f t="shared" si="461"/>
        <v>-3420.8327135507798</v>
      </c>
      <c r="AY556">
        <f t="shared" si="469"/>
        <v>-1.3582299379469343</v>
      </c>
      <c r="BA556">
        <f t="shared" si="450"/>
        <v>0.64532019448304356</v>
      </c>
      <c r="BB556">
        <f t="shared" si="462"/>
        <v>-3.8044948796234785</v>
      </c>
      <c r="BC556">
        <f t="shared" si="463"/>
        <v>-1.6937650735523693</v>
      </c>
      <c r="BD556">
        <f t="shared" si="451"/>
        <v>-277.04559031210692</v>
      </c>
      <c r="BF556">
        <f t="shared" si="452"/>
        <v>-58.370807179289514</v>
      </c>
      <c r="BG556">
        <f t="shared" si="453"/>
        <v>-191.02113118390096</v>
      </c>
      <c r="BH556">
        <f t="shared" si="464"/>
        <v>-11.021131183900962</v>
      </c>
      <c r="BI556">
        <f t="shared" si="465"/>
        <v>-11.021131183900962</v>
      </c>
      <c r="BJ556">
        <f t="shared" si="454"/>
        <v>0</v>
      </c>
      <c r="BK556">
        <f t="shared" si="466"/>
        <v>0</v>
      </c>
      <c r="BM556">
        <f t="shared" si="467"/>
        <v>-54.566312299666038</v>
      </c>
      <c r="BN556">
        <f t="shared" si="455"/>
        <v>-93.975540871794024</v>
      </c>
      <c r="BQ556" s="56">
        <f t="shared" si="468"/>
        <v>13.097465920661657</v>
      </c>
    </row>
    <row r="557" spans="1:69" x14ac:dyDescent="0.25">
      <c r="A557">
        <f t="shared" si="472"/>
        <v>1715000</v>
      </c>
      <c r="B557">
        <f t="shared" si="456"/>
        <v>1715</v>
      </c>
      <c r="C557">
        <f t="shared" si="425"/>
        <v>14.258983717739959</v>
      </c>
      <c r="D557">
        <f t="shared" si="426"/>
        <v>1.5006074850868969</v>
      </c>
      <c r="F557">
        <f t="shared" si="427"/>
        <v>8.7142549767670729E-6</v>
      </c>
      <c r="G557">
        <f t="shared" si="428"/>
        <v>1.0041801915487032E-3</v>
      </c>
      <c r="H557">
        <f t="shared" si="429"/>
        <v>-3.1405884698084514</v>
      </c>
      <c r="J557">
        <f t="shared" si="430"/>
        <v>15</v>
      </c>
      <c r="M557">
        <f t="shared" si="431"/>
        <v>8.7119765113882698E-4</v>
      </c>
      <c r="N557">
        <f t="shared" si="432"/>
        <v>-1.5707963250000001</v>
      </c>
      <c r="O557">
        <f t="shared" si="433"/>
        <v>438.59216687095051</v>
      </c>
      <c r="P557">
        <f t="shared" si="434"/>
        <v>1.5685163023394819</v>
      </c>
      <c r="Q557">
        <f t="shared" si="435"/>
        <v>371.21215437658441</v>
      </c>
      <c r="R557">
        <f t="shared" si="436"/>
        <v>1.568102446226306</v>
      </c>
      <c r="S557">
        <f t="shared" si="437"/>
        <v>7.1259274930826053E-2</v>
      </c>
      <c r="T557">
        <f t="shared" si="438"/>
        <v>-1.4994766059149229</v>
      </c>
      <c r="U557">
        <f t="shared" si="439"/>
        <v>9.1199489688728402E-2</v>
      </c>
      <c r="V557">
        <f t="shared" si="440"/>
        <v>-1.4794699386078032</v>
      </c>
      <c r="X557">
        <f t="shared" si="457"/>
        <v>-55.299126859074981</v>
      </c>
      <c r="Y557">
        <f t="shared" si="441"/>
        <v>-174.93003716510751</v>
      </c>
      <c r="Z557">
        <f t="shared" si="458"/>
        <v>5.0699628348924932</v>
      </c>
      <c r="AC557">
        <v>1</v>
      </c>
      <c r="AD557">
        <f t="shared" si="442"/>
        <v>438.59102685822899</v>
      </c>
      <c r="AE557">
        <f t="shared" si="443"/>
        <v>-0.56713308095097759</v>
      </c>
      <c r="AF557">
        <f t="shared" si="444"/>
        <v>5.1938694645389999E-2</v>
      </c>
      <c r="AG557">
        <f t="shared" si="473"/>
        <v>68.486401546513832</v>
      </c>
      <c r="AH557">
        <f t="shared" si="474"/>
        <v>-767.07557215930944</v>
      </c>
      <c r="AJ557">
        <f t="shared" si="445"/>
        <v>22100</v>
      </c>
      <c r="AK557">
        <f t="shared" si="446"/>
        <v>309346.64979468711</v>
      </c>
      <c r="AL557">
        <v>1</v>
      </c>
      <c r="AM557">
        <f t="shared" si="447"/>
        <v>371.21080743548555</v>
      </c>
      <c r="AN557">
        <f t="shared" si="475"/>
        <v>833.49927628414957</v>
      </c>
      <c r="AO557">
        <f t="shared" si="476"/>
        <v>-57.289551644888071</v>
      </c>
      <c r="AQ557">
        <f t="shared" si="448"/>
        <v>8.49985902983799E-4</v>
      </c>
      <c r="AR557">
        <f t="shared" si="449"/>
        <v>-2.9154516472344305</v>
      </c>
      <c r="AT557">
        <f t="shared" si="470"/>
        <v>-2236.3135279292915</v>
      </c>
      <c r="AU557">
        <f t="shared" si="471"/>
        <v>-200.32079562480106</v>
      </c>
      <c r="AV557">
        <f t="shared" si="459"/>
        <v>-3.0522547446768704</v>
      </c>
      <c r="AW557">
        <f t="shared" si="460"/>
        <v>738.86453877278643</v>
      </c>
      <c r="AX557">
        <f t="shared" si="461"/>
        <v>-3410.894622330442</v>
      </c>
      <c r="AY557">
        <f t="shared" si="469"/>
        <v>-1.3574732265700633</v>
      </c>
      <c r="BA557">
        <f t="shared" si="450"/>
        <v>0.64334254758087128</v>
      </c>
      <c r="BB557">
        <f t="shared" si="462"/>
        <v>-3.8311545100449211</v>
      </c>
      <c r="BC557">
        <f t="shared" si="463"/>
        <v>-1.6947815181068071</v>
      </c>
      <c r="BD557">
        <f t="shared" si="451"/>
        <v>-277.10382829525184</v>
      </c>
      <c r="BF557">
        <f t="shared" si="452"/>
        <v>-58.422952604492068</v>
      </c>
      <c r="BG557">
        <f t="shared" si="453"/>
        <v>-191.06781730887516</v>
      </c>
      <c r="BH557">
        <f t="shared" si="464"/>
        <v>-11.067817308875163</v>
      </c>
      <c r="BI557">
        <f t="shared" si="465"/>
        <v>-11.067817308875163</v>
      </c>
      <c r="BJ557">
        <f t="shared" si="454"/>
        <v>0</v>
      </c>
      <c r="BK557">
        <f t="shared" si="466"/>
        <v>0</v>
      </c>
      <c r="BM557">
        <f t="shared" si="467"/>
        <v>-54.591798094447157</v>
      </c>
      <c r="BN557">
        <f t="shared" si="455"/>
        <v>-93.963989013623319</v>
      </c>
      <c r="BQ557" s="56">
        <f t="shared" si="468"/>
        <v>13.070806290240215</v>
      </c>
    </row>
    <row r="558" spans="1:69" x14ac:dyDescent="0.25">
      <c r="A558">
        <f t="shared" si="472"/>
        <v>1720000</v>
      </c>
      <c r="B558">
        <f t="shared" si="456"/>
        <v>1720</v>
      </c>
      <c r="C558">
        <f t="shared" si="425"/>
        <v>14.300350930356373</v>
      </c>
      <c r="D558">
        <f t="shared" si="426"/>
        <v>1.5008108558593196</v>
      </c>
      <c r="F558">
        <f t="shared" si="427"/>
        <v>8.6636639280589977E-6</v>
      </c>
      <c r="G558">
        <f t="shared" si="428"/>
        <v>1.0012610140863422E-3</v>
      </c>
      <c r="H558">
        <f t="shared" si="429"/>
        <v>-3.1405913889859138</v>
      </c>
      <c r="J558">
        <f t="shared" si="430"/>
        <v>15</v>
      </c>
      <c r="M558">
        <f t="shared" si="431"/>
        <v>8.6866509982737696E-4</v>
      </c>
      <c r="N558">
        <f t="shared" si="432"/>
        <v>-1.5707963250000001</v>
      </c>
      <c r="O558">
        <f t="shared" si="433"/>
        <v>439.87085459737165</v>
      </c>
      <c r="P558">
        <f t="shared" si="434"/>
        <v>1.5685229302946797</v>
      </c>
      <c r="Q558">
        <f t="shared" si="435"/>
        <v>372.29439771307062</v>
      </c>
      <c r="R558">
        <f t="shared" si="436"/>
        <v>1.568110277236749</v>
      </c>
      <c r="S558">
        <f t="shared" si="437"/>
        <v>7.1053173195640501E-2</v>
      </c>
      <c r="T558">
        <f t="shared" si="438"/>
        <v>-1.4996832314082442</v>
      </c>
      <c r="U558">
        <f t="shared" si="439"/>
        <v>9.0936570418626739E-2</v>
      </c>
      <c r="V558">
        <f t="shared" si="440"/>
        <v>-1.4797339549527806</v>
      </c>
      <c r="X558">
        <f t="shared" si="457"/>
        <v>-55.349486759219999</v>
      </c>
      <c r="Y558">
        <f t="shared" si="441"/>
        <v>-174.94468948802583</v>
      </c>
      <c r="Z558">
        <f t="shared" si="458"/>
        <v>5.0553105119741701</v>
      </c>
      <c r="AC558">
        <v>1</v>
      </c>
      <c r="AD558">
        <f t="shared" si="442"/>
        <v>439.86971789863202</v>
      </c>
      <c r="AE558">
        <f t="shared" si="443"/>
        <v>-0.57044479993382757</v>
      </c>
      <c r="AF558">
        <f t="shared" si="444"/>
        <v>5.2090119411120003E-2</v>
      </c>
      <c r="AG558">
        <f t="shared" si="473"/>
        <v>68.092091459375794</v>
      </c>
      <c r="AH558">
        <f t="shared" si="474"/>
        <v>-764.88170770278612</v>
      </c>
      <c r="AJ558">
        <f t="shared" si="445"/>
        <v>22100</v>
      </c>
      <c r="AK558">
        <f t="shared" si="446"/>
        <v>310248.53507105645</v>
      </c>
      <c r="AL558">
        <v>1</v>
      </c>
      <c r="AM558">
        <f t="shared" si="447"/>
        <v>372.29305468748407</v>
      </c>
      <c r="AN558">
        <f t="shared" si="475"/>
        <v>833.49838031814784</v>
      </c>
      <c r="AO558">
        <f t="shared" si="476"/>
        <v>-57.123014657186403</v>
      </c>
      <c r="AQ558">
        <f t="shared" si="448"/>
        <v>8.4505130771267347E-4</v>
      </c>
      <c r="AR558">
        <f t="shared" si="449"/>
        <v>-2.9069764985315967</v>
      </c>
      <c r="AT558">
        <f t="shared" si="470"/>
        <v>-2223.4356071377806</v>
      </c>
      <c r="AU558">
        <f t="shared" si="471"/>
        <v>-198.58847389560921</v>
      </c>
      <c r="AV558">
        <f t="shared" si="459"/>
        <v>-3.052512980581664</v>
      </c>
      <c r="AW558">
        <f t="shared" si="460"/>
        <v>739.41647613838006</v>
      </c>
      <c r="AX558">
        <f t="shared" si="461"/>
        <v>-3401.0140088797502</v>
      </c>
      <c r="AY558">
        <f t="shared" si="469"/>
        <v>-1.35671722404978</v>
      </c>
      <c r="BA558">
        <f t="shared" si="450"/>
        <v>0.64137604912809432</v>
      </c>
      <c r="BB558">
        <f t="shared" si="462"/>
        <v>-3.8577452388132021</v>
      </c>
      <c r="BC558">
        <f t="shared" si="463"/>
        <v>-1.695795756531884</v>
      </c>
      <c r="BD558">
        <f t="shared" si="451"/>
        <v>-277.16193987649518</v>
      </c>
      <c r="BF558">
        <f t="shared" si="452"/>
        <v>-58.474954209424155</v>
      </c>
      <c r="BG558">
        <f t="shared" si="453"/>
        <v>-191.11444385971745</v>
      </c>
      <c r="BH558">
        <f t="shared" si="464"/>
        <v>-11.114443859717454</v>
      </c>
      <c r="BI558">
        <f t="shared" si="465"/>
        <v>-11.114443859717454</v>
      </c>
      <c r="BJ558">
        <f t="shared" si="454"/>
        <v>0</v>
      </c>
      <c r="BK558">
        <f t="shared" si="466"/>
        <v>0</v>
      </c>
      <c r="BM558">
        <f t="shared" si="467"/>
        <v>-54.617208970610953</v>
      </c>
      <c r="BN558">
        <f t="shared" si="455"/>
        <v>-93.952503983222314</v>
      </c>
      <c r="BQ558" s="56">
        <f t="shared" si="468"/>
        <v>13.044215561471935</v>
      </c>
    </row>
    <row r="559" spans="1:69" x14ac:dyDescent="0.25">
      <c r="A559">
        <f t="shared" si="472"/>
        <v>1725000</v>
      </c>
      <c r="B559">
        <f t="shared" si="456"/>
        <v>1725</v>
      </c>
      <c r="C559">
        <f t="shared" si="425"/>
        <v>14.341718731018585</v>
      </c>
      <c r="D559">
        <f t="shared" si="426"/>
        <v>1.5010130534192354</v>
      </c>
      <c r="F559">
        <f t="shared" si="427"/>
        <v>8.6135121684256839E-6</v>
      </c>
      <c r="G559">
        <f t="shared" si="428"/>
        <v>9.9835875981610692E-4</v>
      </c>
      <c r="H559">
        <f t="shared" si="429"/>
        <v>-3.1405942912401841</v>
      </c>
      <c r="J559">
        <f t="shared" si="430"/>
        <v>15</v>
      </c>
      <c r="M559">
        <f t="shared" si="431"/>
        <v>8.6614722997280485E-4</v>
      </c>
      <c r="N559">
        <f t="shared" si="432"/>
        <v>-1.5707963250000001</v>
      </c>
      <c r="O559">
        <f t="shared" si="433"/>
        <v>441.1495423430041</v>
      </c>
      <c r="P559">
        <f t="shared" si="434"/>
        <v>1.5685295198271467</v>
      </c>
      <c r="Q559">
        <f t="shared" si="435"/>
        <v>373.37664107225527</v>
      </c>
      <c r="R559">
        <f t="shared" si="436"/>
        <v>1.5681180628503566</v>
      </c>
      <c r="S559">
        <f t="shared" si="437"/>
        <v>7.0848257231138301E-2</v>
      </c>
      <c r="T559">
        <f t="shared" si="438"/>
        <v>-1.4998886651025154</v>
      </c>
      <c r="U559">
        <f t="shared" si="439"/>
        <v>9.0675156466134554E-2</v>
      </c>
      <c r="V559">
        <f t="shared" si="440"/>
        <v>-1.479996453388561</v>
      </c>
      <c r="X559">
        <f t="shared" si="457"/>
        <v>-55.399701697555699</v>
      </c>
      <c r="Y559">
        <f t="shared" si="441"/>
        <v>-174.95925760910276</v>
      </c>
      <c r="Z559">
        <f t="shared" si="458"/>
        <v>5.0407423908972362</v>
      </c>
      <c r="AC559">
        <v>1</v>
      </c>
      <c r="AD559">
        <f t="shared" si="442"/>
        <v>441.14840893903499</v>
      </c>
      <c r="AE559">
        <f t="shared" si="443"/>
        <v>-0.5737661600199756</v>
      </c>
      <c r="AF559">
        <f t="shared" si="444"/>
        <v>5.2241544176849994E-2</v>
      </c>
      <c r="AG559">
        <f t="shared" si="473"/>
        <v>67.701167595247227</v>
      </c>
      <c r="AH559">
        <f t="shared" si="474"/>
        <v>-762.70025298467965</v>
      </c>
      <c r="AJ559">
        <f t="shared" si="445"/>
        <v>22100</v>
      </c>
      <c r="AK559">
        <f t="shared" si="446"/>
        <v>311150.4203474258</v>
      </c>
      <c r="AL559">
        <v>1</v>
      </c>
      <c r="AM559">
        <f t="shared" si="447"/>
        <v>373.37530193948254</v>
      </c>
      <c r="AN559">
        <f t="shared" si="475"/>
        <v>833.49749213178393</v>
      </c>
      <c r="AO559">
        <f t="shared" si="476"/>
        <v>-56.957443080461545</v>
      </c>
      <c r="AQ559">
        <f t="shared" si="448"/>
        <v>8.4015955974294811E-4</v>
      </c>
      <c r="AR559">
        <f t="shared" si="449"/>
        <v>-2.8985504811131713</v>
      </c>
      <c r="AT559">
        <f t="shared" si="470"/>
        <v>-2210.6683054507193</v>
      </c>
      <c r="AU559">
        <f t="shared" si="471"/>
        <v>-196.87604181389074</v>
      </c>
      <c r="AV559">
        <f t="shared" si="459"/>
        <v>-3.052769732086861</v>
      </c>
      <c r="AW559">
        <f t="shared" si="460"/>
        <v>739.96358178303603</v>
      </c>
      <c r="AX559">
        <f t="shared" si="461"/>
        <v>-3391.1903768243365</v>
      </c>
      <c r="AY559">
        <f t="shared" si="469"/>
        <v>-1.3559619265440399</v>
      </c>
      <c r="BA559">
        <f t="shared" si="450"/>
        <v>0.63942060365851516</v>
      </c>
      <c r="BB559">
        <f t="shared" si="462"/>
        <v>-3.8842674766749576</v>
      </c>
      <c r="BC559">
        <f t="shared" si="463"/>
        <v>-1.6968078055428211</v>
      </c>
      <c r="BD559">
        <f t="shared" si="451"/>
        <v>-277.2199260135485</v>
      </c>
      <c r="BF559">
        <f t="shared" si="452"/>
        <v>-58.526812846011637</v>
      </c>
      <c r="BG559">
        <f t="shared" si="453"/>
        <v>-191.16101121686751</v>
      </c>
      <c r="BH559">
        <f t="shared" si="464"/>
        <v>-11.161011216867507</v>
      </c>
      <c r="BI559">
        <f t="shared" si="465"/>
        <v>-11.161011216867507</v>
      </c>
      <c r="BJ559">
        <f t="shared" si="454"/>
        <v>0</v>
      </c>
      <c r="BK559">
        <f t="shared" si="466"/>
        <v>0</v>
      </c>
      <c r="BM559">
        <f t="shared" si="467"/>
        <v>-54.642545369336673</v>
      </c>
      <c r="BN559">
        <f t="shared" si="455"/>
        <v>-93.941085203319005</v>
      </c>
      <c r="BQ559" s="56">
        <f t="shared" si="468"/>
        <v>13.017693323610178</v>
      </c>
    </row>
    <row r="560" spans="1:69" x14ac:dyDescent="0.25">
      <c r="A560">
        <f t="shared" si="472"/>
        <v>1730000</v>
      </c>
      <c r="B560">
        <f t="shared" si="456"/>
        <v>1730</v>
      </c>
      <c r="C560">
        <f t="shared" si="425"/>
        <v>14.383087114652687</v>
      </c>
      <c r="D560">
        <f t="shared" si="426"/>
        <v>1.5012140878731592</v>
      </c>
      <c r="F560">
        <f t="shared" si="427"/>
        <v>8.5637946266578658E-6</v>
      </c>
      <c r="G560">
        <f t="shared" si="428"/>
        <v>9.9547328200023455E-4</v>
      </c>
      <c r="H560">
        <f t="shared" si="429"/>
        <v>-3.1405971767179999</v>
      </c>
      <c r="J560">
        <f t="shared" si="430"/>
        <v>15</v>
      </c>
      <c r="M560">
        <f t="shared" si="431"/>
        <v>8.6364391427924182E-4</v>
      </c>
      <c r="N560">
        <f t="shared" si="432"/>
        <v>-1.5707963250000001</v>
      </c>
      <c r="O560">
        <f t="shared" si="433"/>
        <v>442.42823010768154</v>
      </c>
      <c r="P560">
        <f t="shared" si="434"/>
        <v>1.5685360712700258</v>
      </c>
      <c r="Q560">
        <f t="shared" si="435"/>
        <v>374.45888445394172</v>
      </c>
      <c r="R560">
        <f t="shared" si="436"/>
        <v>1.5681258034607393</v>
      </c>
      <c r="S560">
        <f t="shared" si="437"/>
        <v>7.0644516859269549E-2</v>
      </c>
      <c r="T560">
        <f t="shared" si="438"/>
        <v>-1.5000929172621942</v>
      </c>
      <c r="U560">
        <f t="shared" si="439"/>
        <v>9.0415234994139976E-2</v>
      </c>
      <c r="V560">
        <f t="shared" si="440"/>
        <v>-1.4802574469321299</v>
      </c>
      <c r="X560">
        <f t="shared" si="457"/>
        <v>-55.449772502786502</v>
      </c>
      <c r="Y560">
        <f t="shared" si="441"/>
        <v>-174.97374224997372</v>
      </c>
      <c r="Z560">
        <f t="shared" si="458"/>
        <v>5.0262577500262751</v>
      </c>
      <c r="AC560">
        <v>1</v>
      </c>
      <c r="AD560">
        <f t="shared" si="442"/>
        <v>442.42709997943797</v>
      </c>
      <c r="AE560">
        <f t="shared" si="443"/>
        <v>-0.57709716120942156</v>
      </c>
      <c r="AF560">
        <f t="shared" si="444"/>
        <v>5.2392968942580005E-2</v>
      </c>
      <c r="AG560">
        <f t="shared" si="473"/>
        <v>67.313591398416989</v>
      </c>
      <c r="AH560">
        <f t="shared" si="474"/>
        <v>-760.5311039064627</v>
      </c>
      <c r="AJ560">
        <f t="shared" si="445"/>
        <v>22100</v>
      </c>
      <c r="AK560">
        <f t="shared" si="446"/>
        <v>312052.30562379514</v>
      </c>
      <c r="AL560">
        <v>1</v>
      </c>
      <c r="AM560">
        <f t="shared" si="447"/>
        <v>374.45754919148106</v>
      </c>
      <c r="AN560">
        <f t="shared" si="475"/>
        <v>833.49661163525013</v>
      </c>
      <c r="AO560">
        <f t="shared" si="476"/>
        <v>-56.792828544337873</v>
      </c>
      <c r="AQ560">
        <f t="shared" si="448"/>
        <v>8.3531016444667679E-4</v>
      </c>
      <c r="AR560">
        <f t="shared" si="449"/>
        <v>-2.8901731689855015</v>
      </c>
      <c r="AT560">
        <f t="shared" si="470"/>
        <v>-2198.0103629622822</v>
      </c>
      <c r="AU560">
        <f t="shared" si="471"/>
        <v>-195.18321512922893</v>
      </c>
      <c r="AV560">
        <f t="shared" si="459"/>
        <v>-3.053025011918904</v>
      </c>
      <c r="AW560">
        <f t="shared" si="460"/>
        <v>740.50591204201282</v>
      </c>
      <c r="AX560">
        <f t="shared" si="461"/>
        <v>-3381.4232354797564</v>
      </c>
      <c r="AY560">
        <f t="shared" si="469"/>
        <v>-1.3552073302616914</v>
      </c>
      <c r="BA560">
        <f t="shared" si="450"/>
        <v>0.63747611679500016</v>
      </c>
      <c r="BB560">
        <f t="shared" si="462"/>
        <v>-3.9107216308508246</v>
      </c>
      <c r="BC560">
        <f t="shared" si="463"/>
        <v>-1.6978176816572126</v>
      </c>
      <c r="BD560">
        <f t="shared" si="451"/>
        <v>-277.27778765280033</v>
      </c>
      <c r="BF560">
        <f t="shared" si="452"/>
        <v>-58.578529358752299</v>
      </c>
      <c r="BG560">
        <f t="shared" si="453"/>
        <v>-191.20751975606052</v>
      </c>
      <c r="BH560">
        <f t="shared" si="464"/>
        <v>-11.20751975606052</v>
      </c>
      <c r="BI560">
        <f t="shared" si="465"/>
        <v>-11.20751975606052</v>
      </c>
      <c r="BJ560">
        <f t="shared" si="454"/>
        <v>0</v>
      </c>
      <c r="BK560">
        <f t="shared" si="466"/>
        <v>0</v>
      </c>
      <c r="BM560">
        <f t="shared" si="467"/>
        <v>-54.667807727901483</v>
      </c>
      <c r="BN560">
        <f t="shared" si="455"/>
        <v>-93.929732103260207</v>
      </c>
      <c r="BQ560" s="56">
        <f t="shared" si="468"/>
        <v>12.991239169434312</v>
      </c>
    </row>
    <row r="561" spans="1:69" x14ac:dyDescent="0.25">
      <c r="A561">
        <f t="shared" si="472"/>
        <v>1735000</v>
      </c>
      <c r="B561">
        <f t="shared" si="456"/>
        <v>1735</v>
      </c>
      <c r="C561">
        <f t="shared" si="425"/>
        <v>14.424456076242901</v>
      </c>
      <c r="D561">
        <f t="shared" si="426"/>
        <v>1.5014139692120436</v>
      </c>
      <c r="F561">
        <f t="shared" si="427"/>
        <v>8.5145063045141917E-6</v>
      </c>
      <c r="G561">
        <f t="shared" si="428"/>
        <v>9.9260443559253341E-4</v>
      </c>
      <c r="H561">
        <f t="shared" si="429"/>
        <v>-3.1406000455644079</v>
      </c>
      <c r="J561">
        <f t="shared" si="430"/>
        <v>15</v>
      </c>
      <c r="M561">
        <f t="shared" si="431"/>
        <v>8.6115502691820655E-4</v>
      </c>
      <c r="N561">
        <f t="shared" si="432"/>
        <v>-1.5707963250000001</v>
      </c>
      <c r="O561">
        <f t="shared" si="433"/>
        <v>443.70691789123907</v>
      </c>
      <c r="P561">
        <f t="shared" si="434"/>
        <v>1.5685425849526198</v>
      </c>
      <c r="Q561">
        <f t="shared" si="435"/>
        <v>375.54112785793529</v>
      </c>
      <c r="R561">
        <f t="shared" si="436"/>
        <v>1.56813349945697</v>
      </c>
      <c r="S561">
        <f t="shared" si="437"/>
        <v>7.0441942017841069E-2</v>
      </c>
      <c r="T561">
        <f t="shared" si="438"/>
        <v>-1.5002959980344006</v>
      </c>
      <c r="U561">
        <f t="shared" si="439"/>
        <v>9.0156793310465791E-2</v>
      </c>
      <c r="V561">
        <f t="shared" si="440"/>
        <v>-1.4805169484524678</v>
      </c>
      <c r="X561">
        <f t="shared" si="457"/>
        <v>-55.499699996560238</v>
      </c>
      <c r="Y561">
        <f t="shared" si="441"/>
        <v>-174.98814412407532</v>
      </c>
      <c r="Z561">
        <f t="shared" si="458"/>
        <v>5.011855875924681</v>
      </c>
      <c r="AC561">
        <v>1</v>
      </c>
      <c r="AD561">
        <f t="shared" si="442"/>
        <v>443.705791019841</v>
      </c>
      <c r="AE561">
        <f t="shared" si="443"/>
        <v>-0.58043780350216545</v>
      </c>
      <c r="AF561">
        <f t="shared" si="444"/>
        <v>5.2544393708309996E-2</v>
      </c>
      <c r="AG561">
        <f t="shared" si="473"/>
        <v>66.929324858841738</v>
      </c>
      <c r="AH561">
        <f t="shared" si="474"/>
        <v>-758.37415752019422</v>
      </c>
      <c r="AJ561">
        <f t="shared" si="445"/>
        <v>22100</v>
      </c>
      <c r="AK561">
        <f t="shared" si="446"/>
        <v>312954.19090016448</v>
      </c>
      <c r="AL561">
        <v>1</v>
      </c>
      <c r="AM561">
        <f t="shared" si="447"/>
        <v>375.53979644347953</v>
      </c>
      <c r="AN561">
        <f t="shared" si="475"/>
        <v>833.49573874003261</v>
      </c>
      <c r="AO561">
        <f t="shared" si="476"/>
        <v>-56.629162774924907</v>
      </c>
      <c r="AQ561">
        <f t="shared" si="448"/>
        <v>8.3050263431283088E-4</v>
      </c>
      <c r="AR561">
        <f t="shared" si="449"/>
        <v>-2.8818441410655233</v>
      </c>
      <c r="AT561">
        <f t="shared" si="470"/>
        <v>-2185.4605376044656</v>
      </c>
      <c r="AU561">
        <f t="shared" si="471"/>
        <v>-193.50971444553943</v>
      </c>
      <c r="AV561">
        <f t="shared" si="459"/>
        <v>-3.0532788326595788</v>
      </c>
      <c r="AW561">
        <f t="shared" si="460"/>
        <v>741.04352243051062</v>
      </c>
      <c r="AX561">
        <f t="shared" si="461"/>
        <v>-3371.7120997703319</v>
      </c>
      <c r="AY561">
        <f t="shared" si="469"/>
        <v>-1.3544534314616947</v>
      </c>
      <c r="BA561">
        <f t="shared" si="450"/>
        <v>0.63554249523404238</v>
      </c>
      <c r="BB561">
        <f t="shared" si="462"/>
        <v>-3.9371081050749623</v>
      </c>
      <c r="BC561">
        <f t="shared" si="463"/>
        <v>-1.6988254011978841</v>
      </c>
      <c r="BD561">
        <f t="shared" si="451"/>
        <v>-277.33552572947963</v>
      </c>
      <c r="BF561">
        <f t="shared" si="452"/>
        <v>-58.630104584801401</v>
      </c>
      <c r="BG561">
        <f t="shared" si="453"/>
        <v>-191.25396984839668</v>
      </c>
      <c r="BH561">
        <f t="shared" si="464"/>
        <v>-11.253969848396679</v>
      </c>
      <c r="BI561">
        <f t="shared" si="465"/>
        <v>-11.253969848396679</v>
      </c>
      <c r="BJ561">
        <f t="shared" si="454"/>
        <v>0</v>
      </c>
      <c r="BK561">
        <f t="shared" si="466"/>
        <v>0</v>
      </c>
      <c r="BM561">
        <f t="shared" si="467"/>
        <v>-54.692996479726439</v>
      </c>
      <c r="BN561">
        <f t="shared" si="455"/>
        <v>-93.918444118917066</v>
      </c>
      <c r="BQ561" s="56">
        <f t="shared" si="468"/>
        <v>12.964852695210174</v>
      </c>
    </row>
    <row r="562" spans="1:69" x14ac:dyDescent="0.25">
      <c r="A562">
        <f t="shared" si="472"/>
        <v>1740000</v>
      </c>
      <c r="B562">
        <f t="shared" si="456"/>
        <v>1740</v>
      </c>
      <c r="C562">
        <f t="shared" si="425"/>
        <v>14.465825610830763</v>
      </c>
      <c r="D562">
        <f t="shared" si="426"/>
        <v>1.5016127073129228</v>
      </c>
      <c r="F562">
        <f t="shared" si="427"/>
        <v>8.4656422754649559E-6</v>
      </c>
      <c r="G562">
        <f t="shared" si="428"/>
        <v>9.8975207721407931E-4</v>
      </c>
      <c r="H562">
        <f t="shared" si="429"/>
        <v>-3.1406028979227862</v>
      </c>
      <c r="J562">
        <f t="shared" si="430"/>
        <v>15</v>
      </c>
      <c r="M562">
        <f t="shared" si="431"/>
        <v>8.5868044350752195E-4</v>
      </c>
      <c r="N562">
        <f t="shared" si="432"/>
        <v>-1.5707963250000001</v>
      </c>
      <c r="O562">
        <f t="shared" si="433"/>
        <v>444.98560569351406</v>
      </c>
      <c r="P562">
        <f t="shared" si="434"/>
        <v>1.5685490612004458</v>
      </c>
      <c r="Q562">
        <f t="shared" si="435"/>
        <v>376.62337128404363</v>
      </c>
      <c r="R562">
        <f t="shared" si="436"/>
        <v>1.5681411512236503</v>
      </c>
      <c r="S562">
        <f t="shared" si="437"/>
        <v>7.0240522758876753E-2</v>
      </c>
      <c r="T562">
        <f t="shared" si="438"/>
        <v>-1.5004979174505859</v>
      </c>
      <c r="U562">
        <f t="shared" si="439"/>
        <v>8.9899818865838504E-2</v>
      </c>
      <c r="V562">
        <f t="shared" si="440"/>
        <v>-1.480774970672643</v>
      </c>
      <c r="X562">
        <f t="shared" si="457"/>
        <v>-55.549484993547665</v>
      </c>
      <c r="Y562">
        <f t="shared" si="441"/>
        <v>-175.00246393676127</v>
      </c>
      <c r="Z562">
        <f t="shared" si="458"/>
        <v>4.9975360632387265</v>
      </c>
      <c r="AC562">
        <v>1</v>
      </c>
      <c r="AD562">
        <f t="shared" si="442"/>
        <v>444.98448206024398</v>
      </c>
      <c r="AE562">
        <f t="shared" si="443"/>
        <v>-0.58378808689820738</v>
      </c>
      <c r="AF562">
        <f t="shared" si="444"/>
        <v>5.269581847404E-2</v>
      </c>
      <c r="AG562">
        <f t="shared" si="473"/>
        <v>66.548330502930909</v>
      </c>
      <c r="AH562">
        <f t="shared" si="474"/>
        <v>-756.22931201281881</v>
      </c>
      <c r="AJ562">
        <f t="shared" si="445"/>
        <v>22100</v>
      </c>
      <c r="AK562">
        <f t="shared" si="446"/>
        <v>313856.07617653382</v>
      </c>
      <c r="AL562">
        <v>1</v>
      </c>
      <c r="AM562">
        <f t="shared" si="447"/>
        <v>376.622043695478</v>
      </c>
      <c r="AN562">
        <f t="shared" si="475"/>
        <v>833.49487335888603</v>
      </c>
      <c r="AO562">
        <f t="shared" si="476"/>
        <v>-56.466437593430896</v>
      </c>
      <c r="AQ562">
        <f t="shared" si="448"/>
        <v>8.2573648882477133E-4</v>
      </c>
      <c r="AR562">
        <f t="shared" si="449"/>
        <v>-2.8735629811102044</v>
      </c>
      <c r="AT562">
        <f t="shared" si="470"/>
        <v>-2173.0176048457079</v>
      </c>
      <c r="AU562">
        <f t="shared" si="471"/>
        <v>-191.85526512475712</v>
      </c>
      <c r="AV562">
        <f t="shared" si="459"/>
        <v>-3.0535312067480604</v>
      </c>
      <c r="AW562">
        <f t="shared" si="460"/>
        <v>741.57646765797585</v>
      </c>
      <c r="AX562">
        <f t="shared" si="461"/>
        <v>-3362.0564901493517</v>
      </c>
      <c r="AY562">
        <f t="shared" si="469"/>
        <v>-1.3537002264523523</v>
      </c>
      <c r="BA562">
        <f t="shared" si="450"/>
        <v>0.63361964673059012</v>
      </c>
      <c r="BB562">
        <f t="shared" si="462"/>
        <v>-3.9634272996339575</v>
      </c>
      <c r="BC562">
        <f t="shared" si="463"/>
        <v>-1.6998309802957081</v>
      </c>
      <c r="BD562">
        <f t="shared" si="451"/>
        <v>-277.39314116781736</v>
      </c>
      <c r="BF562">
        <f t="shared" si="452"/>
        <v>-58.681539354055907</v>
      </c>
      <c r="BG562">
        <f t="shared" si="453"/>
        <v>-191.30036186040951</v>
      </c>
      <c r="BH562">
        <f t="shared" si="464"/>
        <v>-11.30036186040951</v>
      </c>
      <c r="BI562">
        <f t="shared" si="465"/>
        <v>-11.30036186040951</v>
      </c>
      <c r="BJ562">
        <f t="shared" si="454"/>
        <v>0</v>
      </c>
      <c r="BK562">
        <f t="shared" si="466"/>
        <v>0</v>
      </c>
      <c r="BM562">
        <f t="shared" si="467"/>
        <v>-54.718112054421951</v>
      </c>
      <c r="BN562">
        <f t="shared" si="455"/>
        <v>-93.907220692592148</v>
      </c>
      <c r="BQ562" s="56">
        <f t="shared" si="468"/>
        <v>12.938533500651179</v>
      </c>
    </row>
    <row r="563" spans="1:69" x14ac:dyDescent="0.25">
      <c r="A563">
        <f t="shared" si="472"/>
        <v>1745000</v>
      </c>
      <c r="B563">
        <f t="shared" si="456"/>
        <v>1745</v>
      </c>
      <c r="C563">
        <f t="shared" si="425"/>
        <v>14.507195713514296</v>
      </c>
      <c r="D563">
        <f t="shared" si="426"/>
        <v>1.5018103119405299</v>
      </c>
      <c r="F563">
        <f t="shared" si="427"/>
        <v>8.4171976834609645E-6</v>
      </c>
      <c r="G563">
        <f t="shared" si="428"/>
        <v>9.8691606512932512E-4</v>
      </c>
      <c r="H563">
        <f t="shared" si="429"/>
        <v>-3.140605733934871</v>
      </c>
      <c r="J563">
        <f t="shared" si="430"/>
        <v>15</v>
      </c>
      <c r="M563">
        <f t="shared" si="431"/>
        <v>8.56220041090595E-4</v>
      </c>
      <c r="N563">
        <f t="shared" si="432"/>
        <v>-1.5707963250000001</v>
      </c>
      <c r="O563">
        <f t="shared" si="433"/>
        <v>446.26429351434558</v>
      </c>
      <c r="P563">
        <f t="shared" si="434"/>
        <v>1.5685555003352905</v>
      </c>
      <c r="Q563">
        <f t="shared" si="435"/>
        <v>377.70561473207681</v>
      </c>
      <c r="R563">
        <f t="shared" si="436"/>
        <v>1.5681487591409728</v>
      </c>
      <c r="S563">
        <f t="shared" si="437"/>
        <v>7.0040249247005748E-2</v>
      </c>
      <c r="T563">
        <f t="shared" si="438"/>
        <v>-1.5006986854281748</v>
      </c>
      <c r="U563">
        <f t="shared" si="439"/>
        <v>8.9644299251891366E-2</v>
      </c>
      <c r="V563">
        <f t="shared" si="440"/>
        <v>-1.4810315261718656</v>
      </c>
      <c r="X563">
        <f t="shared" si="457"/>
        <v>-55.599128301520977</v>
      </c>
      <c r="Y563">
        <f t="shared" si="441"/>
        <v>-175.01670238541627</v>
      </c>
      <c r="Z563">
        <f t="shared" si="458"/>
        <v>4.9832976145837335</v>
      </c>
      <c r="AC563">
        <v>1</v>
      </c>
      <c r="AD563">
        <f t="shared" si="442"/>
        <v>446.26317310064707</v>
      </c>
      <c r="AE563">
        <f t="shared" si="443"/>
        <v>-0.58714801139754713</v>
      </c>
      <c r="AF563">
        <f t="shared" si="444"/>
        <v>5.2847243239769998E-2</v>
      </c>
      <c r="AG563">
        <f t="shared" si="473"/>
        <v>66.170571384512243</v>
      </c>
      <c r="AH563">
        <f t="shared" si="474"/>
        <v>-754.0964666907239</v>
      </c>
      <c r="AJ563">
        <f t="shared" si="445"/>
        <v>22100</v>
      </c>
      <c r="AK563">
        <f t="shared" si="446"/>
        <v>314757.96145290323</v>
      </c>
      <c r="AL563">
        <v>1</v>
      </c>
      <c r="AM563">
        <f t="shared" si="447"/>
        <v>377.70429094747652</v>
      </c>
      <c r="AN563">
        <f t="shared" si="475"/>
        <v>833.49401540581391</v>
      </c>
      <c r="AO563">
        <f t="shared" si="476"/>
        <v>-56.304644914800555</v>
      </c>
      <c r="AQ563">
        <f t="shared" si="448"/>
        <v>8.2101125434017334E-4</v>
      </c>
      <c r="AR563">
        <f t="shared" si="449"/>
        <v>-2.8653292776472052</v>
      </c>
      <c r="AT563">
        <f t="shared" si="470"/>
        <v>-2160.6803573954289</v>
      </c>
      <c r="AU563">
        <f t="shared" si="471"/>
        <v>-190.21959719269856</v>
      </c>
      <c r="AV563">
        <f t="shared" si="459"/>
        <v>-3.0537821464829205</v>
      </c>
      <c r="AW563">
        <f t="shared" si="460"/>
        <v>742.10480164211629</v>
      </c>
      <c r="AX563">
        <f t="shared" si="461"/>
        <v>-3352.4559325206546</v>
      </c>
      <c r="AY563">
        <f t="shared" si="469"/>
        <v>-1.352947711590557</v>
      </c>
      <c r="BA563">
        <f t="shared" si="450"/>
        <v>0.63170748008312694</v>
      </c>
      <c r="BB563">
        <f t="shared" si="462"/>
        <v>-3.9896796114052497</v>
      </c>
      <c r="BC563">
        <f t="shared" si="463"/>
        <v>-1.7008344348923634</v>
      </c>
      <c r="BD563">
        <f t="shared" si="451"/>
        <v>-277.45063488120439</v>
      </c>
      <c r="BF563">
        <f t="shared" si="452"/>
        <v>-58.732834489237725</v>
      </c>
      <c r="BG563">
        <f t="shared" si="453"/>
        <v>-191.34669615413273</v>
      </c>
      <c r="BH563">
        <f t="shared" si="464"/>
        <v>-11.346696154132729</v>
      </c>
      <c r="BI563">
        <f t="shared" si="465"/>
        <v>-11.346696154132729</v>
      </c>
      <c r="BJ563">
        <f t="shared" si="454"/>
        <v>0</v>
      </c>
      <c r="BK563">
        <f t="shared" si="466"/>
        <v>0</v>
      </c>
      <c r="BM563">
        <f t="shared" si="467"/>
        <v>-54.743154877832474</v>
      </c>
      <c r="BN563">
        <f t="shared" si="455"/>
        <v>-93.896061272928364</v>
      </c>
      <c r="BQ563" s="56">
        <f t="shared" si="468"/>
        <v>12.912281188879888</v>
      </c>
    </row>
    <row r="564" spans="1:69" x14ac:dyDescent="0.25">
      <c r="A564">
        <f t="shared" si="472"/>
        <v>1750000</v>
      </c>
      <c r="B564">
        <f t="shared" si="456"/>
        <v>1750</v>
      </c>
      <c r="C564">
        <f t="shared" si="425"/>
        <v>14.548566379447209</v>
      </c>
      <c r="D564">
        <f t="shared" si="426"/>
        <v>1.5020067927488856</v>
      </c>
      <c r="F564">
        <f t="shared" si="427"/>
        <v>8.369167741727022E-6</v>
      </c>
      <c r="G564">
        <f t="shared" si="428"/>
        <v>9.8409625922262606E-4</v>
      </c>
      <c r="H564">
        <f t="shared" si="429"/>
        <v>-3.1406085537407775</v>
      </c>
      <c r="J564">
        <f t="shared" si="430"/>
        <v>15</v>
      </c>
      <c r="M564">
        <f t="shared" si="431"/>
        <v>8.5377369811605059E-4</v>
      </c>
      <c r="N564">
        <f t="shared" si="432"/>
        <v>-1.5707963250000001</v>
      </c>
      <c r="O564">
        <f t="shared" si="433"/>
        <v>447.54298135357459</v>
      </c>
      <c r="P564">
        <f t="shared" si="434"/>
        <v>1.5685619026752633</v>
      </c>
      <c r="Q564">
        <f t="shared" si="435"/>
        <v>378.78785820184675</v>
      </c>
      <c r="R564">
        <f t="shared" si="436"/>
        <v>1.5681563235847862</v>
      </c>
      <c r="S564">
        <f t="shared" si="437"/>
        <v>6.9841111757877578E-2</v>
      </c>
      <c r="T564">
        <f t="shared" si="438"/>
        <v>-1.5008983117721761</v>
      </c>
      <c r="U564">
        <f t="shared" si="439"/>
        <v>8.9390222199200689E-2</v>
      </c>
      <c r="V564">
        <f t="shared" si="440"/>
        <v>-1.4812866273875125</v>
      </c>
      <c r="X564">
        <f t="shared" si="457"/>
        <v>-55.648630721431083</v>
      </c>
      <c r="Y564">
        <f t="shared" si="441"/>
        <v>-175.03086015956762</v>
      </c>
      <c r="Z564">
        <f t="shared" si="458"/>
        <v>4.9691398404323763</v>
      </c>
      <c r="AC564">
        <v>1</v>
      </c>
      <c r="AD564">
        <f t="shared" si="442"/>
        <v>447.54186414104998</v>
      </c>
      <c r="AE564">
        <f t="shared" si="443"/>
        <v>-0.59051757700018492</v>
      </c>
      <c r="AF564">
        <f t="shared" si="444"/>
        <v>5.2998668005500002E-2</v>
      </c>
      <c r="AG564">
        <f t="shared" si="473"/>
        <v>65.796011075973354</v>
      </c>
      <c r="AH564">
        <f t="shared" si="474"/>
        <v>-751.97552196453785</v>
      </c>
      <c r="AJ564">
        <f t="shared" si="445"/>
        <v>22100</v>
      </c>
      <c r="AK564">
        <f t="shared" si="446"/>
        <v>315659.84672927257</v>
      </c>
      <c r="AL564">
        <v>1</v>
      </c>
      <c r="AM564">
        <f t="shared" si="447"/>
        <v>378.78653819947505</v>
      </c>
      <c r="AN564">
        <f t="shared" si="475"/>
        <v>833.49316479604647</v>
      </c>
      <c r="AO564">
        <f t="shared" si="476"/>
        <v>-56.143776746376005</v>
      </c>
      <c r="AQ564">
        <f t="shared" si="448"/>
        <v>8.163264639733499E-4</v>
      </c>
      <c r="AR564">
        <f t="shared" si="449"/>
        <v>-2.8571426239067246</v>
      </c>
      <c r="AT564">
        <f t="shared" si="470"/>
        <v>-2148.4476049143232</v>
      </c>
      <c r="AU564">
        <f t="shared" si="471"/>
        <v>-188.60244524704225</v>
      </c>
      <c r="AV564">
        <f t="shared" si="459"/>
        <v>-3.0540316640241025</v>
      </c>
      <c r="AW564">
        <f t="shared" si="460"/>
        <v>742.6285775226329</v>
      </c>
      <c r="AX564">
        <f t="shared" si="461"/>
        <v>-3342.9099581615174</v>
      </c>
      <c r="AY564">
        <f t="shared" si="469"/>
        <v>-1.3521958832810501</v>
      </c>
      <c r="BA564">
        <f t="shared" si="450"/>
        <v>0.62980590511900436</v>
      </c>
      <c r="BB564">
        <f t="shared" si="462"/>
        <v>-4.0158654338949997</v>
      </c>
      <c r="BC564">
        <f t="shared" si="463"/>
        <v>-1.7018357807430524</v>
      </c>
      <c r="BD564">
        <f t="shared" si="451"/>
        <v>-277.50800777234736</v>
      </c>
      <c r="BF564">
        <f t="shared" si="452"/>
        <v>-58.783990805975549</v>
      </c>
      <c r="BG564">
        <f t="shared" si="453"/>
        <v>-191.39297308716647</v>
      </c>
      <c r="BH564">
        <f t="shared" si="464"/>
        <v>-11.392973087166467</v>
      </c>
      <c r="BI564">
        <f t="shared" si="465"/>
        <v>-11.392973087166467</v>
      </c>
      <c r="BJ564">
        <f t="shared" si="454"/>
        <v>0</v>
      </c>
      <c r="BK564">
        <f t="shared" si="466"/>
        <v>0</v>
      </c>
      <c r="BM564">
        <f t="shared" si="467"/>
        <v>-54.768125372080547</v>
      </c>
      <c r="BN564">
        <f t="shared" si="455"/>
        <v>-93.88496531481907</v>
      </c>
      <c r="BQ564" s="56">
        <f t="shared" si="468"/>
        <v>12.886095366390135</v>
      </c>
    </row>
    <row r="565" spans="1:69" x14ac:dyDescent="0.25">
      <c r="A565">
        <f t="shared" si="472"/>
        <v>1755000</v>
      </c>
      <c r="B565">
        <f t="shared" si="456"/>
        <v>1755</v>
      </c>
      <c r="C565">
        <f t="shared" si="425"/>
        <v>14.589937603838118</v>
      </c>
      <c r="D565">
        <f t="shared" si="426"/>
        <v>1.5022021592828594</v>
      </c>
      <c r="F565">
        <f t="shared" si="427"/>
        <v>8.3215477315794141E-6</v>
      </c>
      <c r="G565">
        <f t="shared" si="428"/>
        <v>9.8129252097516029E-4</v>
      </c>
      <c r="H565">
        <f t="shared" si="429"/>
        <v>-3.1406113574790249</v>
      </c>
      <c r="J565">
        <f t="shared" si="430"/>
        <v>15</v>
      </c>
      <c r="M565">
        <f t="shared" si="431"/>
        <v>8.513412944177142E-4</v>
      </c>
      <c r="N565">
        <f t="shared" si="432"/>
        <v>-1.5707963250000001</v>
      </c>
      <c r="O565">
        <f t="shared" si="433"/>
        <v>448.82166921104385</v>
      </c>
      <c r="P565">
        <f t="shared" si="434"/>
        <v>1.5685682685348481</v>
      </c>
      <c r="Q565">
        <f t="shared" si="435"/>
        <v>379.87010169316784</v>
      </c>
      <c r="R565">
        <f t="shared" si="436"/>
        <v>1.5681638449266548</v>
      </c>
      <c r="S565">
        <f t="shared" si="437"/>
        <v>6.9643100676604119E-2</v>
      </c>
      <c r="T565">
        <f t="shared" si="438"/>
        <v>-1.5010968061767709</v>
      </c>
      <c r="U565">
        <f t="shared" si="439"/>
        <v>8.9137575575354594E-2</v>
      </c>
      <c r="V565">
        <f t="shared" si="440"/>
        <v>-1.481540286617113</v>
      </c>
      <c r="X565">
        <f t="shared" si="457"/>
        <v>-55.697993047483941</v>
      </c>
      <c r="Y565">
        <f t="shared" si="441"/>
        <v>-175.04493794099571</v>
      </c>
      <c r="Z565">
        <f t="shared" si="458"/>
        <v>4.9550620590042911</v>
      </c>
      <c r="AC565">
        <v>1</v>
      </c>
      <c r="AD565">
        <f t="shared" si="442"/>
        <v>448.82055518145296</v>
      </c>
      <c r="AE565">
        <f t="shared" si="443"/>
        <v>-0.59389678370612065</v>
      </c>
      <c r="AF565">
        <f t="shared" si="444"/>
        <v>5.3150092771229999E-2</v>
      </c>
      <c r="AG565">
        <f t="shared" si="473"/>
        <v>65.424613659576693</v>
      </c>
      <c r="AH565">
        <f t="shared" si="474"/>
        <v>-749.86637933418194</v>
      </c>
      <c r="AJ565">
        <f t="shared" si="445"/>
        <v>22100</v>
      </c>
      <c r="AK565">
        <f t="shared" si="446"/>
        <v>316561.73200564191</v>
      </c>
      <c r="AL565">
        <v>1</v>
      </c>
      <c r="AM565">
        <f t="shared" si="447"/>
        <v>379.86878545147357</v>
      </c>
      <c r="AN565">
        <f t="shared" si="475"/>
        <v>833.49232144601899</v>
      </c>
      <c r="AO565">
        <f t="shared" si="476"/>
        <v>-55.983825186580567</v>
      </c>
      <c r="AQ565">
        <f t="shared" si="448"/>
        <v>8.1168165747991835E-4</v>
      </c>
      <c r="AR565">
        <f t="shared" si="449"/>
        <v>-2.8490026177545134</v>
      </c>
      <c r="AT565">
        <f t="shared" si="470"/>
        <v>-2136.3181737303285</v>
      </c>
      <c r="AU565">
        <f t="shared" si="471"/>
        <v>-187.00354836737813</v>
      </c>
      <c r="AV565">
        <f t="shared" si="459"/>
        <v>-3.0542797713948659</v>
      </c>
      <c r="AW565">
        <f t="shared" si="460"/>
        <v>743.14784767467245</v>
      </c>
      <c r="AX565">
        <f t="shared" si="461"/>
        <v>-3333.4181036468613</v>
      </c>
      <c r="AY565">
        <f t="shared" si="469"/>
        <v>-1.3514447379756944</v>
      </c>
      <c r="BA565">
        <f t="shared" si="450"/>
        <v>0.62791483268002313</v>
      </c>
      <c r="BB565">
        <f t="shared" si="462"/>
        <v>-4.0419851572754055</v>
      </c>
      <c r="BC565">
        <f t="shared" si="463"/>
        <v>-1.7028350334191715</v>
      </c>
      <c r="BD565">
        <f t="shared" si="451"/>
        <v>-277.56526073342161</v>
      </c>
      <c r="BF565">
        <f t="shared" si="452"/>
        <v>-58.835009112885629</v>
      </c>
      <c r="BG565">
        <f t="shared" si="453"/>
        <v>-191.4391930127417</v>
      </c>
      <c r="BH565">
        <f t="shared" si="464"/>
        <v>-11.439193012741697</v>
      </c>
      <c r="BI565">
        <f t="shared" si="465"/>
        <v>-11.439193012741697</v>
      </c>
      <c r="BJ565">
        <f t="shared" si="454"/>
        <v>0</v>
      </c>
      <c r="BK565">
        <f t="shared" si="466"/>
        <v>0</v>
      </c>
      <c r="BM565">
        <f t="shared" si="467"/>
        <v>-54.793023955610217</v>
      </c>
      <c r="BN565">
        <f t="shared" si="455"/>
        <v>-93.873932279320087</v>
      </c>
      <c r="BQ565" s="56">
        <f t="shared" si="468"/>
        <v>12.859975643009731</v>
      </c>
    </row>
    <row r="566" spans="1:69" x14ac:dyDescent="0.25">
      <c r="A566">
        <f t="shared" si="472"/>
        <v>1760000</v>
      </c>
      <c r="B566">
        <f t="shared" si="456"/>
        <v>1760</v>
      </c>
      <c r="C566">
        <f t="shared" si="425"/>
        <v>14.631309381949771</v>
      </c>
      <c r="D566">
        <f t="shared" si="426"/>
        <v>1.5023964209797067</v>
      </c>
      <c r="F566">
        <f t="shared" si="427"/>
        <v>8.2743330012668953E-6</v>
      </c>
      <c r="G566">
        <f t="shared" si="428"/>
        <v>9.785047134422476E-4</v>
      </c>
      <c r="H566">
        <f t="shared" si="429"/>
        <v>-3.1406141452865581</v>
      </c>
      <c r="J566">
        <f t="shared" si="430"/>
        <v>15</v>
      </c>
      <c r="M566">
        <f t="shared" si="431"/>
        <v>8.489227111949366E-4</v>
      </c>
      <c r="N566">
        <f t="shared" si="432"/>
        <v>-1.5707963250000001</v>
      </c>
      <c r="O566">
        <f t="shared" si="433"/>
        <v>450.10035708659785</v>
      </c>
      <c r="P566">
        <f t="shared" si="434"/>
        <v>1.5685745982249553</v>
      </c>
      <c r="Q566">
        <f t="shared" si="435"/>
        <v>380.95234520585626</v>
      </c>
      <c r="R566">
        <f t="shared" si="436"/>
        <v>1.5681713235339221</v>
      </c>
      <c r="S566">
        <f t="shared" si="437"/>
        <v>6.9446206496227528E-2</v>
      </c>
      <c r="T566">
        <f t="shared" si="438"/>
        <v>-1.5012941782268696</v>
      </c>
      <c r="U566">
        <f t="shared" si="439"/>
        <v>8.8886347383053982E-2</v>
      </c>
      <c r="V566">
        <f t="shared" si="440"/>
        <v>-1.4817925160203045</v>
      </c>
      <c r="X566">
        <f t="shared" si="457"/>
        <v>-55.747216067215746</v>
      </c>
      <c r="Y566">
        <f t="shared" si="441"/>
        <v>-175.05893640384176</v>
      </c>
      <c r="Z566">
        <f t="shared" si="458"/>
        <v>4.9410635961582443</v>
      </c>
      <c r="AC566">
        <v>1</v>
      </c>
      <c r="AD566">
        <f t="shared" si="442"/>
        <v>450.09924622185605</v>
      </c>
      <c r="AE566">
        <f t="shared" si="443"/>
        <v>-0.59728563151535441</v>
      </c>
      <c r="AF566">
        <f t="shared" si="444"/>
        <v>5.3301517536960004E-2</v>
      </c>
      <c r="AG566">
        <f t="shared" si="473"/>
        <v>65.056343718942529</v>
      </c>
      <c r="AH566">
        <f t="shared" si="474"/>
        <v>-747.76894137415525</v>
      </c>
      <c r="AJ566">
        <f t="shared" si="445"/>
        <v>22100</v>
      </c>
      <c r="AK566">
        <f t="shared" si="446"/>
        <v>317463.61728201126</v>
      </c>
      <c r="AL566">
        <v>1</v>
      </c>
      <c r="AM566">
        <f t="shared" si="447"/>
        <v>380.95103270347204</v>
      </c>
      <c r="AN566">
        <f t="shared" si="475"/>
        <v>833.49148527335387</v>
      </c>
      <c r="AO566">
        <f t="shared" si="476"/>
        <v>-55.82478242362518</v>
      </c>
      <c r="AQ566">
        <f t="shared" si="448"/>
        <v>8.0707638114375794E-4</v>
      </c>
      <c r="AR566">
        <f t="shared" si="449"/>
        <v>-2.8409088616260281</v>
      </c>
      <c r="AT566">
        <f t="shared" si="470"/>
        <v>-2124.290906560092</v>
      </c>
      <c r="AU566">
        <f t="shared" si="471"/>
        <v>-185.42265002726856</v>
      </c>
      <c r="AV566">
        <f t="shared" si="459"/>
        <v>-3.0545264804836942</v>
      </c>
      <c r="AW566">
        <f t="shared" si="460"/>
        <v>743.66266372201176</v>
      </c>
      <c r="AX566">
        <f t="shared" si="461"/>
        <v>-3323.9799107747381</v>
      </c>
      <c r="AY566">
        <f t="shared" si="469"/>
        <v>-1.3506942721727597</v>
      </c>
      <c r="BA566">
        <f t="shared" si="450"/>
        <v>0.62603417460824784</v>
      </c>
      <c r="BB566">
        <f t="shared" si="462"/>
        <v>-4.0680391684216035</v>
      </c>
      <c r="BC566">
        <f t="shared" si="463"/>
        <v>-1.7038322083109345</v>
      </c>
      <c r="BD566">
        <f t="shared" si="451"/>
        <v>-277.62239464622132</v>
      </c>
      <c r="BF566">
        <f t="shared" si="452"/>
        <v>-58.885890211651429</v>
      </c>
      <c r="BG566">
        <f t="shared" si="453"/>
        <v>-191.48535627978421</v>
      </c>
      <c r="BH566">
        <f t="shared" si="464"/>
        <v>-11.485356279784213</v>
      </c>
      <c r="BI566">
        <f t="shared" si="465"/>
        <v>-11.485356279784213</v>
      </c>
      <c r="BJ566">
        <f t="shared" si="454"/>
        <v>0</v>
      </c>
      <c r="BK566">
        <f t="shared" si="466"/>
        <v>0</v>
      </c>
      <c r="BM566">
        <f t="shared" si="467"/>
        <v>-54.817851043229822</v>
      </c>
      <c r="BN566">
        <f t="shared" si="455"/>
        <v>-93.862961633562904</v>
      </c>
      <c r="BQ566" s="56">
        <f t="shared" si="468"/>
        <v>12.833921631863534</v>
      </c>
    </row>
    <row r="567" spans="1:69" x14ac:dyDescent="0.25">
      <c r="A567">
        <f t="shared" si="472"/>
        <v>1765000</v>
      </c>
      <c r="B567">
        <f t="shared" si="456"/>
        <v>1765</v>
      </c>
      <c r="C567">
        <f t="shared" si="425"/>
        <v>14.672681709098272</v>
      </c>
      <c r="D567">
        <f t="shared" si="426"/>
        <v>1.5025895871705786</v>
      </c>
      <c r="F567">
        <f t="shared" si="427"/>
        <v>8.2275189648346182E-6</v>
      </c>
      <c r="G567">
        <f t="shared" si="428"/>
        <v>9.7573270123105064E-4</v>
      </c>
      <c r="H567">
        <f t="shared" si="429"/>
        <v>-3.140616917298769</v>
      </c>
      <c r="J567">
        <f t="shared" si="430"/>
        <v>15</v>
      </c>
      <c r="M567">
        <f t="shared" si="431"/>
        <v>8.4651783099325118E-4</v>
      </c>
      <c r="N567">
        <f t="shared" si="432"/>
        <v>-1.5707963250000001</v>
      </c>
      <c r="O567">
        <f t="shared" si="433"/>
        <v>451.37904498008299</v>
      </c>
      <c r="P567">
        <f t="shared" si="434"/>
        <v>1.568580892052972</v>
      </c>
      <c r="Q567">
        <f t="shared" si="435"/>
        <v>382.0345887397304</v>
      </c>
      <c r="R567">
        <f t="shared" si="436"/>
        <v>1.5681787597697678</v>
      </c>
      <c r="S567">
        <f t="shared" si="437"/>
        <v>6.9250419816213785E-2</v>
      </c>
      <c r="T567">
        <f t="shared" si="438"/>
        <v>-1.5014904373996449</v>
      </c>
      <c r="U567">
        <f t="shared" si="439"/>
        <v>8.8636525758244683E-2</v>
      </c>
      <c r="V567">
        <f t="shared" si="440"/>
        <v>-1.4820433276207547</v>
      </c>
      <c r="X567">
        <f t="shared" si="457"/>
        <v>-55.796300561567122</v>
      </c>
      <c r="Y567">
        <f t="shared" si="441"/>
        <v>-175.07285621471422</v>
      </c>
      <c r="Z567">
        <f t="shared" si="458"/>
        <v>4.9271437852857787</v>
      </c>
      <c r="AC567">
        <v>1</v>
      </c>
      <c r="AD567">
        <f t="shared" si="442"/>
        <v>451.37793726225897</v>
      </c>
      <c r="AE567">
        <f t="shared" si="443"/>
        <v>-0.6006841204278861</v>
      </c>
      <c r="AF567">
        <f t="shared" si="444"/>
        <v>5.3452942302689994E-2</v>
      </c>
      <c r="AG567">
        <f t="shared" si="473"/>
        <v>64.691166330697428</v>
      </c>
      <c r="AH567">
        <f t="shared" si="474"/>
        <v>-745.68311171905623</v>
      </c>
      <c r="AJ567">
        <f t="shared" si="445"/>
        <v>22100</v>
      </c>
      <c r="AK567">
        <f t="shared" si="446"/>
        <v>318365.5025583806</v>
      </c>
      <c r="AL567">
        <v>1</v>
      </c>
      <c r="AM567">
        <f t="shared" si="447"/>
        <v>382.03327995547056</v>
      </c>
      <c r="AN567">
        <f t="shared" si="475"/>
        <v>833.49065619683631</v>
      </c>
      <c r="AO567">
        <f t="shared" si="476"/>
        <v>-55.666640734236466</v>
      </c>
      <c r="AQ567">
        <f t="shared" si="448"/>
        <v>8.0251018766620483E-4</v>
      </c>
      <c r="AR567">
        <f t="shared" si="449"/>
        <v>-2.8328609624617034</v>
      </c>
      <c r="AT567">
        <f t="shared" si="470"/>
        <v>-2112.364662235851</v>
      </c>
      <c r="AU567">
        <f t="shared" si="471"/>
        <v>-183.85949800827484</v>
      </c>
      <c r="AV567">
        <f t="shared" si="459"/>
        <v>-3.0547718030461737</v>
      </c>
      <c r="AW567">
        <f t="shared" si="460"/>
        <v>744.1730765499733</v>
      </c>
      <c r="AX567">
        <f t="shared" si="461"/>
        <v>-3314.5949264930468</v>
      </c>
      <c r="AY567">
        <f t="shared" si="469"/>
        <v>-1.3499444824162212</v>
      </c>
      <c r="BA567">
        <f t="shared" si="450"/>
        <v>0.62416384373206835</v>
      </c>
      <c r="BB567">
        <f t="shared" si="462"/>
        <v>-4.0940278509479331</v>
      </c>
      <c r="BC567">
        <f t="shared" si="463"/>
        <v>-1.7048273206299525</v>
      </c>
      <c r="BD567">
        <f t="shared" si="451"/>
        <v>-277.67941038230765</v>
      </c>
      <c r="BF567">
        <f t="shared" si="452"/>
        <v>-58.936634897102074</v>
      </c>
      <c r="BG567">
        <f t="shared" si="453"/>
        <v>-191.53146323297696</v>
      </c>
      <c r="BH567">
        <f t="shared" si="464"/>
        <v>-11.531463232976961</v>
      </c>
      <c r="BI567">
        <f t="shared" si="465"/>
        <v>-11.531463232976961</v>
      </c>
      <c r="BJ567">
        <f t="shared" si="454"/>
        <v>0</v>
      </c>
      <c r="BK567">
        <f t="shared" si="466"/>
        <v>0</v>
      </c>
      <c r="BM567">
        <f t="shared" si="467"/>
        <v>-54.842607046154143</v>
      </c>
      <c r="BN567">
        <f t="shared" si="455"/>
        <v>-93.85205285066931</v>
      </c>
      <c r="BQ567" s="56">
        <f t="shared" si="468"/>
        <v>12.807932949337204</v>
      </c>
    </row>
    <row r="568" spans="1:69" x14ac:dyDescent="0.25">
      <c r="A568">
        <f t="shared" si="472"/>
        <v>1770000</v>
      </c>
      <c r="B568">
        <f t="shared" si="456"/>
        <v>1770</v>
      </c>
      <c r="C568">
        <f t="shared" si="425"/>
        <v>14.71405458065235</v>
      </c>
      <c r="D568">
        <f t="shared" si="426"/>
        <v>1.5027816670820051</v>
      </c>
      <c r="F568">
        <f t="shared" si="427"/>
        <v>8.1811011010104981E-6</v>
      </c>
      <c r="G568">
        <f t="shared" si="428"/>
        <v>9.7297635047865539E-4</v>
      </c>
      <c r="H568">
        <f t="shared" si="429"/>
        <v>-3.1406196736495215</v>
      </c>
      <c r="J568">
        <f t="shared" si="430"/>
        <v>15</v>
      </c>
      <c r="M568">
        <f t="shared" si="431"/>
        <v>8.4412653768536059E-4</v>
      </c>
      <c r="N568">
        <f t="shared" si="432"/>
        <v>-1.5707963250000001</v>
      </c>
      <c r="O568">
        <f t="shared" si="433"/>
        <v>452.65773289134722</v>
      </c>
      <c r="P568">
        <f t="shared" si="434"/>
        <v>1.5685871503228124</v>
      </c>
      <c r="Q568">
        <f t="shared" si="435"/>
        <v>383.1168322946109</v>
      </c>
      <c r="R568">
        <f t="shared" si="436"/>
        <v>1.5681861539932687</v>
      </c>
      <c r="S568">
        <f t="shared" si="437"/>
        <v>6.9055731340971344E-2</v>
      </c>
      <c r="T568">
        <f t="shared" si="438"/>
        <v>-1.5016855930660407</v>
      </c>
      <c r="U568">
        <f t="shared" si="439"/>
        <v>8.8388098968280426E-2</v>
      </c>
      <c r="V568">
        <f t="shared" si="440"/>
        <v>-1.482292733308052</v>
      </c>
      <c r="X568">
        <f t="shared" si="457"/>
        <v>-55.845247304956239</v>
      </c>
      <c r="Y568">
        <f t="shared" si="441"/>
        <v>-175.08669803279398</v>
      </c>
      <c r="Z568">
        <f t="shared" si="458"/>
        <v>4.9133019672060243</v>
      </c>
      <c r="AC568">
        <v>1</v>
      </c>
      <c r="AD568">
        <f t="shared" si="442"/>
        <v>452.65662830266206</v>
      </c>
      <c r="AE568">
        <f t="shared" si="443"/>
        <v>-0.60409225044371573</v>
      </c>
      <c r="AF568">
        <f t="shared" si="444"/>
        <v>5.3604367068419999E-2</v>
      </c>
      <c r="AG568">
        <f t="shared" si="473"/>
        <v>64.329047056284011</v>
      </c>
      <c r="AH568">
        <f t="shared" si="474"/>
        <v>-743.60879504933951</v>
      </c>
      <c r="AJ568">
        <f t="shared" si="445"/>
        <v>22100</v>
      </c>
      <c r="AK568">
        <f t="shared" si="446"/>
        <v>319267.38783474994</v>
      </c>
      <c r="AL568">
        <v>1</v>
      </c>
      <c r="AM568">
        <f t="shared" si="447"/>
        <v>383.11552720746903</v>
      </c>
      <c r="AN568">
        <f t="shared" si="475"/>
        <v>833.48983413639883</v>
      </c>
      <c r="AO568">
        <f t="shared" si="476"/>
        <v>-55.509392482406803</v>
      </c>
      <c r="AQ568">
        <f t="shared" si="448"/>
        <v>7.9798263605743592E-4</v>
      </c>
      <c r="AR568">
        <f t="shared" si="449"/>
        <v>-2.824858531643323</v>
      </c>
      <c r="AT568">
        <f t="shared" si="470"/>
        <v>-2100.5383154375927</v>
      </c>
      <c r="AU568">
        <f t="shared" si="471"/>
        <v>-182.31384431589765</v>
      </c>
      <c r="AV568">
        <f t="shared" si="459"/>
        <v>-3.0550157507068403</v>
      </c>
      <c r="AW568">
        <f t="shared" si="460"/>
        <v>744.67913631808665</v>
      </c>
      <c r="AX568">
        <f t="shared" si="461"/>
        <v>-3305.2627028275119</v>
      </c>
      <c r="AY568">
        <f t="shared" si="469"/>
        <v>-1.3491953652950706</v>
      </c>
      <c r="BA568">
        <f t="shared" si="450"/>
        <v>0.62230375385248349</v>
      </c>
      <c r="BB568">
        <f t="shared" si="462"/>
        <v>-4.1199515852438253</v>
      </c>
      <c r="BC568">
        <f t="shared" si="463"/>
        <v>-1.7058203854117697</v>
      </c>
      <c r="BD568">
        <f t="shared" si="451"/>
        <v>-277.73630880315386</v>
      </c>
      <c r="BF568">
        <f t="shared" si="452"/>
        <v>-58.987243957289763</v>
      </c>
      <c r="BG568">
        <f t="shared" si="453"/>
        <v>-191.57751421282177</v>
      </c>
      <c r="BH568">
        <f t="shared" si="464"/>
        <v>-11.577514212821768</v>
      </c>
      <c r="BI568">
        <f t="shared" si="465"/>
        <v>-11.577514212821768</v>
      </c>
      <c r="BJ568">
        <f t="shared" si="454"/>
        <v>0</v>
      </c>
      <c r="BK568">
        <f t="shared" si="466"/>
        <v>0</v>
      </c>
      <c r="BM568">
        <f t="shared" si="467"/>
        <v>-54.867292372045938</v>
      </c>
      <c r="BN568">
        <f t="shared" si="455"/>
        <v>-93.841205409667907</v>
      </c>
      <c r="BQ568" s="56">
        <f t="shared" si="468"/>
        <v>12.782009215041313</v>
      </c>
    </row>
    <row r="569" spans="1:69" x14ac:dyDescent="0.25">
      <c r="A569">
        <f t="shared" si="472"/>
        <v>1775000</v>
      </c>
      <c r="B569">
        <f t="shared" si="456"/>
        <v>1775</v>
      </c>
      <c r="C569">
        <f t="shared" si="425"/>
        <v>14.755427992032617</v>
      </c>
      <c r="D569">
        <f t="shared" si="426"/>
        <v>1.5029726698373576</v>
      </c>
      <c r="F569">
        <f t="shared" si="427"/>
        <v>8.1350749521135084E-6</v>
      </c>
      <c r="G569">
        <f t="shared" si="428"/>
        <v>9.7023552883052241E-4</v>
      </c>
      <c r="H569">
        <f t="shared" si="429"/>
        <v>-3.1406224144711699</v>
      </c>
      <c r="J569">
        <f t="shared" si="430"/>
        <v>15</v>
      </c>
      <c r="M569">
        <f t="shared" si="431"/>
        <v>8.4174871645244427E-4</v>
      </c>
      <c r="N569">
        <f t="shared" si="432"/>
        <v>-1.5707963250000001</v>
      </c>
      <c r="O569">
        <f t="shared" si="433"/>
        <v>453.93642082024041</v>
      </c>
      <c r="P569">
        <f t="shared" si="434"/>
        <v>1.568593373334966</v>
      </c>
      <c r="Q569">
        <f t="shared" si="435"/>
        <v>384.19907587031997</v>
      </c>
      <c r="R569">
        <f t="shared" si="436"/>
        <v>1.5681935065594554</v>
      </c>
      <c r="S569">
        <f t="shared" si="437"/>
        <v>6.886213187839442E-2</v>
      </c>
      <c r="T569">
        <f t="shared" si="438"/>
        <v>-1.5018796544922508</v>
      </c>
      <c r="U569">
        <f t="shared" si="439"/>
        <v>8.814105541011609E-2</v>
      </c>
      <c r="V569">
        <f t="shared" si="440"/>
        <v>-1.4825407448395629</v>
      </c>
      <c r="X569">
        <f t="shared" si="457"/>
        <v>-55.894057065350999</v>
      </c>
      <c r="Y569">
        <f t="shared" si="441"/>
        <v>-175.10046250993642</v>
      </c>
      <c r="Z569">
        <f t="shared" si="458"/>
        <v>4.8995374900635795</v>
      </c>
      <c r="AC569">
        <v>1</v>
      </c>
      <c r="AD569">
        <f t="shared" si="442"/>
        <v>453.93531934306503</v>
      </c>
      <c r="AE569">
        <f t="shared" si="443"/>
        <v>-0.60751002156284339</v>
      </c>
      <c r="AF569">
        <f t="shared" si="444"/>
        <v>5.3755791834149996E-2</v>
      </c>
      <c r="AG569">
        <f t="shared" si="473"/>
        <v>63.96995193392852</v>
      </c>
      <c r="AH569">
        <f t="shared" si="474"/>
        <v>-741.54589707729281</v>
      </c>
      <c r="AJ569">
        <f t="shared" si="445"/>
        <v>22100</v>
      </c>
      <c r="AK569">
        <f t="shared" si="446"/>
        <v>320169.27311111928</v>
      </c>
      <c r="AL569">
        <v>1</v>
      </c>
      <c r="AM569">
        <f t="shared" si="447"/>
        <v>384.19777445946755</v>
      </c>
      <c r="AN569">
        <f t="shared" si="475"/>
        <v>833.48901901309898</v>
      </c>
      <c r="AO569">
        <f t="shared" si="476"/>
        <v>-55.35303011816508</v>
      </c>
      <c r="AQ569">
        <f t="shared" si="448"/>
        <v>7.9349329152999073E-4</v>
      </c>
      <c r="AR569">
        <f t="shared" si="449"/>
        <v>-2.8169011849314671</v>
      </c>
      <c r="AT569">
        <f t="shared" si="470"/>
        <v>-2088.8107564303746</v>
      </c>
      <c r="AU569">
        <f t="shared" si="471"/>
        <v>-180.78544509738467</v>
      </c>
      <c r="AV569">
        <f t="shared" si="459"/>
        <v>-3.0552583349609956</v>
      </c>
      <c r="AW569">
        <f t="shared" si="460"/>
        <v>745.18089247249236</v>
      </c>
      <c r="AX569">
        <f t="shared" si="461"/>
        <v>-3295.9827968108357</v>
      </c>
      <c r="AY569">
        <f t="shared" si="469"/>
        <v>-1.3484469174426379</v>
      </c>
      <c r="BA569">
        <f t="shared" si="450"/>
        <v>0.62045381972961833</v>
      </c>
      <c r="BB569">
        <f t="shared" si="462"/>
        <v>-4.1458107485091293</v>
      </c>
      <c r="BC569">
        <f t="shared" si="463"/>
        <v>-1.7068114175183577</v>
      </c>
      <c r="BD569">
        <f t="shared" si="451"/>
        <v>-277.79309076028824</v>
      </c>
      <c r="BF569">
        <f t="shared" si="452"/>
        <v>-59.037718173566049</v>
      </c>
      <c r="BG569">
        <f t="shared" si="453"/>
        <v>-191.62350955569957</v>
      </c>
      <c r="BH569">
        <f t="shared" si="464"/>
        <v>-11.62350955569957</v>
      </c>
      <c r="BI569">
        <f t="shared" si="465"/>
        <v>-11.62350955569957</v>
      </c>
      <c r="BJ569">
        <f t="shared" si="454"/>
        <v>0</v>
      </c>
      <c r="BK569">
        <f t="shared" si="466"/>
        <v>0</v>
      </c>
      <c r="BM569">
        <f t="shared" si="467"/>
        <v>-54.891907425056914</v>
      </c>
      <c r="BN569">
        <f t="shared" si="455"/>
        <v>-93.830418795411362</v>
      </c>
      <c r="BQ569" s="56">
        <f t="shared" si="468"/>
        <v>12.756150051776007</v>
      </c>
    </row>
    <row r="570" spans="1:69" x14ac:dyDescent="0.25">
      <c r="A570">
        <f t="shared" si="472"/>
        <v>1780000</v>
      </c>
      <c r="B570">
        <f t="shared" si="456"/>
        <v>1780</v>
      </c>
      <c r="C570">
        <f t="shared" si="425"/>
        <v>14.796801938710839</v>
      </c>
      <c r="D570">
        <f t="shared" si="426"/>
        <v>1.5031626044582815</v>
      </c>
      <c r="F570">
        <f t="shared" si="427"/>
        <v>8.0894361229834082E-6</v>
      </c>
      <c r="G570">
        <f t="shared" si="428"/>
        <v>9.6751010541930023E-4</v>
      </c>
      <c r="H570">
        <f t="shared" si="429"/>
        <v>-3.1406251398945808</v>
      </c>
      <c r="J570">
        <f t="shared" si="430"/>
        <v>15</v>
      </c>
      <c r="M570">
        <f t="shared" si="431"/>
        <v>8.3938425376578008E-4</v>
      </c>
      <c r="N570">
        <f t="shared" si="432"/>
        <v>-1.5707963250000001</v>
      </c>
      <c r="O570">
        <f t="shared" si="433"/>
        <v>455.21510876661387</v>
      </c>
      <c r="P570">
        <f t="shared" si="434"/>
        <v>1.5685995613865464</v>
      </c>
      <c r="Q570">
        <f t="shared" si="435"/>
        <v>385.28131946668242</v>
      </c>
      <c r="R570">
        <f t="shared" si="436"/>
        <v>1.5682008178193696</v>
      </c>
      <c r="S570">
        <f t="shared" si="437"/>
        <v>6.8669612338430469E-2</v>
      </c>
      <c r="T570">
        <f t="shared" si="438"/>
        <v>-1.5020726308411794</v>
      </c>
      <c r="U570">
        <f t="shared" si="439"/>
        <v>8.7895383608530289E-2</v>
      </c>
      <c r="V570">
        <f t="shared" si="440"/>
        <v>-1.4827873738422619</v>
      </c>
      <c r="X570">
        <f t="shared" si="457"/>
        <v>-55.942730604340134</v>
      </c>
      <c r="Y570">
        <f t="shared" si="441"/>
        <v>-175.11415029077318</v>
      </c>
      <c r="Z570">
        <f t="shared" si="458"/>
        <v>4.885849709226818</v>
      </c>
      <c r="AC570">
        <v>1</v>
      </c>
      <c r="AD570">
        <f t="shared" si="442"/>
        <v>455.21401038346795</v>
      </c>
      <c r="AE570">
        <f t="shared" si="443"/>
        <v>-0.61093743378526888</v>
      </c>
      <c r="AF570">
        <f t="shared" si="444"/>
        <v>5.3907216599880001E-2</v>
      </c>
      <c r="AG570">
        <f t="shared" si="473"/>
        <v>63.613847470762956</v>
      </c>
      <c r="AH570">
        <f t="shared" si="474"/>
        <v>-739.49432453324221</v>
      </c>
      <c r="AJ570">
        <f t="shared" si="445"/>
        <v>22100</v>
      </c>
      <c r="AK570">
        <f t="shared" si="446"/>
        <v>321071.15838748863</v>
      </c>
      <c r="AL570">
        <v>1</v>
      </c>
      <c r="AM570">
        <f t="shared" si="447"/>
        <v>385.28002171146602</v>
      </c>
      <c r="AN570">
        <f t="shared" si="475"/>
        <v>833.488210749102</v>
      </c>
      <c r="AO570">
        <f t="shared" si="476"/>
        <v>-55.19754617636849</v>
      </c>
      <c r="AQ570">
        <f t="shared" si="448"/>
        <v>7.8904172539438473E-4</v>
      </c>
      <c r="AR570">
        <f t="shared" si="449"/>
        <v>-2.8089885424040095</v>
      </c>
      <c r="AT570">
        <f t="shared" si="470"/>
        <v>-2077.1808908067023</v>
      </c>
      <c r="AU570">
        <f t="shared" si="471"/>
        <v>-179.27406056135848</v>
      </c>
      <c r="AV570">
        <f t="shared" si="459"/>
        <v>-3.0554995671764922</v>
      </c>
      <c r="AW570">
        <f t="shared" si="460"/>
        <v>745.67839375810343</v>
      </c>
      <c r="AX570">
        <f t="shared" si="461"/>
        <v>-3286.7547704130479</v>
      </c>
      <c r="AY570">
        <f t="shared" si="469"/>
        <v>-1.3476991355359271</v>
      </c>
      <c r="BA570">
        <f t="shared" si="450"/>
        <v>0.61861395706946209</v>
      </c>
      <c r="BB570">
        <f t="shared" si="462"/>
        <v>-4.1716057147889867</v>
      </c>
      <c r="BC570">
        <f t="shared" si="463"/>
        <v>-1.7078004316405651</v>
      </c>
      <c r="BD570">
        <f t="shared" si="451"/>
        <v>-277.84975709543426</v>
      </c>
      <c r="BF570">
        <f t="shared" si="452"/>
        <v>-59.088058320657055</v>
      </c>
      <c r="BG570">
        <f t="shared" si="453"/>
        <v>-191.66944959392984</v>
      </c>
      <c r="BH570">
        <f t="shared" si="464"/>
        <v>-11.669449593929841</v>
      </c>
      <c r="BI570">
        <f t="shared" si="465"/>
        <v>-11.669449593929841</v>
      </c>
      <c r="BJ570">
        <f t="shared" si="454"/>
        <v>0</v>
      </c>
      <c r="BK570">
        <f t="shared" si="466"/>
        <v>0</v>
      </c>
      <c r="BM570">
        <f t="shared" si="467"/>
        <v>-54.916452605868066</v>
      </c>
      <c r="BN570">
        <f t="shared" si="455"/>
        <v>-93.819692498495584</v>
      </c>
      <c r="BQ570" s="56">
        <f t="shared" si="468"/>
        <v>12.73035508549615</v>
      </c>
    </row>
    <row r="571" spans="1:69" x14ac:dyDescent="0.25">
      <c r="A571">
        <f t="shared" si="472"/>
        <v>1785000</v>
      </c>
      <c r="B571">
        <f t="shared" si="456"/>
        <v>1785</v>
      </c>
      <c r="C571">
        <f t="shared" si="425"/>
        <v>14.83817641620923</v>
      </c>
      <c r="D571">
        <f t="shared" si="426"/>
        <v>1.5033514798661107</v>
      </c>
      <c r="F571">
        <f t="shared" si="427"/>
        <v>8.0441802799314264E-6</v>
      </c>
      <c r="G571">
        <f t="shared" si="428"/>
        <v>9.6479995084399525E-4</v>
      </c>
      <c r="H571">
        <f t="shared" si="429"/>
        <v>-3.1406278500491562</v>
      </c>
      <c r="J571">
        <f t="shared" si="430"/>
        <v>15</v>
      </c>
      <c r="M571">
        <f t="shared" si="431"/>
        <v>8.3703303736867699E-4</v>
      </c>
      <c r="N571">
        <f t="shared" si="432"/>
        <v>-1.5707963250000001</v>
      </c>
      <c r="O571">
        <f t="shared" si="433"/>
        <v>456.4937967303207</v>
      </c>
      <c r="P571">
        <f t="shared" si="434"/>
        <v>1.5686057147713381</v>
      </c>
      <c r="Q571">
        <f t="shared" si="435"/>
        <v>386.36356308352441</v>
      </c>
      <c r="R571">
        <f t="shared" si="436"/>
        <v>1.5682080881201195</v>
      </c>
      <c r="S571">
        <f t="shared" si="437"/>
        <v>6.847816373167108E-2</v>
      </c>
      <c r="T571">
        <f t="shared" si="438"/>
        <v>-1.5022645311738714</v>
      </c>
      <c r="U571">
        <f t="shared" si="439"/>
        <v>8.7651072214377387E-2</v>
      </c>
      <c r="V571">
        <f t="shared" si="440"/>
        <v>-1.4830326318145282</v>
      </c>
      <c r="X571">
        <f t="shared" si="457"/>
        <v>-55.991268677203493</v>
      </c>
      <c r="Y571">
        <f t="shared" si="441"/>
        <v>-175.12776201281147</v>
      </c>
      <c r="Z571">
        <f t="shared" si="458"/>
        <v>4.8722379871885266</v>
      </c>
      <c r="AC571">
        <v>1</v>
      </c>
      <c r="AD571">
        <f t="shared" si="442"/>
        <v>456.49270142387104</v>
      </c>
      <c r="AE571">
        <f t="shared" si="443"/>
        <v>-0.61437448711099252</v>
      </c>
      <c r="AF571">
        <f t="shared" si="444"/>
        <v>5.4058641365609998E-2</v>
      </c>
      <c r="AG571">
        <f t="shared" si="473"/>
        <v>63.26070063509804</v>
      </c>
      <c r="AH571">
        <f t="shared" si="474"/>
        <v>-737.45398515197314</v>
      </c>
      <c r="AJ571">
        <f t="shared" si="445"/>
        <v>22100</v>
      </c>
      <c r="AK571">
        <f t="shared" si="446"/>
        <v>321973.04366385797</v>
      </c>
      <c r="AL571">
        <v>1</v>
      </c>
      <c r="AM571">
        <f t="shared" si="447"/>
        <v>386.36226896346454</v>
      </c>
      <c r="AN571">
        <f t="shared" si="475"/>
        <v>833.48740926766141</v>
      </c>
      <c r="AO571">
        <f t="shared" si="476"/>
        <v>-55.042933275514429</v>
      </c>
      <c r="AQ571">
        <f t="shared" si="448"/>
        <v>7.8462751495676579E-4</v>
      </c>
      <c r="AR571">
        <f t="shared" si="449"/>
        <v>-2.801120228395654</v>
      </c>
      <c r="AT571">
        <f t="shared" si="470"/>
        <v>-2065.6476392338468</v>
      </c>
      <c r="AU571">
        <f t="shared" si="471"/>
        <v>-177.77945489921967</v>
      </c>
      <c r="AV571">
        <f t="shared" si="459"/>
        <v>-3.0557394585954913</v>
      </c>
      <c r="AW571">
        <f t="shared" si="460"/>
        <v>746.17168823052202</v>
      </c>
      <c r="AX571">
        <f t="shared" si="461"/>
        <v>-3277.5781904730093</v>
      </c>
      <c r="AY571">
        <f t="shared" si="469"/>
        <v>-1.346952016294962</v>
      </c>
      <c r="BA571">
        <f t="shared" si="450"/>
        <v>0.61678408251082562</v>
      </c>
      <c r="BB571">
        <f t="shared" si="462"/>
        <v>-4.1973368550082188</v>
      </c>
      <c r="BC571">
        <f t="shared" si="463"/>
        <v>-1.7087874423005294</v>
      </c>
      <c r="BD571">
        <f t="shared" si="451"/>
        <v>-277.90630864064929</v>
      </c>
      <c r="BF571">
        <f t="shared" si="452"/>
        <v>-59.138265166737661</v>
      </c>
      <c r="BG571">
        <f t="shared" si="453"/>
        <v>-191.71533465582922</v>
      </c>
      <c r="BH571">
        <f t="shared" si="464"/>
        <v>-11.715334655829224</v>
      </c>
      <c r="BI571">
        <f t="shared" si="465"/>
        <v>-11.715334655829224</v>
      </c>
      <c r="BJ571">
        <f t="shared" si="454"/>
        <v>0</v>
      </c>
      <c r="BK571">
        <f t="shared" si="466"/>
        <v>0</v>
      </c>
      <c r="BM571">
        <f t="shared" si="467"/>
        <v>-54.940928311729436</v>
      </c>
      <c r="BN571">
        <f t="shared" si="455"/>
        <v>-93.809026015179953</v>
      </c>
      <c r="BQ571" s="56">
        <f t="shared" si="468"/>
        <v>12.704623945276918</v>
      </c>
    </row>
    <row r="572" spans="1:69" x14ac:dyDescent="0.25">
      <c r="A572">
        <f t="shared" si="472"/>
        <v>1790000</v>
      </c>
      <c r="B572">
        <f t="shared" si="456"/>
        <v>1790</v>
      </c>
      <c r="C572">
        <f t="shared" si="425"/>
        <v>14.879551420099752</v>
      </c>
      <c r="D572">
        <f t="shared" si="426"/>
        <v>1.5035393048832537</v>
      </c>
      <c r="F572">
        <f t="shared" si="427"/>
        <v>7.99930314971144E-6</v>
      </c>
      <c r="G572">
        <f t="shared" si="428"/>
        <v>9.621049371494921E-4</v>
      </c>
      <c r="H572">
        <f t="shared" si="429"/>
        <v>-3.1406305450628507</v>
      </c>
      <c r="J572">
        <f t="shared" si="430"/>
        <v>15</v>
      </c>
      <c r="M572">
        <f t="shared" si="431"/>
        <v>8.3469495625870858E-4</v>
      </c>
      <c r="N572">
        <f t="shared" si="432"/>
        <v>-1.5707963250000001</v>
      </c>
      <c r="O572">
        <f t="shared" si="433"/>
        <v>457.77248471121584</v>
      </c>
      <c r="P572">
        <f t="shared" si="434"/>
        <v>1.5686118337798429</v>
      </c>
      <c r="Q572">
        <f t="shared" si="435"/>
        <v>387.44580672067445</v>
      </c>
      <c r="R572">
        <f t="shared" si="436"/>
        <v>1.5682153178049356</v>
      </c>
      <c r="S572">
        <f t="shared" si="437"/>
        <v>6.8287777167966496E-2</v>
      </c>
      <c r="T572">
        <f t="shared" si="438"/>
        <v>-1.5024553644509235</v>
      </c>
      <c r="U572">
        <f t="shared" si="439"/>
        <v>8.7408110002867662E-2</v>
      </c>
      <c r="V572">
        <f t="shared" si="440"/>
        <v>-1.4832765301279145</v>
      </c>
      <c r="X572">
        <f t="shared" si="457"/>
        <v>-56.039672032981102</v>
      </c>
      <c r="Y572">
        <f t="shared" si="441"/>
        <v>-175.14129830653189</v>
      </c>
      <c r="Z572">
        <f t="shared" si="458"/>
        <v>4.858701693468106</v>
      </c>
      <c r="AC572">
        <v>1</v>
      </c>
      <c r="AD572">
        <f t="shared" si="442"/>
        <v>457.77139246427402</v>
      </c>
      <c r="AE572">
        <f t="shared" si="443"/>
        <v>-0.61782118154001398</v>
      </c>
      <c r="AF572">
        <f t="shared" si="444"/>
        <v>5.4210066131340003E-2</v>
      </c>
      <c r="AG572">
        <f t="shared" si="473"/>
        <v>62.910478848844164</v>
      </c>
      <c r="AH572">
        <f t="shared" si="474"/>
        <v>-735.42478765936687</v>
      </c>
      <c r="AJ572">
        <f t="shared" si="445"/>
        <v>22100</v>
      </c>
      <c r="AK572">
        <f t="shared" si="446"/>
        <v>322874.92894022731</v>
      </c>
      <c r="AL572">
        <v>1</v>
      </c>
      <c r="AM572">
        <f t="shared" si="447"/>
        <v>387.44451621546301</v>
      </c>
      <c r="AN572">
        <f t="shared" si="475"/>
        <v>833.48661449310168</v>
      </c>
      <c r="AO572">
        <f t="shared" si="476"/>
        <v>-54.88918411657248</v>
      </c>
      <c r="AQ572">
        <f t="shared" si="448"/>
        <v>7.8025024341856972E-4</v>
      </c>
      <c r="AR572">
        <f t="shared" si="449"/>
        <v>-2.7932958714384797</v>
      </c>
      <c r="AT572">
        <f t="shared" si="470"/>
        <v>-2054.2099372059943</v>
      </c>
      <c r="AU572">
        <f t="shared" si="471"/>
        <v>-176.30139620828146</v>
      </c>
      <c r="AV572">
        <f t="shared" si="459"/>
        <v>-3.055978020336191</v>
      </c>
      <c r="AW572">
        <f t="shared" si="460"/>
        <v>746.66082326772118</v>
      </c>
      <c r="AX572">
        <f t="shared" si="461"/>
        <v>-3268.4526286310502</v>
      </c>
      <c r="AY572">
        <f t="shared" si="469"/>
        <v>-1.3462055564821436</v>
      </c>
      <c r="BA572">
        <f t="shared" si="450"/>
        <v>0.61496411361251058</v>
      </c>
      <c r="BB572">
        <f t="shared" si="462"/>
        <v>-4.2230045370052967</v>
      </c>
      <c r="BC572">
        <f t="shared" si="463"/>
        <v>-1.7097724638540475</v>
      </c>
      <c r="BD572">
        <f t="shared" si="451"/>
        <v>-277.96274621845976</v>
      </c>
      <c r="BF572">
        <f t="shared" si="452"/>
        <v>-59.188339473504655</v>
      </c>
      <c r="BG572">
        <f t="shared" si="453"/>
        <v>-191.76116506576878</v>
      </c>
      <c r="BH572">
        <f t="shared" si="464"/>
        <v>-11.761165065768779</v>
      </c>
      <c r="BI572">
        <f t="shared" si="465"/>
        <v>-11.761165065768779</v>
      </c>
      <c r="BJ572">
        <f t="shared" si="454"/>
        <v>0</v>
      </c>
      <c r="BK572">
        <f t="shared" si="466"/>
        <v>0</v>
      </c>
      <c r="BM572">
        <f t="shared" si="467"/>
        <v>-54.96533493649936</v>
      </c>
      <c r="BN572">
        <f t="shared" si="455"/>
        <v>-93.798418847309009</v>
      </c>
      <c r="BQ572" s="56">
        <f t="shared" si="468"/>
        <v>12.678956263279842</v>
      </c>
    </row>
    <row r="573" spans="1:69" x14ac:dyDescent="0.25">
      <c r="A573">
        <f t="shared" si="472"/>
        <v>1795000</v>
      </c>
      <c r="B573">
        <f t="shared" si="456"/>
        <v>1795</v>
      </c>
      <c r="C573">
        <f t="shared" si="425"/>
        <v>14.920926946003428</v>
      </c>
      <c r="D573">
        <f t="shared" si="426"/>
        <v>1.5037260882345593</v>
      </c>
      <c r="F573">
        <f t="shared" si="427"/>
        <v>7.9548005185111819E-6</v>
      </c>
      <c r="G573">
        <f t="shared" si="428"/>
        <v>9.5942493780641364E-4</v>
      </c>
      <c r="H573">
        <f t="shared" si="429"/>
        <v>-3.140633225062194</v>
      </c>
      <c r="J573">
        <f t="shared" si="430"/>
        <v>15</v>
      </c>
      <c r="M573">
        <f t="shared" si="431"/>
        <v>8.3236990067024424E-4</v>
      </c>
      <c r="N573">
        <f t="shared" si="432"/>
        <v>-1.5707963250000001</v>
      </c>
      <c r="O573">
        <f t="shared" si="433"/>
        <v>459.05117270915548</v>
      </c>
      <c r="P573">
        <f t="shared" si="434"/>
        <v>1.5686179186993261</v>
      </c>
      <c r="Q573">
        <f t="shared" si="435"/>
        <v>388.52805037796287</v>
      </c>
      <c r="R573">
        <f t="shared" si="436"/>
        <v>1.5682225072132236</v>
      </c>
      <c r="S573">
        <f t="shared" si="437"/>
        <v>6.8098443855062529E-2</v>
      </c>
      <c r="T573">
        <f t="shared" si="438"/>
        <v>-1.5026451395338691</v>
      </c>
      <c r="U573">
        <f t="shared" si="439"/>
        <v>8.7166485871875615E-2</v>
      </c>
      <c r="V573">
        <f t="shared" si="440"/>
        <v>-1.4835190800288858</v>
      </c>
      <c r="X573">
        <f t="shared" si="457"/>
        <v>-56.087941414541575</v>
      </c>
      <c r="Y573">
        <f t="shared" si="441"/>
        <v>-175.15475979548498</v>
      </c>
      <c r="Z573">
        <f t="shared" si="458"/>
        <v>4.8452402045150222</v>
      </c>
      <c r="AC573">
        <v>1</v>
      </c>
      <c r="AD573">
        <f t="shared" si="442"/>
        <v>459.05008350467705</v>
      </c>
      <c r="AE573">
        <f t="shared" si="443"/>
        <v>-0.62127751707233347</v>
      </c>
      <c r="AF573">
        <f t="shared" si="444"/>
        <v>5.4361490897069993E-2</v>
      </c>
      <c r="AG573">
        <f t="shared" si="473"/>
        <v>62.563149980076538</v>
      </c>
      <c r="AH573">
        <f t="shared" si="474"/>
        <v>-733.40664175924667</v>
      </c>
      <c r="AJ573">
        <f t="shared" si="445"/>
        <v>22100</v>
      </c>
      <c r="AK573">
        <f t="shared" si="446"/>
        <v>323776.81421659666</v>
      </c>
      <c r="AL573">
        <v>1</v>
      </c>
      <c r="AM573">
        <f t="shared" si="447"/>
        <v>388.52676346746154</v>
      </c>
      <c r="AN573">
        <f t="shared" si="475"/>
        <v>833.48582635079867</v>
      </c>
      <c r="AO573">
        <f t="shared" si="476"/>
        <v>-54.736291481835671</v>
      </c>
      <c r="AQ573">
        <f t="shared" si="448"/>
        <v>7.7590949977812869E-4</v>
      </c>
      <c r="AR573">
        <f t="shared" si="449"/>
        <v>-2.785515104203482</v>
      </c>
      <c r="AT573">
        <f t="shared" si="470"/>
        <v>-2042.8667348011284</v>
      </c>
      <c r="AU573">
        <f t="shared" si="471"/>
        <v>-174.83965641659233</v>
      </c>
      <c r="AV573">
        <f t="shared" si="459"/>
        <v>-3.0562152633945239</v>
      </c>
      <c r="AW573">
        <f t="shared" si="460"/>
        <v>747.14584558149613</v>
      </c>
      <c r="AX573">
        <f t="shared" si="461"/>
        <v>-3259.3776612627216</v>
      </c>
      <c r="AY573">
        <f t="shared" si="469"/>
        <v>-1.3454597529016206</v>
      </c>
      <c r="BA573">
        <f t="shared" si="450"/>
        <v>0.6131539688406954</v>
      </c>
      <c r="BB573">
        <f t="shared" si="462"/>
        <v>-4.2486091255657579</v>
      </c>
      <c r="BC573">
        <f t="shared" si="463"/>
        <v>-1.7107555104929033</v>
      </c>
      <c r="BD573">
        <f t="shared" si="451"/>
        <v>-278.01907064199509</v>
      </c>
      <c r="BF573">
        <f t="shared" si="452"/>
        <v>-59.238281996248816</v>
      </c>
      <c r="BG573">
        <f t="shared" si="453"/>
        <v>-191.80694114423039</v>
      </c>
      <c r="BH573">
        <f t="shared" si="464"/>
        <v>-11.806941144230393</v>
      </c>
      <c r="BI573">
        <f t="shared" si="465"/>
        <v>-11.806941144230393</v>
      </c>
      <c r="BJ573">
        <f t="shared" si="454"/>
        <v>0</v>
      </c>
      <c r="BK573">
        <f t="shared" si="466"/>
        <v>0</v>
      </c>
      <c r="BM573">
        <f t="shared" si="467"/>
        <v>-54.989672870683052</v>
      </c>
      <c r="BN573">
        <f t="shared" si="455"/>
        <v>-93.787870502235293</v>
      </c>
      <c r="BQ573" s="56">
        <f t="shared" si="468"/>
        <v>12.65335167471938</v>
      </c>
    </row>
    <row r="574" spans="1:69" x14ac:dyDescent="0.25">
      <c r="A574">
        <f t="shared" si="472"/>
        <v>1800000</v>
      </c>
      <c r="B574">
        <f t="shared" si="456"/>
        <v>1800</v>
      </c>
      <c r="C574">
        <f t="shared" si="425"/>
        <v>14.962302989589658</v>
      </c>
      <c r="D574">
        <f t="shared" si="426"/>
        <v>1.5039118385486605</v>
      </c>
      <c r="F574">
        <f t="shared" si="427"/>
        <v>7.9106682309630397E-6</v>
      </c>
      <c r="G574">
        <f t="shared" si="428"/>
        <v>9.5675982769131854E-4</v>
      </c>
      <c r="H574">
        <f t="shared" si="429"/>
        <v>-3.1406358901723088</v>
      </c>
      <c r="J574">
        <f t="shared" si="430"/>
        <v>15</v>
      </c>
      <c r="M574">
        <f t="shared" si="431"/>
        <v>8.3005776205727127E-4</v>
      </c>
      <c r="N574">
        <f t="shared" si="432"/>
        <v>-1.5707963250000001</v>
      </c>
      <c r="O574">
        <f t="shared" si="433"/>
        <v>460.32986072399763</v>
      </c>
      <c r="P574">
        <f t="shared" si="434"/>
        <v>1.5686239698138611</v>
      </c>
      <c r="Q574">
        <f t="shared" si="435"/>
        <v>389.61029405522174</v>
      </c>
      <c r="R574">
        <f t="shared" si="436"/>
        <v>1.5682296566806182</v>
      </c>
      <c r="S574">
        <f t="shared" si="437"/>
        <v>6.7910155097260047E-2</v>
      </c>
      <c r="T574">
        <f t="shared" si="438"/>
        <v>-1.5028338651865418</v>
      </c>
      <c r="U574">
        <f t="shared" si="439"/>
        <v>8.6926188840275601E-2</v>
      </c>
      <c r="V574">
        <f t="shared" si="440"/>
        <v>-1.4837602926405311</v>
      </c>
      <c r="X574">
        <f t="shared" si="457"/>
        <v>-56.136077558649397</v>
      </c>
      <c r="Y574">
        <f t="shared" si="441"/>
        <v>-175.1681470963855</v>
      </c>
      <c r="Z574">
        <f t="shared" si="458"/>
        <v>4.8318529036145037</v>
      </c>
      <c r="AC574">
        <v>1</v>
      </c>
      <c r="AD574">
        <f t="shared" si="442"/>
        <v>460.32877454508002</v>
      </c>
      <c r="AE574">
        <f t="shared" si="443"/>
        <v>-0.62474349370795079</v>
      </c>
      <c r="AF574">
        <f t="shared" si="444"/>
        <v>5.4512915662800004E-2</v>
      </c>
      <c r="AG574">
        <f t="shared" si="473"/>
        <v>62.21868233574223</v>
      </c>
      <c r="AH574">
        <f t="shared" si="474"/>
        <v>-731.39945812043254</v>
      </c>
      <c r="AJ574">
        <f t="shared" si="445"/>
        <v>22100</v>
      </c>
      <c r="AK574">
        <f t="shared" si="446"/>
        <v>324678.69949296606</v>
      </c>
      <c r="AL574">
        <v>1</v>
      </c>
      <c r="AM574">
        <f t="shared" si="447"/>
        <v>389.60901071946006</v>
      </c>
      <c r="AN574">
        <f t="shared" si="475"/>
        <v>833.48504476716448</v>
      </c>
      <c r="AO574">
        <f t="shared" si="476"/>
        <v>-54.584248233791229</v>
      </c>
      <c r="AQ574">
        <f t="shared" si="448"/>
        <v>7.7160487873419148E-4</v>
      </c>
      <c r="AR574">
        <f t="shared" si="449"/>
        <v>-2.7777775634430895</v>
      </c>
      <c r="AT574">
        <f t="shared" si="470"/>
        <v>-2031.6169964425324</v>
      </c>
      <c r="AU574">
        <f t="shared" si="471"/>
        <v>-173.39401120940693</v>
      </c>
      <c r="AV574">
        <f t="shared" si="459"/>
        <v>-3.0564511986458296</v>
      </c>
      <c r="AW574">
        <f t="shared" si="460"/>
        <v>747.62680122869051</v>
      </c>
      <c r="AX574">
        <f t="shared" si="461"/>
        <v>-3250.3528694136421</v>
      </c>
      <c r="AY574">
        <f t="shared" si="469"/>
        <v>-1.3447146023986676</v>
      </c>
      <c r="BA574">
        <f t="shared" si="450"/>
        <v>0.61135356755651937</v>
      </c>
      <c r="BB574">
        <f t="shared" si="462"/>
        <v>-4.2741509824552946</v>
      </c>
      <c r="BC574">
        <f t="shared" si="463"/>
        <v>-1.711736596247162</v>
      </c>
      <c r="BD574">
        <f t="shared" si="451"/>
        <v>-278.07528271511876</v>
      </c>
      <c r="BF574">
        <f t="shared" si="452"/>
        <v>-59.288093483926055</v>
      </c>
      <c r="BG574">
        <f t="shared" si="453"/>
        <v>-191.85266320786238</v>
      </c>
      <c r="BH574">
        <f t="shared" si="464"/>
        <v>-11.852663207862378</v>
      </c>
      <c r="BI574">
        <f t="shared" si="465"/>
        <v>-11.852663207862378</v>
      </c>
      <c r="BJ574">
        <f t="shared" si="454"/>
        <v>0</v>
      </c>
      <c r="BK574">
        <f t="shared" si="466"/>
        <v>0</v>
      </c>
      <c r="BM574">
        <f t="shared" si="467"/>
        <v>-55.013942501470758</v>
      </c>
      <c r="BN574">
        <f t="shared" si="455"/>
        <v>-93.777380492743603</v>
      </c>
      <c r="BQ574" s="56">
        <f t="shared" si="468"/>
        <v>12.627809817829842</v>
      </c>
    </row>
    <row r="575" spans="1:69" x14ac:dyDescent="0.25">
      <c r="A575">
        <f t="shared" si="472"/>
        <v>1805000</v>
      </c>
      <c r="B575">
        <f t="shared" si="456"/>
        <v>1805</v>
      </c>
      <c r="C575">
        <f t="shared" si="425"/>
        <v>15.003679546575562</v>
      </c>
      <c r="D575">
        <f t="shared" si="426"/>
        <v>1.5040965643592938</v>
      </c>
      <c r="F575">
        <f t="shared" si="427"/>
        <v>7.8669021891739969E-6</v>
      </c>
      <c r="G575">
        <f t="shared" si="428"/>
        <v>9.5410948306722876E-4</v>
      </c>
      <c r="H575">
        <f t="shared" si="429"/>
        <v>-3.140638540516933</v>
      </c>
      <c r="J575">
        <f t="shared" si="430"/>
        <v>15</v>
      </c>
      <c r="M575">
        <f t="shared" si="431"/>
        <v>8.2775843307650331E-4</v>
      </c>
      <c r="N575">
        <f t="shared" si="432"/>
        <v>-1.5707963250000001</v>
      </c>
      <c r="O575">
        <f t="shared" si="433"/>
        <v>461.60854875560182</v>
      </c>
      <c r="P575">
        <f t="shared" si="434"/>
        <v>1.5686299874043734</v>
      </c>
      <c r="Q575">
        <f t="shared" si="435"/>
        <v>390.6925377522852</v>
      </c>
      <c r="R575">
        <f t="shared" si="436"/>
        <v>1.5682367665390355</v>
      </c>
      <c r="S575">
        <f t="shared" si="437"/>
        <v>6.7722902294096332E-2</v>
      </c>
      <c r="T575">
        <f t="shared" si="438"/>
        <v>-1.5030215500764152</v>
      </c>
      <c r="U575">
        <f t="shared" si="439"/>
        <v>8.6687208046304504E-2</v>
      </c>
      <c r="V575">
        <f t="shared" si="440"/>
        <v>-1.4840001789642447</v>
      </c>
      <c r="X575">
        <f t="shared" si="457"/>
        <v>-56.184081196031393</v>
      </c>
      <c r="Y575">
        <f t="shared" si="441"/>
        <v>-175.18146081920588</v>
      </c>
      <c r="Z575">
        <f t="shared" si="458"/>
        <v>4.8185391807941187</v>
      </c>
      <c r="AC575">
        <v>1</v>
      </c>
      <c r="AD575">
        <f t="shared" si="442"/>
        <v>461.607465585483</v>
      </c>
      <c r="AE575">
        <f t="shared" si="443"/>
        <v>-0.62821911144686626</v>
      </c>
      <c r="AF575">
        <f t="shared" si="444"/>
        <v>5.4664340428529995E-2</v>
      </c>
      <c r="AG575">
        <f t="shared" si="473"/>
        <v>61.877044654504971</v>
      </c>
      <c r="AH575">
        <f t="shared" si="474"/>
        <v>-729.40314836399841</v>
      </c>
      <c r="AJ575">
        <f t="shared" si="445"/>
        <v>22100</v>
      </c>
      <c r="AK575">
        <f t="shared" si="446"/>
        <v>325580.5847693354</v>
      </c>
      <c r="AL575">
        <v>1</v>
      </c>
      <c r="AM575">
        <f t="shared" si="447"/>
        <v>390.69125797145858</v>
      </c>
      <c r="AN575">
        <f t="shared" si="475"/>
        <v>833.48426966962802</v>
      </c>
      <c r="AO575">
        <f t="shared" si="476"/>
        <v>-54.433047314009698</v>
      </c>
      <c r="AQ575">
        <f t="shared" si="448"/>
        <v>7.6733598059131069E-4</v>
      </c>
      <c r="AR575">
        <f t="shared" si="449"/>
        <v>-2.7700828899346313</v>
      </c>
      <c r="AT575">
        <f t="shared" si="470"/>
        <v>-2020.4597006648273</v>
      </c>
      <c r="AU575">
        <f t="shared" si="471"/>
        <v>-171.96423995726164</v>
      </c>
      <c r="AV575">
        <f t="shared" si="459"/>
        <v>-3.0566858368465004</v>
      </c>
      <c r="AW575">
        <f t="shared" si="460"/>
        <v>748.10373562220138</v>
      </c>
      <c r="AX575">
        <f t="shared" si="461"/>
        <v>-3241.3778387354118</v>
      </c>
      <c r="AY575">
        <f t="shared" si="469"/>
        <v>-1.3439701018590764</v>
      </c>
      <c r="BA575">
        <f t="shared" si="450"/>
        <v>0.60956283000387756</v>
      </c>
      <c r="BB575">
        <f t="shared" si="462"/>
        <v>-4.2996304664522818</v>
      </c>
      <c r="BC575">
        <f t="shared" si="463"/>
        <v>-1.712715734987424</v>
      </c>
      <c r="BD575">
        <f t="shared" si="451"/>
        <v>-278.13138323255765</v>
      </c>
      <c r="BF575">
        <f t="shared" si="452"/>
        <v>-59.33777467922755</v>
      </c>
      <c r="BG575">
        <f t="shared" si="453"/>
        <v>-191.89833156953412</v>
      </c>
      <c r="BH575">
        <f t="shared" si="464"/>
        <v>-11.898331569534122</v>
      </c>
      <c r="BI575">
        <f t="shared" si="465"/>
        <v>-11.898331569534122</v>
      </c>
      <c r="BJ575">
        <f t="shared" si="454"/>
        <v>0</v>
      </c>
      <c r="BK575">
        <f t="shared" si="466"/>
        <v>0</v>
      </c>
      <c r="BM575">
        <f t="shared" si="467"/>
        <v>-55.038144212775265</v>
      </c>
      <c r="BN575">
        <f t="shared" si="455"/>
        <v>-93.766948336976469</v>
      </c>
      <c r="BQ575" s="56">
        <f t="shared" si="468"/>
        <v>12.602330333832853</v>
      </c>
    </row>
    <row r="576" spans="1:69" x14ac:dyDescent="0.25">
      <c r="A576">
        <f t="shared" si="472"/>
        <v>1810000</v>
      </c>
      <c r="B576">
        <f t="shared" si="456"/>
        <v>1810</v>
      </c>
      <c r="C576">
        <f t="shared" si="425"/>
        <v>15.045056612725324</v>
      </c>
      <c r="D576">
        <f t="shared" si="426"/>
        <v>1.5042802741065995</v>
      </c>
      <c r="F576">
        <f t="shared" si="427"/>
        <v>7.8234983517743315E-6</v>
      </c>
      <c r="G576">
        <f t="shared" si="428"/>
        <v>9.5147378156447719E-4</v>
      </c>
      <c r="H576">
        <f t="shared" si="429"/>
        <v>-3.1406411762184359</v>
      </c>
      <c r="J576">
        <f t="shared" si="430"/>
        <v>15</v>
      </c>
      <c r="M576">
        <f t="shared" si="431"/>
        <v>8.2547180757076713E-4</v>
      </c>
      <c r="N576">
        <f t="shared" si="432"/>
        <v>-1.5707963250000001</v>
      </c>
      <c r="O576">
        <f t="shared" si="433"/>
        <v>462.88723680382918</v>
      </c>
      <c r="P576">
        <f t="shared" si="434"/>
        <v>1.5686359717486851</v>
      </c>
      <c r="Q576">
        <f t="shared" si="435"/>
        <v>391.77478146898903</v>
      </c>
      <c r="R576">
        <f t="shared" si="436"/>
        <v>1.5682438371167235</v>
      </c>
      <c r="S576">
        <f t="shared" si="437"/>
        <v>6.7536676939047816E-2</v>
      </c>
      <c r="T576">
        <f t="shared" si="438"/>
        <v>-1.5032082027759233</v>
      </c>
      <c r="U576">
        <f t="shared" si="439"/>
        <v>8.64495327459507E-2</v>
      </c>
      <c r="V576">
        <f t="shared" si="440"/>
        <v>-1.4842387498813838</v>
      </c>
      <c r="X576">
        <f t="shared" si="457"/>
        <v>-56.231953051442247</v>
      </c>
      <c r="Y576">
        <f t="shared" si="441"/>
        <v>-175.19470156726786</v>
      </c>
      <c r="Z576">
        <f t="shared" si="458"/>
        <v>4.805298432732144</v>
      </c>
      <c r="AC576">
        <v>1</v>
      </c>
      <c r="AD576">
        <f t="shared" si="442"/>
        <v>462.88615662588603</v>
      </c>
      <c r="AE576">
        <f t="shared" si="443"/>
        <v>-0.63170437028907955</v>
      </c>
      <c r="AF576">
        <f t="shared" si="444"/>
        <v>5.4815765194259999E-2</v>
      </c>
      <c r="AG576">
        <f t="shared" si="473"/>
        <v>61.538206099725869</v>
      </c>
      <c r="AH576">
        <f t="shared" si="474"/>
        <v>-727.41762505072722</v>
      </c>
      <c r="AJ576">
        <f t="shared" si="445"/>
        <v>22100</v>
      </c>
      <c r="AK576">
        <f t="shared" si="446"/>
        <v>326482.47004570474</v>
      </c>
      <c r="AL576">
        <v>1</v>
      </c>
      <c r="AM576">
        <f t="shared" si="447"/>
        <v>391.77350522345705</v>
      </c>
      <c r="AN576">
        <f t="shared" si="475"/>
        <v>833.4835009866199</v>
      </c>
      <c r="AO576">
        <f t="shared" si="476"/>
        <v>-54.282681742052802</v>
      </c>
      <c r="AQ576">
        <f t="shared" si="448"/>
        <v>7.6310241116705753E-4</v>
      </c>
      <c r="AR576">
        <f t="shared" si="449"/>
        <v>-2.7624307284247482</v>
      </c>
      <c r="AT576">
        <f t="shared" si="470"/>
        <v>-2009.3938398844273</v>
      </c>
      <c r="AU576">
        <f t="shared" si="471"/>
        <v>-170.55012564561963</v>
      </c>
      <c r="AV576">
        <f t="shared" si="459"/>
        <v>-3.0569191886355958</v>
      </c>
      <c r="AW576">
        <f t="shared" si="460"/>
        <v>748.57669354176926</v>
      </c>
      <c r="AX576">
        <f t="shared" si="461"/>
        <v>-3232.4521594225821</v>
      </c>
      <c r="AY576">
        <f t="shared" si="469"/>
        <v>-1.3432262482085575</v>
      </c>
      <c r="BA576">
        <f t="shared" si="450"/>
        <v>0.60778167729740695</v>
      </c>
      <c r="BB576">
        <f t="shared" si="462"/>
        <v>-4.3250479333799756</v>
      </c>
      <c r="BC576">
        <f t="shared" si="463"/>
        <v>-1.7136929404270382</v>
      </c>
      <c r="BD576">
        <f t="shared" si="451"/>
        <v>-278.18737298002873</v>
      </c>
      <c r="BF576">
        <f t="shared" si="452"/>
        <v>-59.387326318648931</v>
      </c>
      <c r="BG576">
        <f t="shared" si="453"/>
        <v>-191.9439465383895</v>
      </c>
      <c r="BH576">
        <f t="shared" si="464"/>
        <v>-11.943946538389497</v>
      </c>
      <c r="BI576">
        <f t="shared" si="465"/>
        <v>-11.943946538389497</v>
      </c>
      <c r="BJ576">
        <f t="shared" si="454"/>
        <v>0</v>
      </c>
      <c r="BK576">
        <f t="shared" si="466"/>
        <v>0</v>
      </c>
      <c r="BM576">
        <f t="shared" si="467"/>
        <v>-55.062278385268954</v>
      </c>
      <c r="BN576">
        <f t="shared" si="455"/>
        <v>-93.756573558360756</v>
      </c>
      <c r="BQ576" s="56">
        <f t="shared" si="468"/>
        <v>12.576912866905161</v>
      </c>
    </row>
    <row r="577" spans="1:69" x14ac:dyDescent="0.25">
      <c r="A577">
        <f t="shared" si="472"/>
        <v>1815000</v>
      </c>
      <c r="B577">
        <f t="shared" si="456"/>
        <v>1815</v>
      </c>
      <c r="C577">
        <f t="shared" si="425"/>
        <v>15.086434183849539</v>
      </c>
      <c r="D577">
        <f t="shared" si="426"/>
        <v>1.5044629761383981</v>
      </c>
      <c r="F577">
        <f t="shared" si="427"/>
        <v>7.7804527329846109E-6</v>
      </c>
      <c r="G577">
        <f t="shared" si="428"/>
        <v>9.4885260216187389E-4</v>
      </c>
      <c r="H577">
        <f t="shared" si="429"/>
        <v>-3.1406437973978383</v>
      </c>
      <c r="J577">
        <f t="shared" si="430"/>
        <v>15</v>
      </c>
      <c r="M577">
        <f t="shared" si="431"/>
        <v>8.2319778055266581E-4</v>
      </c>
      <c r="N577">
        <f t="shared" si="432"/>
        <v>-1.5707963250000001</v>
      </c>
      <c r="O577">
        <f t="shared" si="433"/>
        <v>464.16592486854228</v>
      </c>
      <c r="P577">
        <f t="shared" si="434"/>
        <v>1.568641923121556</v>
      </c>
      <c r="Q577">
        <f t="shared" si="435"/>
        <v>392.85702520517111</v>
      </c>
      <c r="R577">
        <f t="shared" si="436"/>
        <v>1.5682508687383139</v>
      </c>
      <c r="S577">
        <f t="shared" si="437"/>
        <v>6.7351470618254139E-2</v>
      </c>
      <c r="T577">
        <f t="shared" si="438"/>
        <v>-1.5033938317637559</v>
      </c>
      <c r="U577">
        <f t="shared" si="439"/>
        <v>8.6213152311368918E-2</v>
      </c>
      <c r="V577">
        <f t="shared" si="440"/>
        <v>-1.4844760161548951</v>
      </c>
      <c r="X577">
        <f t="shared" si="457"/>
        <v>-56.279693843729135</v>
      </c>
      <c r="Y577">
        <f t="shared" si="441"/>
        <v>-175.2078699373325</v>
      </c>
      <c r="Z577">
        <f t="shared" si="458"/>
        <v>4.7921300626674963</v>
      </c>
      <c r="AC577">
        <v>1</v>
      </c>
      <c r="AD577">
        <f t="shared" si="442"/>
        <v>464.16484766628901</v>
      </c>
      <c r="AE577">
        <f t="shared" si="443"/>
        <v>-0.63519927023459088</v>
      </c>
      <c r="AF577">
        <f t="shared" si="444"/>
        <v>5.4967189959989997E-2</v>
      </c>
      <c r="AG577">
        <f t="shared" si="473"/>
        <v>61.202136252576111</v>
      </c>
      <c r="AH577">
        <f t="shared" si="474"/>
        <v>-725.44280166876479</v>
      </c>
      <c r="AJ577">
        <f t="shared" si="445"/>
        <v>22100</v>
      </c>
      <c r="AK577">
        <f t="shared" si="446"/>
        <v>327384.35532207409</v>
      </c>
      <c r="AL577">
        <v>1</v>
      </c>
      <c r="AM577">
        <f t="shared" si="447"/>
        <v>392.85575247545557</v>
      </c>
      <c r="AN577">
        <f t="shared" si="475"/>
        <v>833.48273864755436</v>
      </c>
      <c r="AO577">
        <f t="shared" si="476"/>
        <v>-54.133144614399171</v>
      </c>
      <c r="AQ577">
        <f t="shared" si="448"/>
        <v>7.5890378170102358E-4</v>
      </c>
      <c r="AR577">
        <f t="shared" si="449"/>
        <v>-2.7548207275747156</v>
      </c>
      <c r="AT577">
        <f t="shared" si="470"/>
        <v>-1998.4184201743365</v>
      </c>
      <c r="AU577">
        <f t="shared" si="471"/>
        <v>-169.15145480604284</v>
      </c>
      <c r="AV577">
        <f t="shared" si="459"/>
        <v>-3.0571512645364369</v>
      </c>
      <c r="AW577">
        <f t="shared" si="460"/>
        <v>749.04571914455698</v>
      </c>
      <c r="AX577">
        <f t="shared" si="461"/>
        <v>-3223.5754261506504</v>
      </c>
      <c r="AY577">
        <f t="shared" si="469"/>
        <v>-1.3424830384121511</v>
      </c>
      <c r="BA577">
        <f t="shared" si="450"/>
        <v>0.60601003141067367</v>
      </c>
      <c r="BB577">
        <f t="shared" si="462"/>
        <v>-4.3504037361381922</v>
      </c>
      <c r="BC577">
        <f t="shared" si="463"/>
        <v>-1.7146682261242858</v>
      </c>
      <c r="BD577">
        <f t="shared" si="451"/>
        <v>-278.24325273436432</v>
      </c>
      <c r="BF577">
        <f t="shared" si="452"/>
        <v>-59.43674913255844</v>
      </c>
      <c r="BG577">
        <f t="shared" si="453"/>
        <v>-191.98950841989989</v>
      </c>
      <c r="BH577">
        <f t="shared" si="464"/>
        <v>-11.989508419899892</v>
      </c>
      <c r="BI577">
        <f t="shared" si="465"/>
        <v>-11.989508419899892</v>
      </c>
      <c r="BJ577">
        <f t="shared" si="454"/>
        <v>0</v>
      </c>
      <c r="BK577">
        <f t="shared" si="466"/>
        <v>0</v>
      </c>
      <c r="BM577">
        <f t="shared" si="467"/>
        <v>-55.086345396420249</v>
      </c>
      <c r="BN577">
        <f t="shared" si="455"/>
        <v>-93.746255685535559</v>
      </c>
      <c r="BQ577" s="56">
        <f t="shared" si="468"/>
        <v>12.551557064146944</v>
      </c>
    </row>
    <row r="578" spans="1:69" x14ac:dyDescent="0.25">
      <c r="A578">
        <f t="shared" si="472"/>
        <v>1820000</v>
      </c>
      <c r="B578">
        <f t="shared" si="456"/>
        <v>1820</v>
      </c>
      <c r="C578">
        <f t="shared" si="425"/>
        <v>15.127812255804592</v>
      </c>
      <c r="D578">
        <f t="shared" si="426"/>
        <v>1.5046446787114485</v>
      </c>
      <c r="F578">
        <f t="shared" si="427"/>
        <v>7.7377614017006173E-6</v>
      </c>
      <c r="G578">
        <f t="shared" si="428"/>
        <v>9.4624582516818179E-4</v>
      </c>
      <c r="H578">
        <f t="shared" si="429"/>
        <v>-3.1406464041748321</v>
      </c>
      <c r="J578">
        <f t="shared" si="430"/>
        <v>15</v>
      </c>
      <c r="M578">
        <f t="shared" si="431"/>
        <v>8.2093624818851008E-4</v>
      </c>
      <c r="N578">
        <f t="shared" si="432"/>
        <v>-1.5707963250000001</v>
      </c>
      <c r="O578">
        <f t="shared" si="433"/>
        <v>465.4446129496053</v>
      </c>
      <c r="P578">
        <f t="shared" si="434"/>
        <v>1.5686478417947276</v>
      </c>
      <c r="Q578">
        <f t="shared" si="435"/>
        <v>393.93926896067063</v>
      </c>
      <c r="R578">
        <f t="shared" si="436"/>
        <v>1.5682578617248706</v>
      </c>
      <c r="S578">
        <f t="shared" si="437"/>
        <v>6.7167275009262659E-2</v>
      </c>
      <c r="T578">
        <f t="shared" si="438"/>
        <v>-1.5035784454261354</v>
      </c>
      <c r="U578">
        <f t="shared" si="439"/>
        <v>8.5978056229320796E-2</v>
      </c>
      <c r="V578">
        <f t="shared" si="440"/>
        <v>-1.4847119884309181</v>
      </c>
      <c r="X578">
        <f t="shared" si="457"/>
        <v>-56.327304285895579</v>
      </c>
      <c r="Y578">
        <f t="shared" si="441"/>
        <v>-175.22096651968897</v>
      </c>
      <c r="Z578">
        <f t="shared" si="458"/>
        <v>4.7790334803110284</v>
      </c>
      <c r="AC578">
        <v>1</v>
      </c>
      <c r="AD578">
        <f t="shared" si="442"/>
        <v>465.44353870669204</v>
      </c>
      <c r="AE578">
        <f t="shared" si="443"/>
        <v>-0.63870381128340015</v>
      </c>
      <c r="AF578">
        <f t="shared" si="444"/>
        <v>5.5118614725720001E-2</v>
      </c>
      <c r="AG578">
        <f t="shared" si="473"/>
        <v>60.868805105279641</v>
      </c>
      <c r="AH578">
        <f t="shared" si="474"/>
        <v>-723.47859262146358</v>
      </c>
      <c r="AJ578">
        <f t="shared" si="445"/>
        <v>22100</v>
      </c>
      <c r="AK578">
        <f t="shared" si="446"/>
        <v>328286.24059844343</v>
      </c>
      <c r="AL578">
        <v>1</v>
      </c>
      <c r="AM578">
        <f t="shared" si="447"/>
        <v>393.93799972745404</v>
      </c>
      <c r="AN578">
        <f t="shared" si="475"/>
        <v>833.48198258281502</v>
      </c>
      <c r="AO578">
        <f t="shared" si="476"/>
        <v>-53.984429103387889</v>
      </c>
      <c r="AQ578">
        <f t="shared" si="448"/>
        <v>7.547397087655696E-4</v>
      </c>
      <c r="AR578">
        <f t="shared" si="449"/>
        <v>-2.7472525399066736</v>
      </c>
      <c r="AT578">
        <f t="shared" si="470"/>
        <v>-1987.5324610431833</v>
      </c>
      <c r="AU578">
        <f t="shared" si="471"/>
        <v>-167.76801744885705</v>
      </c>
      <c r="AV578">
        <f t="shared" si="459"/>
        <v>-3.0573820749581699</v>
      </c>
      <c r="AW578">
        <f t="shared" si="460"/>
        <v>749.51085597552412</v>
      </c>
      <c r="AX578">
        <f t="shared" si="461"/>
        <v>-3214.7472380150739</v>
      </c>
      <c r="AY578">
        <f t="shared" si="469"/>
        <v>-1.3417404694736488</v>
      </c>
      <c r="BA578">
        <f t="shared" si="450"/>
        <v>0.60424781516454706</v>
      </c>
      <c r="BB578">
        <f t="shared" si="462"/>
        <v>-4.3756982247346317</v>
      </c>
      <c r="BC578">
        <f t="shared" si="463"/>
        <v>-1.7156416054845212</v>
      </c>
      <c r="BD578">
        <f t="shared" si="451"/>
        <v>-278.29902326363469</v>
      </c>
      <c r="BF578">
        <f t="shared" si="452"/>
        <v>-59.486043845264298</v>
      </c>
      <c r="BG578">
        <f t="shared" si="453"/>
        <v>-192.03501751591594</v>
      </c>
      <c r="BH578">
        <f t="shared" si="464"/>
        <v>-12.035017515915939</v>
      </c>
      <c r="BI578">
        <f t="shared" si="465"/>
        <v>-12.035017515915939</v>
      </c>
      <c r="BJ578">
        <f t="shared" si="454"/>
        <v>0</v>
      </c>
      <c r="BK578">
        <f t="shared" si="466"/>
        <v>0</v>
      </c>
      <c r="BM578">
        <f t="shared" si="467"/>
        <v>-55.110345620529671</v>
      </c>
      <c r="BN578">
        <f t="shared" si="455"/>
        <v>-93.735994252281259</v>
      </c>
      <c r="BQ578" s="56">
        <f t="shared" si="468"/>
        <v>12.526262575550504</v>
      </c>
    </row>
    <row r="579" spans="1:69" x14ac:dyDescent="0.25">
      <c r="A579">
        <f t="shared" si="472"/>
        <v>1825000</v>
      </c>
      <c r="B579">
        <f t="shared" si="456"/>
        <v>1825</v>
      </c>
      <c r="C579">
        <f t="shared" si="425"/>
        <v>15.169190824492032</v>
      </c>
      <c r="D579">
        <f t="shared" si="426"/>
        <v>1.5048253899926838</v>
      </c>
      <c r="F579">
        <f t="shared" si="427"/>
        <v>7.6954204805957901E-6</v>
      </c>
      <c r="G579">
        <f t="shared" si="428"/>
        <v>9.4365333220389821E-4</v>
      </c>
      <c r="H579">
        <f t="shared" si="429"/>
        <v>-3.1406489966677964</v>
      </c>
      <c r="J579">
        <f t="shared" si="430"/>
        <v>15</v>
      </c>
      <c r="M579">
        <f t="shared" si="431"/>
        <v>8.1868710778251416E-4</v>
      </c>
      <c r="N579">
        <f t="shared" si="432"/>
        <v>-1.5707963250000001</v>
      </c>
      <c r="O579">
        <f t="shared" si="433"/>
        <v>466.72330104688376</v>
      </c>
      <c r="P579">
        <f t="shared" si="434"/>
        <v>1.5686537280369626</v>
      </c>
      <c r="Q579">
        <f t="shared" si="435"/>
        <v>395.021512735329</v>
      </c>
      <c r="R579">
        <f t="shared" si="436"/>
        <v>1.5682648163939388</v>
      </c>
      <c r="S579">
        <f t="shared" si="437"/>
        <v>6.6984081879793447E-2</v>
      </c>
      <c r="T579">
        <f t="shared" si="438"/>
        <v>-1.5037620520580719</v>
      </c>
      <c r="U579">
        <f t="shared" si="439"/>
        <v>8.5744234099639896E-2</v>
      </c>
      <c r="V579">
        <f t="shared" si="440"/>
        <v>-1.4849466772403612</v>
      </c>
      <c r="X579">
        <f t="shared" si="457"/>
        <v>-56.374785085164305</v>
      </c>
      <c r="Y579">
        <f t="shared" si="441"/>
        <v>-175.23399189824181</v>
      </c>
      <c r="Z579">
        <f t="shared" si="458"/>
        <v>4.7660081017581888</v>
      </c>
      <c r="AC579">
        <v>1</v>
      </c>
      <c r="AD579">
        <f t="shared" si="442"/>
        <v>466.72222974709501</v>
      </c>
      <c r="AE579">
        <f t="shared" si="443"/>
        <v>-0.64221799343550734</v>
      </c>
      <c r="AF579">
        <f t="shared" si="444"/>
        <v>5.5270039491449999E-2</v>
      </c>
      <c r="AG579">
        <f t="shared" si="473"/>
        <v>60.538183054482339</v>
      </c>
      <c r="AH579">
        <f t="shared" si="474"/>
        <v>-721.52491321541618</v>
      </c>
      <c r="AJ579">
        <f t="shared" si="445"/>
        <v>22100</v>
      </c>
      <c r="AK579">
        <f t="shared" si="446"/>
        <v>329188.12587481277</v>
      </c>
      <c r="AL579">
        <v>1</v>
      </c>
      <c r="AM579">
        <f t="shared" si="447"/>
        <v>395.02024697945251</v>
      </c>
      <c r="AN579">
        <f t="shared" si="475"/>
        <v>833.48123272373653</v>
      </c>
      <c r="AO579">
        <f t="shared" si="476"/>
        <v>-53.836528456179281</v>
      </c>
      <c r="AQ579">
        <f t="shared" si="448"/>
        <v>7.5060981417828378E-4</v>
      </c>
      <c r="AR579">
        <f t="shared" si="449"/>
        <v>-2.7397258217507359</v>
      </c>
      <c r="AT579">
        <f t="shared" si="470"/>
        <v>-1976.7349952184013</v>
      </c>
      <c r="AU579">
        <f t="shared" si="471"/>
        <v>-166.39960699727172</v>
      </c>
      <c r="AV579">
        <f t="shared" si="459"/>
        <v>-3.0576116301973073</v>
      </c>
      <c r="AW579">
        <f t="shared" si="460"/>
        <v>749.9721469775975</v>
      </c>
      <c r="AX579">
        <f t="shared" si="461"/>
        <v>-3205.9671984712631</v>
      </c>
      <c r="AY579">
        <f t="shared" si="469"/>
        <v>-1.3409985384350249</v>
      </c>
      <c r="BA579">
        <f t="shared" si="450"/>
        <v>0.60249495221576466</v>
      </c>
      <c r="BB579">
        <f t="shared" si="462"/>
        <v>-4.4009317463157425</v>
      </c>
      <c r="BC579">
        <f t="shared" si="463"/>
        <v>-1.7166130917622824</v>
      </c>
      <c r="BD579">
        <f t="shared" si="451"/>
        <v>-278.3546853272689</v>
      </c>
      <c r="BF579">
        <f t="shared" si="452"/>
        <v>-59.535211175080988</v>
      </c>
      <c r="BG579">
        <f t="shared" si="453"/>
        <v>-192.08047412471856</v>
      </c>
      <c r="BH579">
        <f t="shared" si="464"/>
        <v>-12.080474124718563</v>
      </c>
      <c r="BI579">
        <f t="shared" si="465"/>
        <v>-12.080474124718563</v>
      </c>
      <c r="BJ579">
        <f t="shared" si="454"/>
        <v>0</v>
      </c>
      <c r="BK579">
        <f t="shared" si="466"/>
        <v>0</v>
      </c>
      <c r="BM579">
        <f t="shared" si="467"/>
        <v>-55.134279428765247</v>
      </c>
      <c r="BN579">
        <f t="shared" si="455"/>
        <v>-93.725788797449681</v>
      </c>
      <c r="BQ579" s="56">
        <f t="shared" si="468"/>
        <v>12.501029053969393</v>
      </c>
    </row>
    <row r="580" spans="1:69" x14ac:dyDescent="0.25">
      <c r="A580">
        <f t="shared" si="472"/>
        <v>1830000</v>
      </c>
      <c r="B580">
        <f t="shared" si="456"/>
        <v>1830</v>
      </c>
      <c r="C580">
        <f t="shared" si="425"/>
        <v>15.210569885857948</v>
      </c>
      <c r="D580">
        <f t="shared" si="426"/>
        <v>1.505005118060428</v>
      </c>
      <c r="F580">
        <f t="shared" si="427"/>
        <v>7.6534261452408222E-6</v>
      </c>
      <c r="G580">
        <f t="shared" si="428"/>
        <v>9.4107500618333345E-4</v>
      </c>
      <c r="H580">
        <f t="shared" si="429"/>
        <v>-3.1406515749938171</v>
      </c>
      <c r="J580">
        <f t="shared" si="430"/>
        <v>15</v>
      </c>
      <c r="M580">
        <f t="shared" si="431"/>
        <v>8.1645025776125042E-4</v>
      </c>
      <c r="N580">
        <f t="shared" si="432"/>
        <v>-1.5707963250000001</v>
      </c>
      <c r="O580">
        <f t="shared" si="433"/>
        <v>468.00198916024482</v>
      </c>
      <c r="P580">
        <f t="shared" si="434"/>
        <v>1.5686595821140865</v>
      </c>
      <c r="Q580">
        <f t="shared" si="435"/>
        <v>396.10375652898921</v>
      </c>
      <c r="R580">
        <f t="shared" si="436"/>
        <v>1.5682717330595937</v>
      </c>
      <c r="S580">
        <f t="shared" si="437"/>
        <v>6.6801883086524128E-2</v>
      </c>
      <c r="T580">
        <f t="shared" si="438"/>
        <v>-1.5039446598645982</v>
      </c>
      <c r="U580">
        <f t="shared" si="439"/>
        <v>8.5511675633721779E-2</v>
      </c>
      <c r="V580">
        <f t="shared" si="440"/>
        <v>-1.4851800930004531</v>
      </c>
      <c r="X580">
        <f t="shared" si="457"/>
        <v>-56.422136943039369</v>
      </c>
      <c r="Y580">
        <f t="shared" si="441"/>
        <v>-175.2469466505967</v>
      </c>
      <c r="Z580">
        <f t="shared" si="458"/>
        <v>4.7530533494033023</v>
      </c>
      <c r="AC580">
        <v>1</v>
      </c>
      <c r="AD580">
        <f t="shared" si="442"/>
        <v>468.00092078749799</v>
      </c>
      <c r="AE580">
        <f t="shared" si="443"/>
        <v>-0.64574181669091246</v>
      </c>
      <c r="AF580">
        <f t="shared" si="444"/>
        <v>5.5421464257180003E-2</v>
      </c>
      <c r="AG580">
        <f t="shared" si="473"/>
        <v>60.210240894745759</v>
      </c>
      <c r="AH580">
        <f t="shared" si="474"/>
        <v>-719.58167964867505</v>
      </c>
      <c r="AJ580">
        <f t="shared" si="445"/>
        <v>22100</v>
      </c>
      <c r="AK580">
        <f t="shared" si="446"/>
        <v>330090.01115118212</v>
      </c>
      <c r="AL580">
        <v>1</v>
      </c>
      <c r="AM580">
        <f t="shared" si="447"/>
        <v>396.10249423145103</v>
      </c>
      <c r="AN580">
        <f t="shared" si="475"/>
        <v>833.4804890025913</v>
      </c>
      <c r="AO580">
        <f t="shared" si="476"/>
        <v>-53.689435993732815</v>
      </c>
      <c r="AQ580">
        <f t="shared" si="448"/>
        <v>7.4651372491611235E-4</v>
      </c>
      <c r="AR580">
        <f t="shared" si="449"/>
        <v>-2.7322402331929712</v>
      </c>
      <c r="AT580">
        <f t="shared" si="470"/>
        <v>-1966.0250684334774</v>
      </c>
      <c r="AU580">
        <f t="shared" si="471"/>
        <v>-165.04602022292104</v>
      </c>
      <c r="AV580">
        <f t="shared" si="459"/>
        <v>-3.0578399404392429</v>
      </c>
      <c r="AW580">
        <f t="shared" si="460"/>
        <v>750.42963450164837</v>
      </c>
      <c r="AX580">
        <f t="shared" si="461"/>
        <v>-3197.234915275566</v>
      </c>
      <c r="AY580">
        <f t="shared" si="469"/>
        <v>-1.3402572423758778</v>
      </c>
      <c r="BA580">
        <f t="shared" si="450"/>
        <v>0.60075136704567822</v>
      </c>
      <c r="BB580">
        <f t="shared" si="462"/>
        <v>-4.4261046451972161</v>
      </c>
      <c r="BC580">
        <f t="shared" si="463"/>
        <v>-1.7175826980633651</v>
      </c>
      <c r="BD580">
        <f t="shared" si="451"/>
        <v>-278.41023967617372</v>
      </c>
      <c r="BF580">
        <f t="shared" si="452"/>
        <v>-59.584251834394749</v>
      </c>
      <c r="BG580">
        <f t="shared" si="453"/>
        <v>-192.12587854106917</v>
      </c>
      <c r="BH580">
        <f t="shared" si="464"/>
        <v>-12.12587854106917</v>
      </c>
      <c r="BI580">
        <f t="shared" si="465"/>
        <v>-12.12587854106917</v>
      </c>
      <c r="BJ580">
        <f t="shared" si="454"/>
        <v>0</v>
      </c>
      <c r="BK580">
        <f t="shared" si="466"/>
        <v>0</v>
      </c>
      <c r="BM580">
        <f t="shared" si="467"/>
        <v>-55.15814718919755</v>
      </c>
      <c r="BN580">
        <f t="shared" si="455"/>
        <v>-93.715638864895496</v>
      </c>
      <c r="BQ580" s="56">
        <f t="shared" si="468"/>
        <v>12.475856155087921</v>
      </c>
    </row>
    <row r="581" spans="1:69" x14ac:dyDescent="0.25">
      <c r="A581">
        <f t="shared" si="472"/>
        <v>1835000</v>
      </c>
      <c r="B581">
        <f t="shared" si="456"/>
        <v>1835</v>
      </c>
      <c r="C581">
        <f t="shared" si="425"/>
        <v>15.251949435892382</v>
      </c>
      <c r="D581">
        <f t="shared" si="426"/>
        <v>1.5051838709055925</v>
      </c>
      <c r="F581">
        <f t="shared" si="427"/>
        <v>7.6117746232400208E-6</v>
      </c>
      <c r="G581">
        <f t="shared" si="428"/>
        <v>9.385107312969834E-4</v>
      </c>
      <c r="H581">
        <f t="shared" si="429"/>
        <v>-3.1406541392687033</v>
      </c>
      <c r="J581">
        <f t="shared" si="430"/>
        <v>15</v>
      </c>
      <c r="M581">
        <f t="shared" si="431"/>
        <v>8.142255976583588E-4</v>
      </c>
      <c r="N581">
        <f t="shared" si="432"/>
        <v>-1.5707963250000001</v>
      </c>
      <c r="O581">
        <f t="shared" si="433"/>
        <v>469.28067728955705</v>
      </c>
      <c r="P581">
        <f t="shared" si="434"/>
        <v>1.5686654042890282</v>
      </c>
      <c r="Q581">
        <f t="shared" si="435"/>
        <v>397.18600034149574</v>
      </c>
      <c r="R581">
        <f t="shared" si="436"/>
        <v>1.5682786120324874</v>
      </c>
      <c r="S581">
        <f t="shared" si="437"/>
        <v>6.6620670573894258E-2</v>
      </c>
      <c r="T581">
        <f t="shared" si="438"/>
        <v>-1.5041262769619843</v>
      </c>
      <c r="U581">
        <f t="shared" si="439"/>
        <v>8.5280370653037715E-2</v>
      </c>
      <c r="V581">
        <f t="shared" si="440"/>
        <v>-1.4854122460162675</v>
      </c>
      <c r="X581">
        <f t="shared" si="457"/>
        <v>-56.46936055536743</v>
      </c>
      <c r="Y581">
        <f t="shared" si="441"/>
        <v>-175.25983134814516</v>
      </c>
      <c r="Z581">
        <f t="shared" si="458"/>
        <v>4.7401686518548445</v>
      </c>
      <c r="AC581">
        <v>1</v>
      </c>
      <c r="AD581">
        <f t="shared" si="442"/>
        <v>469.27961182790102</v>
      </c>
      <c r="AE581">
        <f t="shared" si="443"/>
        <v>-0.64927528104961563</v>
      </c>
      <c r="AF581">
        <f t="shared" si="444"/>
        <v>5.5572889022909994E-2</v>
      </c>
      <c r="AG581">
        <f t="shared" si="473"/>
        <v>59.884949812161807</v>
      </c>
      <c r="AH581">
        <f t="shared" si="474"/>
        <v>-717.64880899915329</v>
      </c>
      <c r="AJ581">
        <f t="shared" si="445"/>
        <v>22100</v>
      </c>
      <c r="AK581">
        <f t="shared" si="446"/>
        <v>330991.89642755146</v>
      </c>
      <c r="AL581">
        <v>1</v>
      </c>
      <c r="AM581">
        <f t="shared" si="447"/>
        <v>397.1847414834495</v>
      </c>
      <c r="AN581">
        <f t="shared" si="475"/>
        <v>833.47975135257241</v>
      </c>
      <c r="AO581">
        <f t="shared" si="476"/>
        <v>-53.543145109801742</v>
      </c>
      <c r="AQ581">
        <f t="shared" si="448"/>
        <v>7.4245107303112551E-4</v>
      </c>
      <c r="AR581">
        <f t="shared" si="449"/>
        <v>-2.724795438024231</v>
      </c>
      <c r="AT581">
        <f t="shared" si="470"/>
        <v>-1955.401739219169</v>
      </c>
      <c r="AU581">
        <f t="shared" si="471"/>
        <v>-163.70705718278944</v>
      </c>
      <c r="AV581">
        <f t="shared" si="459"/>
        <v>-3.0580670157597432</v>
      </c>
      <c r="AW581">
        <f t="shared" si="460"/>
        <v>750.88336031627205</v>
      </c>
      <c r="AX581">
        <f t="shared" si="461"/>
        <v>-3188.5500004271898</v>
      </c>
      <c r="AY581">
        <f t="shared" si="469"/>
        <v>-1.3395165784128811</v>
      </c>
      <c r="BA581">
        <f t="shared" si="450"/>
        <v>0.59901698494918398</v>
      </c>
      <c r="BB581">
        <f t="shared" si="462"/>
        <v>-4.4512172628940325</v>
      </c>
      <c r="BC581">
        <f t="shared" si="463"/>
        <v>-1.7185504373468621</v>
      </c>
      <c r="BD581">
        <f t="shared" si="451"/>
        <v>-278.46568705285046</v>
      </c>
      <c r="BF581">
        <f t="shared" si="452"/>
        <v>-59.633166529728143</v>
      </c>
      <c r="BG581">
        <f t="shared" si="453"/>
        <v>-192.17123105625902</v>
      </c>
      <c r="BH581">
        <f t="shared" si="464"/>
        <v>-12.171231056259018</v>
      </c>
      <c r="BI581">
        <f t="shared" si="465"/>
        <v>-12.171231056259018</v>
      </c>
      <c r="BJ581">
        <f t="shared" si="454"/>
        <v>0</v>
      </c>
      <c r="BK581">
        <f t="shared" si="466"/>
        <v>0</v>
      </c>
      <c r="BM581">
        <f t="shared" si="467"/>
        <v>-55.18194926683411</v>
      </c>
      <c r="BN581">
        <f t="shared" si="455"/>
        <v>-93.705544003408576</v>
      </c>
      <c r="BQ581" s="56">
        <f t="shared" si="468"/>
        <v>12.450743537391105</v>
      </c>
    </row>
    <row r="582" spans="1:69" x14ac:dyDescent="0.25">
      <c r="A582">
        <f t="shared" si="472"/>
        <v>1840000</v>
      </c>
      <c r="B582">
        <f t="shared" si="456"/>
        <v>1840</v>
      </c>
      <c r="C582">
        <f t="shared" si="425"/>
        <v>15.293329470628723</v>
      </c>
      <c r="D582">
        <f t="shared" si="426"/>
        <v>1.5053616564328534</v>
      </c>
      <c r="F582">
        <f t="shared" si="427"/>
        <v>7.5704621933840661E-6</v>
      </c>
      <c r="G582">
        <f t="shared" si="428"/>
        <v>9.3596039299418928E-4</v>
      </c>
      <c r="H582">
        <f t="shared" si="429"/>
        <v>-3.1406566896070061</v>
      </c>
      <c r="J582">
        <f t="shared" si="430"/>
        <v>15</v>
      </c>
      <c r="M582">
        <f t="shared" si="431"/>
        <v>8.120130280995046E-4</v>
      </c>
      <c r="N582">
        <f t="shared" si="432"/>
        <v>-1.5707963250000001</v>
      </c>
      <c r="O582">
        <f t="shared" si="433"/>
        <v>470.55936543469039</v>
      </c>
      <c r="P582">
        <f t="shared" si="434"/>
        <v>1.5686711948218579</v>
      </c>
      <c r="Q582">
        <f t="shared" si="435"/>
        <v>398.26824417269512</v>
      </c>
      <c r="R582">
        <f t="shared" si="436"/>
        <v>1.5682854536198951</v>
      </c>
      <c r="S582">
        <f t="shared" si="437"/>
        <v>6.6440436372928943E-2</v>
      </c>
      <c r="T582">
        <f t="shared" si="438"/>
        <v>-1.5043069113789329</v>
      </c>
      <c r="U582">
        <f t="shared" si="439"/>
        <v>8.5050309087672207E-2</v>
      </c>
      <c r="V582">
        <f t="shared" si="440"/>
        <v>-1.4856431464822266</v>
      </c>
      <c r="X582">
        <f t="shared" si="457"/>
        <v>-56.516456612398144</v>
      </c>
      <c r="Y582">
        <f t="shared" si="441"/>
        <v>-175.27264655614744</v>
      </c>
      <c r="Z582">
        <f t="shared" si="458"/>
        <v>4.7273534438525644</v>
      </c>
      <c r="AC582">
        <v>1</v>
      </c>
      <c r="AD582">
        <f t="shared" si="442"/>
        <v>470.558302868304</v>
      </c>
      <c r="AE582">
        <f t="shared" si="443"/>
        <v>-0.65281838651161683</v>
      </c>
      <c r="AF582">
        <f t="shared" si="444"/>
        <v>5.5724313788639998E-2</v>
      </c>
      <c r="AG582">
        <f t="shared" si="473"/>
        <v>59.562281378086844</v>
      </c>
      <c r="AH582">
        <f t="shared" si="474"/>
        <v>-715.72621921320501</v>
      </c>
      <c r="AJ582">
        <f t="shared" si="445"/>
        <v>22100</v>
      </c>
      <c r="AK582">
        <f t="shared" si="446"/>
        <v>331893.7817039208</v>
      </c>
      <c r="AL582">
        <v>1</v>
      </c>
      <c r="AM582">
        <f t="shared" si="447"/>
        <v>398.26698873544802</v>
      </c>
      <c r="AN582">
        <f t="shared" si="475"/>
        <v>833.47901970778025</v>
      </c>
      <c r="AO582">
        <f t="shared" si="476"/>
        <v>-53.397649269944068</v>
      </c>
      <c r="AQ582">
        <f t="shared" si="448"/>
        <v>7.3842149556788345E-4</v>
      </c>
      <c r="AR582">
        <f t="shared" si="449"/>
        <v>-2.7173911036898111</v>
      </c>
      <c r="AT582">
        <f t="shared" si="470"/>
        <v>-1944.8640786986123</v>
      </c>
      <c r="AU582">
        <f t="shared" si="471"/>
        <v>-162.38252115749106</v>
      </c>
      <c r="AV582">
        <f t="shared" si="459"/>
        <v>-3.0582928661264157</v>
      </c>
      <c r="AW582">
        <f t="shared" si="460"/>
        <v>751.33336561738588</v>
      </c>
      <c r="AX582">
        <f t="shared" si="461"/>
        <v>-3179.9120701110742</v>
      </c>
      <c r="AY582">
        <f t="shared" si="469"/>
        <v>-1.3387765436992423</v>
      </c>
      <c r="BA582">
        <f t="shared" si="450"/>
        <v>0.59729173202382702</v>
      </c>
      <c r="BB582">
        <f t="shared" si="462"/>
        <v>-4.4762699381501587</v>
      </c>
      <c r="BC582">
        <f t="shared" si="463"/>
        <v>-1.7195163224271734</v>
      </c>
      <c r="BD582">
        <f t="shared" si="451"/>
        <v>-278.5210281915102</v>
      </c>
      <c r="BF582">
        <f t="shared" si="452"/>
        <v>-59.681955961803716</v>
      </c>
      <c r="BG582">
        <f t="shared" si="453"/>
        <v>-192.21653195815779</v>
      </c>
      <c r="BH582">
        <f t="shared" si="464"/>
        <v>-12.216531958157788</v>
      </c>
      <c r="BI582">
        <f t="shared" si="465"/>
        <v>-12.216531958157788</v>
      </c>
      <c r="BJ582">
        <f t="shared" si="454"/>
        <v>0</v>
      </c>
      <c r="BK582">
        <f t="shared" si="466"/>
        <v>0</v>
      </c>
      <c r="BM582">
        <f t="shared" si="467"/>
        <v>-55.205686023653556</v>
      </c>
      <c r="BN582">
        <f t="shared" si="455"/>
        <v>-93.695503766647619</v>
      </c>
      <c r="BQ582" s="56">
        <f t="shared" si="468"/>
        <v>12.425690862134978</v>
      </c>
    </row>
    <row r="583" spans="1:69" x14ac:dyDescent="0.25">
      <c r="A583">
        <f t="shared" si="472"/>
        <v>1845000</v>
      </c>
      <c r="B583">
        <f t="shared" si="456"/>
        <v>1845</v>
      </c>
      <c r="C583">
        <f t="shared" si="425"/>
        <v>15.334709986143134</v>
      </c>
      <c r="D583">
        <f t="shared" si="426"/>
        <v>1.505538482461811</v>
      </c>
      <c r="F583">
        <f t="shared" si="427"/>
        <v>7.5294851848188362E-6</v>
      </c>
      <c r="G583">
        <f t="shared" si="428"/>
        <v>9.3342387796607935E-4</v>
      </c>
      <c r="H583">
        <f t="shared" si="429"/>
        <v>-3.1406592261220343</v>
      </c>
      <c r="J583">
        <f t="shared" si="430"/>
        <v>15</v>
      </c>
      <c r="M583">
        <f t="shared" si="431"/>
        <v>8.0981245078758177E-4</v>
      </c>
      <c r="N583">
        <f t="shared" si="432"/>
        <v>-1.5707963250000001</v>
      </c>
      <c r="O583">
        <f t="shared" si="433"/>
        <v>471.83805359551616</v>
      </c>
      <c r="P583">
        <f t="shared" si="434"/>
        <v>1.5686769539698273</v>
      </c>
      <c r="Q583">
        <f t="shared" si="435"/>
        <v>399.35048802243534</v>
      </c>
      <c r="R583">
        <f t="shared" si="436"/>
        <v>1.5682922581257617</v>
      </c>
      <c r="S583">
        <f t="shared" si="437"/>
        <v>6.6261172600081256E-2</v>
      </c>
      <c r="T583">
        <f t="shared" si="438"/>
        <v>-1.5044865710577553</v>
      </c>
      <c r="U583">
        <f t="shared" si="439"/>
        <v>8.4821480974883595E-2</v>
      </c>
      <c r="V583">
        <f t="shared" si="440"/>
        <v>-1.4858728044835765</v>
      </c>
      <c r="X583">
        <f t="shared" si="457"/>
        <v>-56.563425798843852</v>
      </c>
      <c r="Y583">
        <f t="shared" si="441"/>
        <v>-175.28539283381437</v>
      </c>
      <c r="Z583">
        <f t="shared" si="458"/>
        <v>4.7146071661856297</v>
      </c>
      <c r="AC583">
        <v>1</v>
      </c>
      <c r="AD583">
        <f t="shared" si="442"/>
        <v>471.83699390870703</v>
      </c>
      <c r="AE583">
        <f t="shared" si="443"/>
        <v>-0.65637113307691586</v>
      </c>
      <c r="AF583">
        <f t="shared" si="444"/>
        <v>5.5875738554369996E-2</v>
      </c>
      <c r="AG583">
        <f t="shared" si="473"/>
        <v>59.242207542991899</v>
      </c>
      <c r="AH583">
        <f t="shared" si="474"/>
        <v>-713.81382909438139</v>
      </c>
      <c r="AJ583">
        <f t="shared" si="445"/>
        <v>22100</v>
      </c>
      <c r="AK583">
        <f t="shared" si="446"/>
        <v>332795.6669802902</v>
      </c>
      <c r="AL583">
        <v>1</v>
      </c>
      <c r="AM583">
        <f t="shared" si="447"/>
        <v>399.34923598744655</v>
      </c>
      <c r="AN583">
        <f t="shared" si="475"/>
        <v>833.47829400320632</v>
      </c>
      <c r="AO583">
        <f t="shared" si="476"/>
        <v>-53.252942010549646</v>
      </c>
      <c r="AQ583">
        <f t="shared" si="448"/>
        <v>7.3442463448236759E-4</v>
      </c>
      <c r="AR583">
        <f t="shared" si="449"/>
        <v>-2.7100269012399365</v>
      </c>
      <c r="AT583">
        <f t="shared" si="470"/>
        <v>-1934.4111703862395</v>
      </c>
      <c r="AU583">
        <f t="shared" si="471"/>
        <v>-161.07221859086863</v>
      </c>
      <c r="AV583">
        <f t="shared" si="459"/>
        <v>-3.0585175014001496</v>
      </c>
      <c r="AW583">
        <f t="shared" si="460"/>
        <v>751.77969103763598</v>
      </c>
      <c r="AX583">
        <f t="shared" si="461"/>
        <v>-3171.3207446416718</v>
      </c>
      <c r="AY583">
        <f t="shared" si="469"/>
        <v>-1.3380371354241727</v>
      </c>
      <c r="BA583">
        <f t="shared" si="450"/>
        <v>0.59557553515908168</v>
      </c>
      <c r="BB583">
        <f t="shared" si="462"/>
        <v>-4.5012630069678252</v>
      </c>
      <c r="BC583">
        <f t="shared" si="463"/>
        <v>-1.7204803659759769</v>
      </c>
      <c r="BD583">
        <f t="shared" si="451"/>
        <v>-278.57626381818653</v>
      </c>
      <c r="BF583">
        <f t="shared" si="452"/>
        <v>-59.730620825606842</v>
      </c>
      <c r="BG583">
        <f t="shared" si="453"/>
        <v>-192.26178153126122</v>
      </c>
      <c r="BH583">
        <f t="shared" si="464"/>
        <v>-12.261781531261221</v>
      </c>
      <c r="BI583">
        <f t="shared" si="465"/>
        <v>-12.261781531261221</v>
      </c>
      <c r="BJ583">
        <f t="shared" si="454"/>
        <v>0</v>
      </c>
      <c r="BK583">
        <f t="shared" si="466"/>
        <v>0</v>
      </c>
      <c r="BM583">
        <f t="shared" si="467"/>
        <v>-55.229357818639009</v>
      </c>
      <c r="BN583">
        <f t="shared" si="455"/>
        <v>-93.685517713074674</v>
      </c>
      <c r="BQ583" s="56">
        <f t="shared" si="468"/>
        <v>12.400697793317313</v>
      </c>
    </row>
    <row r="584" spans="1:69" x14ac:dyDescent="0.25">
      <c r="A584">
        <f t="shared" si="472"/>
        <v>1850000</v>
      </c>
      <c r="B584">
        <f t="shared" si="456"/>
        <v>1850</v>
      </c>
      <c r="C584">
        <f t="shared" si="425"/>
        <v>15.376090978553966</v>
      </c>
      <c r="D584">
        <f t="shared" si="426"/>
        <v>1.5057143567281281</v>
      </c>
      <c r="F584">
        <f t="shared" si="427"/>
        <v>7.4888399762299275E-6</v>
      </c>
      <c r="G584">
        <f t="shared" si="428"/>
        <v>9.3090107412878702E-4</v>
      </c>
      <c r="H584">
        <f t="shared" si="429"/>
        <v>-3.1406617489258712</v>
      </c>
      <c r="J584">
        <f t="shared" si="430"/>
        <v>15</v>
      </c>
      <c r="M584">
        <f t="shared" si="431"/>
        <v>8.0762376848815586E-4</v>
      </c>
      <c r="N584">
        <f t="shared" si="432"/>
        <v>-1.5707963250000001</v>
      </c>
      <c r="O584">
        <f t="shared" si="433"/>
        <v>473.11674177190713</v>
      </c>
      <c r="P584">
        <f t="shared" si="434"/>
        <v>1.5686826819874067</v>
      </c>
      <c r="Q584">
        <f t="shared" si="435"/>
        <v>400.43273189056606</v>
      </c>
      <c r="R584">
        <f t="shared" si="436"/>
        <v>1.5682990258507452</v>
      </c>
      <c r="S584">
        <f t="shared" si="437"/>
        <v>6.6082871456093137E-2</v>
      </c>
      <c r="T584">
        <f t="shared" si="438"/>
        <v>-1.5046652638555289</v>
      </c>
      <c r="U584">
        <f t="shared" si="439"/>
        <v>8.4593876457687331E-2</v>
      </c>
      <c r="V584">
        <f t="shared" si="440"/>
        <v>-1.4861012299978431</v>
      </c>
      <c r="X584">
        <f t="shared" si="457"/>
        <v>-56.610268793938452</v>
      </c>
      <c r="Y584">
        <f t="shared" si="441"/>
        <v>-175.29807073438795</v>
      </c>
      <c r="Z584">
        <f t="shared" si="458"/>
        <v>4.7019292656120513</v>
      </c>
      <c r="AC584">
        <v>1</v>
      </c>
      <c r="AD584">
        <f t="shared" si="442"/>
        <v>473.11568494911</v>
      </c>
      <c r="AE584">
        <f t="shared" si="443"/>
        <v>-0.65993352074551292</v>
      </c>
      <c r="AF584">
        <f t="shared" si="444"/>
        <v>5.60271633201E-2</v>
      </c>
      <c r="AG584">
        <f t="shared" si="473"/>
        <v>58.924700630426798</v>
      </c>
      <c r="AH584">
        <f t="shared" si="474"/>
        <v>-711.91155829235925</v>
      </c>
      <c r="AJ584">
        <f t="shared" si="445"/>
        <v>22100</v>
      </c>
      <c r="AK584">
        <f t="shared" si="446"/>
        <v>333697.55225665955</v>
      </c>
      <c r="AL584">
        <v>1</v>
      </c>
      <c r="AM584">
        <f t="shared" si="447"/>
        <v>400.43148323944507</v>
      </c>
      <c r="AN584">
        <f t="shared" si="475"/>
        <v>833.47757417471928</v>
      </c>
      <c r="AO584">
        <f t="shared" si="476"/>
        <v>-53.109016937882942</v>
      </c>
      <c r="AQ584">
        <f t="shared" si="448"/>
        <v>7.3046013656244435E-4</v>
      </c>
      <c r="AR584">
        <f t="shared" si="449"/>
        <v>-2.7027025052810441</v>
      </c>
      <c r="AT584">
        <f t="shared" si="470"/>
        <v>-1924.042109990422</v>
      </c>
      <c r="AU584">
        <f t="shared" si="471"/>
        <v>-159.77595903088064</v>
      </c>
      <c r="AV584">
        <f t="shared" si="459"/>
        <v>-3.0587409313365401</v>
      </c>
      <c r="AW584">
        <f t="shared" si="460"/>
        <v>752.22237665562864</v>
      </c>
      <c r="AX584">
        <f t="shared" si="461"/>
        <v>-3162.775648407639</v>
      </c>
      <c r="AY584">
        <f t="shared" si="469"/>
        <v>-1.3372983508123657</v>
      </c>
      <c r="BA584">
        <f t="shared" si="450"/>
        <v>0.59386832202580198</v>
      </c>
      <c r="BB584">
        <f t="shared" si="462"/>
        <v>-4.5261968026364308</v>
      </c>
      <c r="BC584">
        <f t="shared" si="463"/>
        <v>-1.7214425805241744</v>
      </c>
      <c r="BD584">
        <f t="shared" si="451"/>
        <v>-278.63139465084737</v>
      </c>
      <c r="BF584">
        <f t="shared" si="452"/>
        <v>-59.779161810447697</v>
      </c>
      <c r="BG584">
        <f t="shared" si="453"/>
        <v>-192.30698005673813</v>
      </c>
      <c r="BH584">
        <f t="shared" si="464"/>
        <v>-12.306980056738126</v>
      </c>
      <c r="BI584">
        <f t="shared" si="465"/>
        <v>-12.306980056738126</v>
      </c>
      <c r="BJ584">
        <f t="shared" si="454"/>
        <v>0</v>
      </c>
      <c r="BK584">
        <f t="shared" si="466"/>
        <v>0</v>
      </c>
      <c r="BM584">
        <f t="shared" si="467"/>
        <v>-55.25296500781127</v>
      </c>
      <c r="BN584">
        <f t="shared" si="455"/>
        <v>-93.675585405890772</v>
      </c>
      <c r="BQ584" s="56">
        <f t="shared" si="468"/>
        <v>12.375763997648706</v>
      </c>
    </row>
    <row r="585" spans="1:69" x14ac:dyDescent="0.25">
      <c r="A585">
        <f t="shared" si="472"/>
        <v>1855000</v>
      </c>
      <c r="B585">
        <f t="shared" si="456"/>
        <v>1855</v>
      </c>
      <c r="C585">
        <f t="shared" ref="C585:C626" si="477">SQRT((A585/Fesr)^2+1)</f>
        <v>15.417472444021209</v>
      </c>
      <c r="D585">
        <f t="shared" ref="D585:D614" si="478">ATAN(A585/Fesr)</f>
        <v>1.5058892868846532</v>
      </c>
      <c r="F585">
        <f t="shared" ref="F585:F626" si="479">(Ro/(Ro+Rdcr))/SQRT((A585/(Q*Fo))^2+(1-(A585^2/Fo^2))^2)</f>
        <v>7.448522995042541E-6</v>
      </c>
      <c r="G585">
        <f t="shared" ref="G585:G614" si="480">-ATAN(A585*Fo/(Q*(Fo^2-A585^2)))</f>
        <v>9.2839187060694101E-4</v>
      </c>
      <c r="H585">
        <f t="shared" ref="H585:H648" si="481">IF(G585&gt;0,G585-Pi,G585)</f>
        <v>-3.1406642581293931</v>
      </c>
      <c r="J585">
        <f t="shared" ref="J585:J648" si="482">Vin/Vramp</f>
        <v>15</v>
      </c>
      <c r="M585">
        <f t="shared" ref="M585:M614" si="483">1/(2*Pi*_Rfb1*(Cc1ea_u+Cc2ea_u)*A585)</f>
        <v>8.0544688501514193E-4</v>
      </c>
      <c r="N585">
        <f t="shared" ref="N585:N648" si="484">-Pi/2</f>
        <v>-1.5707963250000001</v>
      </c>
      <c r="O585">
        <f t="shared" ref="O585:O614" si="485">SQRT(1+(A585/Fz1_u)^2)</f>
        <v>474.39542996373751</v>
      </c>
      <c r="P585">
        <f t="shared" ref="P585:P648" si="486">ATAN2(Fz1_u,A585)</f>
        <v>1.5686883791263224</v>
      </c>
      <c r="Q585">
        <f t="shared" ref="Q585:Q614" si="487">SQRT(1+(A585/Fz2_u)^2)</f>
        <v>401.51497577693863</v>
      </c>
      <c r="R585">
        <f t="shared" ref="R585:R648" si="488">ATAN2(Fz2_u,A585)</f>
        <v>1.5683057570922632</v>
      </c>
      <c r="S585">
        <f t="shared" ref="S585:S614" si="489">1/SQRT(1+(A585/Fp1_u)^2)</f>
        <v>6.5905525224874389E-2</v>
      </c>
      <c r="T585">
        <f t="shared" ref="T585:T648" si="490">-ATAN2(Fp1_u,A585)</f>
        <v>-1.5048429975452355</v>
      </c>
      <c r="U585">
        <f t="shared" ref="U585:U626" si="491">1/SQRT(1+(A585/Fp2_u)^2)</f>
        <v>8.4367485783461857E-2</v>
      </c>
      <c r="V585">
        <f t="shared" ref="V585:V648" si="492">-ATAN2(Fp2_u,A585)</f>
        <v>-1.486328432896262</v>
      </c>
      <c r="X585">
        <f t="shared" si="457"/>
        <v>-56.656986271495384</v>
      </c>
      <c r="Y585">
        <f t="shared" ref="Y585:Y614" si="493">(180/Pi)*(D585+H585+N585+P585+R585+T585+V585)</f>
        <v>-175.31068080522064</v>
      </c>
      <c r="Z585">
        <f t="shared" si="458"/>
        <v>4.6893191947793582</v>
      </c>
      <c r="AC585">
        <v>1</v>
      </c>
      <c r="AD585">
        <f t="shared" ref="AD585:AD626" si="494">Rcea1_u*Cc1ea_u*A585*2*Pi</f>
        <v>474.39437598951298</v>
      </c>
      <c r="AE585">
        <f t="shared" ref="AE585:AE626" si="495">-Rcea1_u*Cc1ea_u*Cc2ea_u*(A585*2*Pi)^2</f>
        <v>-0.66350554951740792</v>
      </c>
      <c r="AF585">
        <f t="shared" ref="AF585:AF626" si="496">(Cc2ea_u+Cc1ea_u)*A585*2*Pi</f>
        <v>5.6178588085829997E-2</v>
      </c>
      <c r="AG585">
        <f t="shared" si="473"/>
        <v>58.609733331096017</v>
      </c>
      <c r="AH585">
        <f t="shared" si="474"/>
        <v>-710.01932729203952</v>
      </c>
      <c r="AJ585">
        <f t="shared" ref="AJ585:AJ648" si="497">_Rfb1</f>
        <v>22100</v>
      </c>
      <c r="AK585">
        <f t="shared" ref="AK585:AK626" si="498">_Rfb1*Rcea2_u*Cc3ea_u*A585*2*Pi</f>
        <v>334599.43753302889</v>
      </c>
      <c r="AL585">
        <v>1</v>
      </c>
      <c r="AM585">
        <f t="shared" ref="AM585:AM626" si="499">(_Rfb1+Rcea2_u)*Cc3ea_u*A585*2*Pi</f>
        <v>401.51373049144354</v>
      </c>
      <c r="AN585">
        <f t="shared" si="475"/>
        <v>833.47686015905163</v>
      </c>
      <c r="AO585">
        <f t="shared" si="476"/>
        <v>-52.965867727141514</v>
      </c>
      <c r="AQ585">
        <f t="shared" ref="AQ585:AQ626" si="500">Eadcg/(1+(Eadcg*A585/GBP)^2)</f>
        <v>7.2652765334982653E-4</v>
      </c>
      <c r="AR585">
        <f t="shared" ref="AR585:AR626" si="501">-(A585*Eadcg*Eadcg/GBP)/(1+(Eadcg*A585/GBP)^2)</f>
        <v>-2.6954175939278562</v>
      </c>
      <c r="AT585">
        <f t="shared" si="470"/>
        <v>-1913.7560052197637</v>
      </c>
      <c r="AU585">
        <f t="shared" si="471"/>
        <v>-158.49355507174661</v>
      </c>
      <c r="AV585">
        <f t="shared" si="459"/>
        <v>-3.0589631655872846</v>
      </c>
      <c r="AW585">
        <f t="shared" si="460"/>
        <v>752.66146200498451</v>
      </c>
      <c r="AX585">
        <f t="shared" si="461"/>
        <v>-3154.2764098174125</v>
      </c>
      <c r="AY585">
        <f t="shared" si="469"/>
        <v>-1.3365601871234833</v>
      </c>
      <c r="BA585">
        <f t="shared" ref="BA585:BA648" si="502">SQRT(AT585^2+AU585^2)/SQRT(AW585^2+AX585^2)</f>
        <v>0.59217002106584027</v>
      </c>
      <c r="BB585">
        <f t="shared" si="462"/>
        <v>-4.5510716557610644</v>
      </c>
      <c r="BC585">
        <f t="shared" si="463"/>
        <v>-1.7224029784638013</v>
      </c>
      <c r="BD585">
        <f t="shared" ref="BD585:BD648" si="503">BC585*180/Pi-180</f>
        <v>-278.6864213995039</v>
      </c>
      <c r="BF585">
        <f t="shared" ref="BF585:BF648" si="504">20*LOG(BA585*J585*F585*C585)</f>
        <v>-59.827579600022425</v>
      </c>
      <c r="BG585">
        <f t="shared" ref="BG585:BG648" si="505">(180/Pi)*(D585+H585+BC585)</f>
        <v>-192.35212781247668</v>
      </c>
      <c r="BH585">
        <f t="shared" si="464"/>
        <v>-12.352127812476681</v>
      </c>
      <c r="BI585">
        <f t="shared" si="465"/>
        <v>-12.352127812476681</v>
      </c>
      <c r="BJ585">
        <f t="shared" ref="BJ585:BJ648" si="506">SUM((BF586&lt;0)*(BF585&gt;0))*A585</f>
        <v>0</v>
      </c>
      <c r="BK585">
        <f t="shared" si="466"/>
        <v>0</v>
      </c>
      <c r="BM585">
        <f t="shared" si="467"/>
        <v>-55.276507944261361</v>
      </c>
      <c r="BN585">
        <f t="shared" ref="BN585:BN648" si="507">(H585+D585)*180/Pi</f>
        <v>-93.665706412972796</v>
      </c>
      <c r="BQ585" s="56">
        <f t="shared" si="468"/>
        <v>12.350889144524073</v>
      </c>
    </row>
    <row r="586" spans="1:69" x14ac:dyDescent="0.25">
      <c r="A586">
        <f t="shared" si="472"/>
        <v>1860000</v>
      </c>
      <c r="B586">
        <f t="shared" ref="B586:B649" si="508">A586/1000</f>
        <v>1860</v>
      </c>
      <c r="C586">
        <f t="shared" si="477"/>
        <v>15.458854378745913</v>
      </c>
      <c r="D586">
        <f t="shared" si="478"/>
        <v>1.5060632805025225</v>
      </c>
      <c r="F586">
        <f t="shared" si="479"/>
        <v>7.4085307166363974E-6</v>
      </c>
      <c r="G586">
        <f t="shared" si="480"/>
        <v>9.2589615771742164E-4</v>
      </c>
      <c r="H586">
        <f t="shared" si="481"/>
        <v>-3.1406667538422828</v>
      </c>
      <c r="J586">
        <f t="shared" si="482"/>
        <v>15</v>
      </c>
      <c r="M586">
        <f t="shared" si="483"/>
        <v>8.0328170521671411E-4</v>
      </c>
      <c r="N586">
        <f t="shared" si="484"/>
        <v>-1.5707963250000001</v>
      </c>
      <c r="O586">
        <f t="shared" si="485"/>
        <v>475.67411817088271</v>
      </c>
      <c r="P586">
        <f t="shared" si="486"/>
        <v>1.5686940456355949</v>
      </c>
      <c r="Q586">
        <f t="shared" si="487"/>
        <v>402.59721968140576</v>
      </c>
      <c r="R586">
        <f t="shared" si="488"/>
        <v>1.5683124521445344</v>
      </c>
      <c r="S586">
        <f t="shared" si="489"/>
        <v>6.5729126272399602E-2</v>
      </c>
      <c r="T586">
        <f t="shared" si="490"/>
        <v>-1.5050197798168821</v>
      </c>
      <c r="U586">
        <f t="shared" si="491"/>
        <v>8.4142299302575982E-2</v>
      </c>
      <c r="V586">
        <f t="shared" si="492"/>
        <v>-1.486554422945187</v>
      </c>
      <c r="X586">
        <f t="shared" ref="X586:X614" si="509">20*LOG(C586*J586*O586*Q586*F586*M586*S586*U586)</f>
        <v>-56.703578899965066</v>
      </c>
      <c r="Y586">
        <f t="shared" si="493"/>
        <v>-175.32322358785311</v>
      </c>
      <c r="Z586">
        <f t="shared" ref="Z586:Z649" si="510">Y586+180</f>
        <v>4.6767764121468929</v>
      </c>
      <c r="AC586">
        <v>1</v>
      </c>
      <c r="AD586">
        <f t="shared" si="494"/>
        <v>475.67306702991601</v>
      </c>
      <c r="AE586">
        <f t="shared" si="495"/>
        <v>-0.66708721939260085</v>
      </c>
      <c r="AF586">
        <f t="shared" si="496"/>
        <v>5.6330012851560002E-2</v>
      </c>
      <c r="AG586">
        <f t="shared" si="473"/>
        <v>58.297278697043566</v>
      </c>
      <c r="AH586">
        <f t="shared" si="474"/>
        <v>-708.13705740281216</v>
      </c>
      <c r="AJ586">
        <f t="shared" si="497"/>
        <v>22100</v>
      </c>
      <c r="AK586">
        <f t="shared" si="498"/>
        <v>335501.32280939823</v>
      </c>
      <c r="AL586">
        <v>1</v>
      </c>
      <c r="AM586">
        <f t="shared" si="499"/>
        <v>402.59597774344206</v>
      </c>
      <c r="AN586">
        <f t="shared" si="475"/>
        <v>833.47615189378439</v>
      </c>
      <c r="AO586">
        <f t="shared" si="476"/>
        <v>-52.823488121529373</v>
      </c>
      <c r="AQ586">
        <f t="shared" si="500"/>
        <v>7.2262684106350148E-4</v>
      </c>
      <c r="AR586">
        <f t="shared" si="501"/>
        <v>-2.6881718487562254</v>
      </c>
      <c r="AT586">
        <f t="shared" si="470"/>
        <v>-1903.5519755929633</v>
      </c>
      <c r="AU586">
        <f t="shared" si="471"/>
        <v>-157.22482229731952</v>
      </c>
      <c r="AV586">
        <f t="shared" ref="AV586:AV649" si="511">ATAN2(AT586,AU586)</f>
        <v>-3.0591842137015592</v>
      </c>
      <c r="AW586">
        <f t="shared" ref="AW586:AW649" si="512">AG586-AH586*AO586/_Rfb2+AG586*AN586/_Rfb2+AN586-AO586*AR586+AQ586*AN586</f>
        <v>753.09698608321867</v>
      </c>
      <c r="AX586">
        <f t="shared" ref="AX586:AX649" si="513">AH586+AH586*AN586/_Rfb2+AG586*AO586/_Rfb2+AO586+AO586*AQ586+AN586*AR586</f>
        <v>-3145.8226612456483</v>
      </c>
      <c r="AY586">
        <f t="shared" si="469"/>
        <v>-1.3358226416516517</v>
      </c>
      <c r="BA586">
        <f t="shared" si="502"/>
        <v>0.59048056148183015</v>
      </c>
      <c r="BB586">
        <f t="shared" ref="BB586:BB649" si="514">20*LOG(BA586)</f>
        <v>-4.5758878942906582</v>
      </c>
      <c r="BC586">
        <f t="shared" ref="BC586:BC649" si="515">AV586-AY586</f>
        <v>-1.7233615720499076</v>
      </c>
      <c r="BD586">
        <f t="shared" si="503"/>
        <v>-278.74134476631889</v>
      </c>
      <c r="BF586">
        <f t="shared" si="504"/>
        <v>-59.875874872473425</v>
      </c>
      <c r="BG586">
        <f t="shared" si="505"/>
        <v>-192.39722507312976</v>
      </c>
      <c r="BH586">
        <f t="shared" ref="BH586:BH649" si="516">IF(BG586&gt;180,BG586-180,BG586+180)</f>
        <v>-12.397225073129761</v>
      </c>
      <c r="BI586">
        <f t="shared" ref="BI586:BI649" si="517">IF(BH586&gt;180,BH586-360,BH586)</f>
        <v>-12.397225073129761</v>
      </c>
      <c r="BJ586">
        <f t="shared" si="506"/>
        <v>0</v>
      </c>
      <c r="BK586">
        <f t="shared" ref="BK586:BK649" si="518">IF(BJ586&gt;0,BI586,0)</f>
        <v>0</v>
      </c>
      <c r="BM586">
        <f t="shared" ref="BM586:BM649" si="519">20*LOG(J586*F586*C586)</f>
        <v>-55.299986978182773</v>
      </c>
      <c r="BN586">
        <f t="shared" si="507"/>
        <v>-93.655880306810886</v>
      </c>
      <c r="BQ586" s="56">
        <f t="shared" ref="BQ586:BQ649" si="520">20*LOG(BA586*7)</f>
        <v>12.326072905994479</v>
      </c>
    </row>
    <row r="587" spans="1:69" x14ac:dyDescent="0.25">
      <c r="A587">
        <f t="shared" si="472"/>
        <v>1865000</v>
      </c>
      <c r="B587">
        <f t="shared" si="508"/>
        <v>1865</v>
      </c>
      <c r="C587">
        <f t="shared" si="477"/>
        <v>15.500236778969667</v>
      </c>
      <c r="D587">
        <f t="shared" si="478"/>
        <v>1.5062363450722476</v>
      </c>
      <c r="F587">
        <f t="shared" si="479"/>
        <v>7.3688596635753859E-6</v>
      </c>
      <c r="G587">
        <f t="shared" si="480"/>
        <v>9.2341382695337729E-4</v>
      </c>
      <c r="H587">
        <f t="shared" si="481"/>
        <v>-3.1406692361730468</v>
      </c>
      <c r="J587">
        <f t="shared" si="482"/>
        <v>15</v>
      </c>
      <c r="M587">
        <f t="shared" si="483"/>
        <v>8.0112813496144156E-4</v>
      </c>
      <c r="N587">
        <f t="shared" si="484"/>
        <v>-1.5707963250000001</v>
      </c>
      <c r="O587">
        <f t="shared" si="485"/>
        <v>476.95280639321959</v>
      </c>
      <c r="P587">
        <f t="shared" si="486"/>
        <v>1.5686996817615737</v>
      </c>
      <c r="Q587">
        <f t="shared" si="487"/>
        <v>403.67946360382211</v>
      </c>
      <c r="R587">
        <f t="shared" si="488"/>
        <v>1.568319111298623</v>
      </c>
      <c r="S587">
        <f t="shared" si="489"/>
        <v>6.5553667045622335E-2</v>
      </c>
      <c r="T587">
        <f t="shared" si="490"/>
        <v>-1.5051956182786028</v>
      </c>
      <c r="U587">
        <f t="shared" si="491"/>
        <v>8.3918307467038211E-2</v>
      </c>
      <c r="V587">
        <f t="shared" si="492"/>
        <v>-1.4867792098074759</v>
      </c>
      <c r="X587">
        <f t="shared" si="509"/>
        <v>-56.750047342491364</v>
      </c>
      <c r="Y587">
        <f t="shared" si="493"/>
        <v>-175.33569961809104</v>
      </c>
      <c r="Z587">
        <f t="shared" si="510"/>
        <v>4.6643003819089586</v>
      </c>
      <c r="AC587">
        <v>1</v>
      </c>
      <c r="AD587">
        <f t="shared" si="494"/>
        <v>476.95175807031899</v>
      </c>
      <c r="AE587">
        <f t="shared" si="495"/>
        <v>-0.6706785303710916</v>
      </c>
      <c r="AF587">
        <f t="shared" si="496"/>
        <v>5.6481437617289992E-2</v>
      </c>
      <c r="AG587">
        <f t="shared" si="473"/>
        <v>57.987310135944774</v>
      </c>
      <c r="AH587">
        <f t="shared" si="474"/>
        <v>-706.26467074798461</v>
      </c>
      <c r="AJ587">
        <f t="shared" si="497"/>
        <v>22100</v>
      </c>
      <c r="AK587">
        <f t="shared" si="498"/>
        <v>336403.20808576758</v>
      </c>
      <c r="AL587">
        <v>1</v>
      </c>
      <c r="AM587">
        <f t="shared" si="499"/>
        <v>403.67822499544059</v>
      </c>
      <c r="AN587">
        <f t="shared" si="475"/>
        <v>833.47544931733466</v>
      </c>
      <c r="AO587">
        <f t="shared" si="476"/>
        <v>-52.681871931345484</v>
      </c>
      <c r="AQ587">
        <f t="shared" si="500"/>
        <v>7.1875736052459508E-4</v>
      </c>
      <c r="AR587">
        <f t="shared" si="501"/>
        <v>-2.6809649547567398</v>
      </c>
      <c r="AT587">
        <f t="shared" si="470"/>
        <v>-1893.4291522521771</v>
      </c>
      <c r="AU587">
        <f t="shared" si="471"/>
        <v>-155.96957922565682</v>
      </c>
      <c r="AV587">
        <f t="shared" si="511"/>
        <v>-3.0594040851273734</v>
      </c>
      <c r="AW587">
        <f t="shared" si="512"/>
        <v>753.52898736045483</v>
      </c>
      <c r="AX587">
        <f t="shared" si="513"/>
        <v>-3137.4140389805198</v>
      </c>
      <c r="AY587">
        <f t="shared" ref="AY587:AY650" si="521">ATAN2(AW587,AX587)</f>
        <v>-1.3350857117249646</v>
      </c>
      <c r="BA587">
        <f t="shared" si="502"/>
        <v>0.58879987322713068</v>
      </c>
      <c r="BB587">
        <f t="shared" si="514"/>
        <v>-4.6006458435457818</v>
      </c>
      <c r="BC587">
        <f t="shared" si="515"/>
        <v>-1.7243183734024088</v>
      </c>
      <c r="BD587">
        <f t="shared" si="503"/>
        <v>-278.79616544571223</v>
      </c>
      <c r="BF587">
        <f t="shared" si="504"/>
        <v>-59.924048300448874</v>
      </c>
      <c r="BG587">
        <f t="shared" si="505"/>
        <v>-192.44227211015959</v>
      </c>
      <c r="BH587">
        <f t="shared" si="516"/>
        <v>-12.442272110159593</v>
      </c>
      <c r="BI587">
        <f t="shared" si="517"/>
        <v>-12.442272110159593</v>
      </c>
      <c r="BJ587">
        <f t="shared" si="506"/>
        <v>0</v>
      </c>
      <c r="BK587">
        <f t="shared" si="518"/>
        <v>0</v>
      </c>
      <c r="BM587">
        <f t="shared" si="519"/>
        <v>-55.323402456903096</v>
      </c>
      <c r="BN587">
        <f t="shared" si="507"/>
        <v>-93.646106664447359</v>
      </c>
      <c r="BQ587" s="56">
        <f t="shared" si="520"/>
        <v>12.301314956739356</v>
      </c>
    </row>
    <row r="588" spans="1:69" x14ac:dyDescent="0.25">
      <c r="A588">
        <f t="shared" si="472"/>
        <v>1870000</v>
      </c>
      <c r="B588">
        <f t="shared" si="508"/>
        <v>1870</v>
      </c>
      <c r="C588">
        <f t="shared" si="477"/>
        <v>15.541619640974039</v>
      </c>
      <c r="D588">
        <f t="shared" si="478"/>
        <v>1.5064084880047839</v>
      </c>
      <c r="F588">
        <f t="shared" si="479"/>
        <v>7.3295064048515966E-6</v>
      </c>
      <c r="G588">
        <f t="shared" si="480"/>
        <v>9.2094477096849926E-4</v>
      </c>
      <c r="H588">
        <f t="shared" si="481"/>
        <v>-3.1406717052290318</v>
      </c>
      <c r="J588">
        <f t="shared" si="482"/>
        <v>15</v>
      </c>
      <c r="M588">
        <f t="shared" si="483"/>
        <v>7.9898608112464618E-4</v>
      </c>
      <c r="N588">
        <f t="shared" si="484"/>
        <v>-1.5707963250000001</v>
      </c>
      <c r="O588">
        <f t="shared" si="485"/>
        <v>478.23149463062634</v>
      </c>
      <c r="P588">
        <f t="shared" si="486"/>
        <v>1.5687052877479735</v>
      </c>
      <c r="Q588">
        <f t="shared" si="487"/>
        <v>404.76170754404359</v>
      </c>
      <c r="R588">
        <f t="shared" si="488"/>
        <v>1.5683257348424797</v>
      </c>
      <c r="S588">
        <f t="shared" si="489"/>
        <v>6.5379140071406716E-2</v>
      </c>
      <c r="T588">
        <f t="shared" si="490"/>
        <v>-1.505370520457745</v>
      </c>
      <c r="U588">
        <f t="shared" si="491"/>
        <v>8.3695500829166811E-2</v>
      </c>
      <c r="V588">
        <f t="shared" si="492"/>
        <v>-1.4870028030438545</v>
      </c>
      <c r="X588">
        <f t="shared" si="509"/>
        <v>-56.79639225696743</v>
      </c>
      <c r="Y588">
        <f t="shared" si="493"/>
        <v>-175.3481094260807</v>
      </c>
      <c r="Z588">
        <f t="shared" si="510"/>
        <v>4.6518905739193031</v>
      </c>
      <c r="AC588">
        <v>1</v>
      </c>
      <c r="AD588">
        <f t="shared" si="494"/>
        <v>478.23044911072202</v>
      </c>
      <c r="AE588">
        <f t="shared" si="495"/>
        <v>-0.6742794824528805</v>
      </c>
      <c r="AF588">
        <f t="shared" si="496"/>
        <v>5.6632862383020004E-2</v>
      </c>
      <c r="AG588">
        <f t="shared" si="473"/>
        <v>57.679801405502872</v>
      </c>
      <c r="AH588">
        <f t="shared" si="474"/>
        <v>-704.40209025437059</v>
      </c>
      <c r="AJ588">
        <f t="shared" si="497"/>
        <v>22100</v>
      </c>
      <c r="AK588">
        <f t="shared" si="498"/>
        <v>337305.09336213692</v>
      </c>
      <c r="AL588">
        <v>1</v>
      </c>
      <c r="AM588">
        <f t="shared" si="499"/>
        <v>404.760472247439</v>
      </c>
      <c r="AN588">
        <f t="shared" si="475"/>
        <v>833.47475236894138</v>
      </c>
      <c r="AO588">
        <f t="shared" si="476"/>
        <v>-52.541013033086799</v>
      </c>
      <c r="AQ588">
        <f t="shared" si="500"/>
        <v>7.1491887708263909E-4</v>
      </c>
      <c r="AR588">
        <f t="shared" si="501"/>
        <v>-2.6737966002890703</v>
      </c>
      <c r="AT588">
        <f t="shared" si="470"/>
        <v>-1883.3866777797998</v>
      </c>
      <c r="AU588">
        <f t="shared" si="471"/>
        <v>-154.72764725476165</v>
      </c>
      <c r="AV588">
        <f t="shared" si="511"/>
        <v>-3.0596227892129018</v>
      </c>
      <c r="AW588">
        <f t="shared" si="512"/>
        <v>753.95750378797152</v>
      </c>
      <c r="AX588">
        <f t="shared" si="513"/>
        <v>-3129.0501831718489</v>
      </c>
      <c r="AY588">
        <f t="shared" si="521"/>
        <v>-1.3343493947049963</v>
      </c>
      <c r="BA588">
        <f t="shared" si="502"/>
        <v>0.58712788699592888</v>
      </c>
      <c r="BB588">
        <f t="shared" si="514"/>
        <v>-4.6253458262460718</v>
      </c>
      <c r="BC588">
        <f t="shared" si="515"/>
        <v>-1.7252733945079055</v>
      </c>
      <c r="BD588">
        <f t="shared" si="503"/>
        <v>-278.85088412446567</v>
      </c>
      <c r="BF588">
        <f t="shared" si="504"/>
        <v>-59.972100551161482</v>
      </c>
      <c r="BG588">
        <f t="shared" si="505"/>
        <v>-192.48726919188186</v>
      </c>
      <c r="BH588">
        <f t="shared" si="516"/>
        <v>-12.487269191881865</v>
      </c>
      <c r="BI588">
        <f t="shared" si="517"/>
        <v>-12.487269191881865</v>
      </c>
      <c r="BJ588">
        <f t="shared" si="506"/>
        <v>0</v>
      </c>
      <c r="BK588">
        <f t="shared" si="518"/>
        <v>0</v>
      </c>
      <c r="BM588">
        <f t="shared" si="519"/>
        <v>-55.346754724915414</v>
      </c>
      <c r="BN588">
        <f t="shared" si="507"/>
        <v>-93.636385067416242</v>
      </c>
      <c r="BQ588" s="56">
        <f t="shared" si="520"/>
        <v>12.276614974039063</v>
      </c>
    </row>
    <row r="589" spans="1:69" x14ac:dyDescent="0.25">
      <c r="A589">
        <f t="shared" si="472"/>
        <v>1875000</v>
      </c>
      <c r="B589">
        <f t="shared" si="508"/>
        <v>1875</v>
      </c>
      <c r="C589">
        <f t="shared" si="477"/>
        <v>15.58300296108006</v>
      </c>
      <c r="D589">
        <f t="shared" si="478"/>
        <v>1.5065797166325821</v>
      </c>
      <c r="F589">
        <f t="shared" si="479"/>
        <v>7.2904675551434434E-6</v>
      </c>
      <c r="G589">
        <f t="shared" si="480"/>
        <v>9.1848888356154616E-4</v>
      </c>
      <c r="H589">
        <f t="shared" si="481"/>
        <v>-3.1406741611164386</v>
      </c>
      <c r="J589">
        <f t="shared" si="482"/>
        <v>15</v>
      </c>
      <c r="M589">
        <f t="shared" si="483"/>
        <v>7.9685545157498049E-4</v>
      </c>
      <c r="N589">
        <f t="shared" si="484"/>
        <v>-1.5707963250000001</v>
      </c>
      <c r="O589">
        <f t="shared" si="485"/>
        <v>479.51018288298235</v>
      </c>
      <c r="P589">
        <f t="shared" si="486"/>
        <v>1.5687108638359093</v>
      </c>
      <c r="Q589">
        <f t="shared" si="487"/>
        <v>405.84395150192785</v>
      </c>
      <c r="R589">
        <f t="shared" si="488"/>
        <v>1.5683323230609845</v>
      </c>
      <c r="S589">
        <f t="shared" si="489"/>
        <v>6.5205537955475637E-2</v>
      </c>
      <c r="T589">
        <f t="shared" si="490"/>
        <v>-1.5055444938019364</v>
      </c>
      <c r="U589">
        <f t="shared" si="491"/>
        <v>8.3473870040280937E-2</v>
      </c>
      <c r="V589">
        <f t="shared" si="492"/>
        <v>-1.4872252121142595</v>
      </c>
      <c r="X589">
        <f t="shared" si="509"/>
        <v>-56.842614296090815</v>
      </c>
      <c r="Y589">
        <f t="shared" si="493"/>
        <v>-175.36045353638337</v>
      </c>
      <c r="Z589">
        <f t="shared" si="510"/>
        <v>4.6395464636166253</v>
      </c>
      <c r="AC589">
        <v>1</v>
      </c>
      <c r="AD589">
        <f t="shared" si="494"/>
        <v>479.509140151125</v>
      </c>
      <c r="AE589">
        <f t="shared" si="495"/>
        <v>-0.67789007563796733</v>
      </c>
      <c r="AF589">
        <f t="shared" si="496"/>
        <v>5.6784287148749994E-2</v>
      </c>
      <c r="AG589">
        <f t="shared" si="473"/>
        <v>57.37472660794792</v>
      </c>
      <c r="AH589">
        <f t="shared" si="474"/>
        <v>-702.54923964203908</v>
      </c>
      <c r="AJ589">
        <f t="shared" si="497"/>
        <v>22100</v>
      </c>
      <c r="AK589">
        <f t="shared" si="498"/>
        <v>338206.97863850626</v>
      </c>
      <c r="AL589">
        <v>1</v>
      </c>
      <c r="AM589">
        <f t="shared" si="499"/>
        <v>405.84271949943752</v>
      </c>
      <c r="AN589">
        <f t="shared" si="475"/>
        <v>833.47406098865258</v>
      </c>
      <c r="AO589">
        <f t="shared" si="476"/>
        <v>-52.400905368565617</v>
      </c>
      <c r="AQ589">
        <f t="shared" si="500"/>
        <v>7.1111106054321351E-4</v>
      </c>
      <c r="AR589">
        <f t="shared" si="501"/>
        <v>-2.6666664770370505</v>
      </c>
      <c r="AT589">
        <f t="shared" si="470"/>
        <v>-1873.4237060186085</v>
      </c>
      <c r="AU589">
        <f t="shared" si="471"/>
        <v>-153.49885060946607</v>
      </c>
      <c r="AV589">
        <f t="shared" si="511"/>
        <v>-3.0598403352077979</v>
      </c>
      <c r="AW589">
        <f t="shared" si="512"/>
        <v>754.38257280659025</v>
      </c>
      <c r="AX589">
        <f t="shared" si="513"/>
        <v>-3120.7307377800621</v>
      </c>
      <c r="AY589">
        <f t="shared" si="521"/>
        <v>-1.333613687986321</v>
      </c>
      <c r="BA589">
        <f t="shared" si="502"/>
        <v>0.58546453421350042</v>
      </c>
      <c r="BB589">
        <f t="shared" si="514"/>
        <v>-4.6499881625372819</v>
      </c>
      <c r="BC589">
        <f t="shared" si="515"/>
        <v>-1.7262266472214769</v>
      </c>
      <c r="BD589">
        <f t="shared" si="503"/>
        <v>-278.90550148182513</v>
      </c>
      <c r="BF589">
        <f t="shared" si="504"/>
        <v>-60.02003228644638</v>
      </c>
      <c r="BG589">
        <f t="shared" si="505"/>
        <v>-192.53221658350898</v>
      </c>
      <c r="BH589">
        <f t="shared" si="516"/>
        <v>-12.532216583508983</v>
      </c>
      <c r="BI589">
        <f t="shared" si="517"/>
        <v>-12.532216583508983</v>
      </c>
      <c r="BJ589">
        <f t="shared" si="506"/>
        <v>0</v>
      </c>
      <c r="BK589">
        <f t="shared" si="518"/>
        <v>0</v>
      </c>
      <c r="BM589">
        <f t="shared" si="519"/>
        <v>-55.370044123909096</v>
      </c>
      <c r="BN589">
        <f t="shared" si="507"/>
        <v>-93.626715101683899</v>
      </c>
      <c r="BQ589" s="56">
        <f t="shared" si="520"/>
        <v>12.251972637747855</v>
      </c>
    </row>
    <row r="590" spans="1:69" x14ac:dyDescent="0.25">
      <c r="A590">
        <f t="shared" si="472"/>
        <v>1880000</v>
      </c>
      <c r="B590">
        <f t="shared" si="508"/>
        <v>1880</v>
      </c>
      <c r="C590">
        <f t="shared" si="477"/>
        <v>15.624386735647695</v>
      </c>
      <c r="D590">
        <f t="shared" si="478"/>
        <v>1.5067500382106236</v>
      </c>
      <c r="F590">
        <f t="shared" si="479"/>
        <v>7.2517397740875959E-6</v>
      </c>
      <c r="G590">
        <f t="shared" si="480"/>
        <v>9.1604605966111741E-4</v>
      </c>
      <c r="H590">
        <f t="shared" si="481"/>
        <v>-3.1406766039403391</v>
      </c>
      <c r="J590">
        <f t="shared" si="482"/>
        <v>15</v>
      </c>
      <c r="M590">
        <f t="shared" si="483"/>
        <v>7.947361551612172E-4</v>
      </c>
      <c r="N590">
        <f t="shared" si="484"/>
        <v>-1.5707963250000001</v>
      </c>
      <c r="O590">
        <f t="shared" si="485"/>
        <v>480.78887115016835</v>
      </c>
      <c r="P590">
        <f t="shared" si="486"/>
        <v>1.5687164102639317</v>
      </c>
      <c r="Q590">
        <f t="shared" si="487"/>
        <v>406.92619547733386</v>
      </c>
      <c r="R590">
        <f t="shared" si="488"/>
        <v>1.5683388762359858</v>
      </c>
      <c r="S590">
        <f t="shared" si="489"/>
        <v>6.5032853381375655E-2</v>
      </c>
      <c r="T590">
        <f t="shared" si="490"/>
        <v>-1.5057175456801366</v>
      </c>
      <c r="U590">
        <f t="shared" si="491"/>
        <v>8.3253405849411918E-2</v>
      </c>
      <c r="V590">
        <f t="shared" si="492"/>
        <v>-1.4874464463791601</v>
      </c>
      <c r="X590">
        <f t="shared" si="509"/>
        <v>-56.888714107417819</v>
      </c>
      <c r="Y590">
        <f t="shared" si="493"/>
        <v>-175.37273246804833</v>
      </c>
      <c r="Z590">
        <f t="shared" si="510"/>
        <v>4.6272675319516736</v>
      </c>
      <c r="AC590">
        <v>1</v>
      </c>
      <c r="AD590">
        <f t="shared" si="494"/>
        <v>480.78783119152797</v>
      </c>
      <c r="AE590">
        <f t="shared" si="495"/>
        <v>-0.6815103099263522</v>
      </c>
      <c r="AF590">
        <f t="shared" si="496"/>
        <v>5.6935711914479999E-2</v>
      </c>
      <c r="AG590">
        <f t="shared" si="473"/>
        <v>57.072060184636221</v>
      </c>
      <c r="AH590">
        <f t="shared" si="474"/>
        <v>-700.70604341421506</v>
      </c>
      <c r="AJ590">
        <f t="shared" si="497"/>
        <v>22100</v>
      </c>
      <c r="AK590">
        <f t="shared" si="498"/>
        <v>339108.86391487566</v>
      </c>
      <c r="AL590">
        <v>1</v>
      </c>
      <c r="AM590">
        <f t="shared" si="499"/>
        <v>406.92496675143605</v>
      </c>
      <c r="AN590">
        <f t="shared" si="475"/>
        <v>833.47337511731291</v>
      </c>
      <c r="AO590">
        <f t="shared" si="476"/>
        <v>-52.261542944041146</v>
      </c>
      <c r="AQ590">
        <f t="shared" si="500"/>
        <v>7.073335850969341E-4</v>
      </c>
      <c r="AR590">
        <f t="shared" si="501"/>
        <v>-2.6595742799644722</v>
      </c>
      <c r="AT590">
        <f t="shared" si="470"/>
        <v>-1863.5394018951758</v>
      </c>
      <c r="AU590">
        <f t="shared" si="471"/>
        <v>-152.28301628943018</v>
      </c>
      <c r="AV590">
        <f t="shared" si="511"/>
        <v>-3.0600567322644836</v>
      </c>
      <c r="AW590">
        <f t="shared" si="512"/>
        <v>754.8042313549023</v>
      </c>
      <c r="AX590">
        <f t="shared" si="513"/>
        <v>-3112.4553505259537</v>
      </c>
      <c r="AY590">
        <f t="shared" si="521"/>
        <v>-1.3328785889960419</v>
      </c>
      <c r="BA590">
        <f t="shared" si="502"/>
        <v>0.58380974702661836</v>
      </c>
      <c r="BB590">
        <f t="shared" si="514"/>
        <v>-4.6745731700180428</v>
      </c>
      <c r="BC590">
        <f t="shared" si="515"/>
        <v>-1.7271781432684417</v>
      </c>
      <c r="BD590">
        <f t="shared" si="503"/>
        <v>-278.96001818960184</v>
      </c>
      <c r="BF590">
        <f t="shared" si="504"/>
        <v>-60.067844162818318</v>
      </c>
      <c r="BG590">
        <f t="shared" si="505"/>
        <v>-192.57711454719256</v>
      </c>
      <c r="BH590">
        <f t="shared" si="516"/>
        <v>-12.577114547192565</v>
      </c>
      <c r="BI590">
        <f t="shared" si="517"/>
        <v>-12.577114547192565</v>
      </c>
      <c r="BJ590">
        <f t="shared" si="506"/>
        <v>0</v>
      </c>
      <c r="BK590">
        <f t="shared" si="518"/>
        <v>0</v>
      </c>
      <c r="BM590">
        <f t="shared" si="519"/>
        <v>-55.393270992800282</v>
      </c>
      <c r="BN590">
        <f t="shared" si="507"/>
        <v>-93.617096357590711</v>
      </c>
      <c r="BQ590" s="56">
        <f t="shared" si="520"/>
        <v>12.227387630267092</v>
      </c>
    </row>
    <row r="591" spans="1:69" x14ac:dyDescent="0.25">
      <c r="A591">
        <f t="shared" si="472"/>
        <v>1885000</v>
      </c>
      <c r="B591">
        <f t="shared" si="508"/>
        <v>1885</v>
      </c>
      <c r="C591">
        <f t="shared" si="477"/>
        <v>15.665770961075335</v>
      </c>
      <c r="D591">
        <f t="shared" si="478"/>
        <v>1.50691945991744</v>
      </c>
      <c r="F591">
        <f t="shared" si="479"/>
        <v>7.2133197655643955E-6</v>
      </c>
      <c r="G591">
        <f t="shared" si="480"/>
        <v>9.1361619531066739E-4</v>
      </c>
      <c r="H591">
        <f t="shared" si="481"/>
        <v>-3.1406790338046897</v>
      </c>
      <c r="J591">
        <f t="shared" si="482"/>
        <v>15</v>
      </c>
      <c r="M591">
        <f t="shared" si="483"/>
        <v>7.926281016992511E-4</v>
      </c>
      <c r="N591">
        <f t="shared" si="484"/>
        <v>-1.5707963250000001</v>
      </c>
      <c r="O591">
        <f t="shared" si="485"/>
        <v>482.06755943206628</v>
      </c>
      <c r="P591">
        <f t="shared" si="486"/>
        <v>1.5687219272680597</v>
      </c>
      <c r="Q591">
        <f t="shared" si="487"/>
        <v>408.00843947012231</v>
      </c>
      <c r="R591">
        <f t="shared" si="488"/>
        <v>1.5683453946463424</v>
      </c>
      <c r="S591">
        <f t="shared" si="489"/>
        <v>6.4861079109457959E-2</v>
      </c>
      <c r="T591">
        <f t="shared" si="490"/>
        <v>-1.505889683383671</v>
      </c>
      <c r="U591">
        <f t="shared" si="491"/>
        <v>8.3034099102034575E-2</v>
      </c>
      <c r="V591">
        <f t="shared" si="492"/>
        <v>-1.4876665151008579</v>
      </c>
      <c r="X591">
        <f t="shared" si="509"/>
        <v>-56.934692333417161</v>
      </c>
      <c r="Y591">
        <f t="shared" si="493"/>
        <v>-175.38494673468495</v>
      </c>
      <c r="Z591">
        <f t="shared" si="510"/>
        <v>4.6150532653150549</v>
      </c>
      <c r="AC591">
        <v>1</v>
      </c>
      <c r="AD591">
        <f t="shared" si="494"/>
        <v>482.066522231931</v>
      </c>
      <c r="AE591">
        <f t="shared" si="495"/>
        <v>-0.685140185318035</v>
      </c>
      <c r="AF591">
        <f t="shared" si="496"/>
        <v>5.7087136680209996E-2</v>
      </c>
      <c r="AG591">
        <f t="shared" si="473"/>
        <v>56.771776910747874</v>
      </c>
      <c r="AH591">
        <f t="shared" si="474"/>
        <v>-698.8724268473361</v>
      </c>
      <c r="AJ591">
        <f t="shared" si="497"/>
        <v>22100</v>
      </c>
      <c r="AK591">
        <f t="shared" si="498"/>
        <v>340010.74919124501</v>
      </c>
      <c r="AL591">
        <v>1</v>
      </c>
      <c r="AM591">
        <f t="shared" si="499"/>
        <v>408.00721400343457</v>
      </c>
      <c r="AN591">
        <f t="shared" si="475"/>
        <v>833.47269469654952</v>
      </c>
      <c r="AO591">
        <f t="shared" si="476"/>
        <v>-52.122919829364655</v>
      </c>
      <c r="AQ591">
        <f t="shared" si="500"/>
        <v>7.0358612924975692E-4</v>
      </c>
      <c r="AR591">
        <f t="shared" si="501"/>
        <v>-2.6525197072715838</v>
      </c>
      <c r="AT591">
        <f t="shared" si="470"/>
        <v>-1853.7329412465101</v>
      </c>
      <c r="AU591">
        <f t="shared" si="471"/>
        <v>-151.07997401822951</v>
      </c>
      <c r="AV591">
        <f t="shared" si="511"/>
        <v>-3.0602719894394221</v>
      </c>
      <c r="AW591">
        <f t="shared" si="512"/>
        <v>755.22251587734331</v>
      </c>
      <c r="AX591">
        <f t="shared" si="513"/>
        <v>-3104.2236728412295</v>
      </c>
      <c r="AY591">
        <f t="shared" si="521"/>
        <v>-1.3321440951933265</v>
      </c>
      <c r="BA591">
        <f t="shared" si="502"/>
        <v>0.58216345829411853</v>
      </c>
      <c r="BB591">
        <f t="shared" si="514"/>
        <v>-4.6991011637661924</v>
      </c>
      <c r="BC591">
        <f t="shared" si="515"/>
        <v>-1.7281278942460956</v>
      </c>
      <c r="BD591">
        <f t="shared" si="503"/>
        <v>-279.01443491227201</v>
      </c>
      <c r="BF591">
        <f t="shared" si="504"/>
        <v>-60.115536831528082</v>
      </c>
      <c r="BG591">
        <f t="shared" si="505"/>
        <v>-192.62196334206538</v>
      </c>
      <c r="BH591">
        <f t="shared" si="516"/>
        <v>-12.621963342065385</v>
      </c>
      <c r="BI591">
        <f t="shared" si="517"/>
        <v>-12.621963342065385</v>
      </c>
      <c r="BJ591">
        <f t="shared" si="506"/>
        <v>0</v>
      </c>
      <c r="BK591">
        <f t="shared" si="518"/>
        <v>0</v>
      </c>
      <c r="BM591">
        <f t="shared" si="519"/>
        <v>-55.416435667761888</v>
      </c>
      <c r="BN591">
        <f t="shared" si="507"/>
        <v>-93.607528429793376</v>
      </c>
      <c r="BQ591" s="56">
        <f t="shared" si="520"/>
        <v>12.202859636518944</v>
      </c>
    </row>
    <row r="592" spans="1:69" x14ac:dyDescent="0.25">
      <c r="A592">
        <f>A591+5000</f>
        <v>1890000</v>
      </c>
      <c r="B592">
        <f t="shared" si="508"/>
        <v>1890</v>
      </c>
      <c r="C592">
        <f t="shared" si="477"/>
        <v>15.707155633799287</v>
      </c>
      <c r="D592">
        <f t="shared" si="478"/>
        <v>1.5070879888561159</v>
      </c>
      <c r="F592">
        <f t="shared" si="479"/>
        <v>7.1752042769964955E-6</v>
      </c>
      <c r="G592">
        <f t="shared" si="480"/>
        <v>9.1119918765375767E-4</v>
      </c>
      <c r="H592">
        <f t="shared" si="481"/>
        <v>-3.1406814508123464</v>
      </c>
      <c r="J592">
        <f t="shared" si="482"/>
        <v>15</v>
      </c>
      <c r="M592">
        <f t="shared" si="483"/>
        <v>7.9053120195930597E-4</v>
      </c>
      <c r="N592">
        <f t="shared" si="484"/>
        <v>-1.5707963250000001</v>
      </c>
      <c r="O592">
        <f t="shared" si="485"/>
        <v>483.34624772855949</v>
      </c>
      <c r="P592">
        <f t="shared" si="486"/>
        <v>1.5687274150818151</v>
      </c>
      <c r="Q592">
        <f t="shared" si="487"/>
        <v>409.09068348015518</v>
      </c>
      <c r="R592">
        <f t="shared" si="488"/>
        <v>1.568351878567962</v>
      </c>
      <c r="S592">
        <f t="shared" si="489"/>
        <v>6.4690207975875463E-2</v>
      </c>
      <c r="T592">
        <f t="shared" si="490"/>
        <v>-1.5060609141272499</v>
      </c>
      <c r="U592">
        <f t="shared" si="491"/>
        <v>8.2815940738818428E-2</v>
      </c>
      <c r="V592">
        <f t="shared" si="492"/>
        <v>-1.4878854274447688</v>
      </c>
      <c r="X592">
        <f t="shared" si="509"/>
        <v>-56.980549611522946</v>
      </c>
      <c r="Y592">
        <f t="shared" si="493"/>
        <v>-175.39709684453359</v>
      </c>
      <c r="Z592">
        <f t="shared" si="510"/>
        <v>4.6029031554664073</v>
      </c>
      <c r="AC592">
        <v>1</v>
      </c>
      <c r="AD592">
        <f t="shared" si="494"/>
        <v>483.34521327233398</v>
      </c>
      <c r="AE592">
        <f t="shared" si="495"/>
        <v>-0.68877970181301573</v>
      </c>
      <c r="AF592">
        <f t="shared" si="496"/>
        <v>5.7238561445940001E-2</v>
      </c>
      <c r="AG592">
        <f t="shared" si="473"/>
        <v>56.473851890080638</v>
      </c>
      <c r="AH592">
        <f t="shared" si="474"/>
        <v>-697.04831598125645</v>
      </c>
      <c r="AJ592">
        <f t="shared" si="497"/>
        <v>22100</v>
      </c>
      <c r="AK592">
        <f t="shared" si="498"/>
        <v>340912.63446761435</v>
      </c>
      <c r="AL592">
        <v>1</v>
      </c>
      <c r="AM592">
        <f t="shared" si="499"/>
        <v>409.08946125543304</v>
      </c>
      <c r="AN592">
        <f t="shared" si="475"/>
        <v>833.47201966876196</v>
      </c>
      <c r="AO592">
        <f t="shared" si="476"/>
        <v>-51.985030157138517</v>
      </c>
      <c r="AQ592">
        <f t="shared" si="500"/>
        <v>6.9986837575457185E-4</v>
      </c>
      <c r="AR592">
        <f t="shared" si="501"/>
        <v>-2.6455024603522816</v>
      </c>
      <c r="AT592">
        <f t="shared" si="470"/>
        <v>-1844.0035106498335</v>
      </c>
      <c r="AU592">
        <f t="shared" si="471"/>
        <v>-149.88955619350693</v>
      </c>
      <c r="AV592">
        <f t="shared" si="511"/>
        <v>-3.0604861156943683</v>
      </c>
      <c r="AW592">
        <f t="shared" si="512"/>
        <v>755.63746233211657</v>
      </c>
      <c r="AX592">
        <f t="shared" si="513"/>
        <v>-3096.0353598198521</v>
      </c>
      <c r="AY592">
        <f t="shared" si="521"/>
        <v>-1.3314102040689511</v>
      </c>
      <c r="BA592">
        <f t="shared" si="502"/>
        <v>0.58052560157760436</v>
      </c>
      <c r="BB592">
        <f t="shared" si="514"/>
        <v>-4.7235724563648738</v>
      </c>
      <c r="BC592">
        <f t="shared" si="515"/>
        <v>-1.7290759116254173</v>
      </c>
      <c r="BD592">
        <f t="shared" si="503"/>
        <v>-279.06875230707431</v>
      </c>
      <c r="BF592">
        <f t="shared" si="504"/>
        <v>-60.163110938618154</v>
      </c>
      <c r="BG592">
        <f t="shared" si="505"/>
        <v>-192.66676322428259</v>
      </c>
      <c r="BH592">
        <f t="shared" si="516"/>
        <v>-12.66676322428259</v>
      </c>
      <c r="BI592">
        <f t="shared" si="517"/>
        <v>-12.66676322428259</v>
      </c>
      <c r="BJ592">
        <f t="shared" si="506"/>
        <v>0</v>
      </c>
      <c r="BK592">
        <f t="shared" si="518"/>
        <v>0</v>
      </c>
      <c r="BM592">
        <f t="shared" si="519"/>
        <v>-55.439538482253276</v>
      </c>
      <c r="BN592">
        <f t="shared" si="507"/>
        <v>-93.598010917208327</v>
      </c>
      <c r="BQ592" s="56">
        <f t="shared" si="520"/>
        <v>12.178388343920263</v>
      </c>
    </row>
    <row r="593" spans="1:69" x14ac:dyDescent="0.25">
      <c r="A593">
        <f t="shared" ref="A593:A598" si="522">A592+5000</f>
        <v>1895000</v>
      </c>
      <c r="B593">
        <f t="shared" si="508"/>
        <v>1895</v>
      </c>
      <c r="C593">
        <f t="shared" si="477"/>
        <v>15.748540750293275</v>
      </c>
      <c r="D593">
        <f t="shared" si="478"/>
        <v>1.5072556320552757</v>
      </c>
      <c r="F593">
        <f t="shared" si="479"/>
        <v>7.1373900986604425E-6</v>
      </c>
      <c r="G593">
        <f t="shared" si="480"/>
        <v>9.0879493491954433E-4</v>
      </c>
      <c r="H593">
        <f t="shared" si="481"/>
        <v>-3.1406838550650806</v>
      </c>
      <c r="J593">
        <f t="shared" si="482"/>
        <v>15</v>
      </c>
      <c r="M593">
        <f t="shared" si="483"/>
        <v>7.8844536765334487E-4</v>
      </c>
      <c r="N593">
        <f t="shared" si="484"/>
        <v>-1.5707963250000001</v>
      </c>
      <c r="O593">
        <f t="shared" si="485"/>
        <v>484.62493603953237</v>
      </c>
      <c r="P593">
        <f t="shared" si="486"/>
        <v>1.5687328739362547</v>
      </c>
      <c r="Q593">
        <f t="shared" si="487"/>
        <v>410.17292750729587</v>
      </c>
      <c r="R593">
        <f t="shared" si="488"/>
        <v>1.5683583282738403</v>
      </c>
      <c r="S593">
        <f t="shared" si="489"/>
        <v>6.4520232891595364E-2</v>
      </c>
      <c r="T593">
        <f t="shared" si="490"/>
        <v>-1.5062312450499702</v>
      </c>
      <c r="U593">
        <f t="shared" si="491"/>
        <v>8.2598921794397651E-2</v>
      </c>
      <c r="V593">
        <f t="shared" si="492"/>
        <v>-1.4881031924806825</v>
      </c>
      <c r="X593">
        <f t="shared" si="509"/>
        <v>-57.026286574186969</v>
      </c>
      <c r="Y593">
        <f t="shared" si="493"/>
        <v>-175.40918330053555</v>
      </c>
      <c r="Z593">
        <f t="shared" si="510"/>
        <v>4.5908166994644546</v>
      </c>
      <c r="AC593">
        <v>1</v>
      </c>
      <c r="AD593">
        <f t="shared" si="494"/>
        <v>484.62390431273707</v>
      </c>
      <c r="AE593">
        <f t="shared" si="495"/>
        <v>-0.6924288594112944</v>
      </c>
      <c r="AF593">
        <f t="shared" si="496"/>
        <v>5.7389986211669998E-2</v>
      </c>
      <c r="AG593">
        <f t="shared" si="473"/>
        <v>56.178260549938052</v>
      </c>
      <c r="AH593">
        <f t="shared" si="474"/>
        <v>-695.23363760960001</v>
      </c>
      <c r="AJ593">
        <f t="shared" si="497"/>
        <v>22100</v>
      </c>
      <c r="AK593">
        <f t="shared" si="498"/>
        <v>341814.51974398369</v>
      </c>
      <c r="AL593">
        <v>1</v>
      </c>
      <c r="AM593">
        <f t="shared" si="499"/>
        <v>410.17170850743156</v>
      </c>
      <c r="AN593">
        <f t="shared" si="475"/>
        <v>833.47134997710737</v>
      </c>
      <c r="AO593">
        <f t="shared" si="476"/>
        <v>-51.847868121888226</v>
      </c>
      <c r="AQ593">
        <f t="shared" si="500"/>
        <v>6.9618001154405696E-4</v>
      </c>
      <c r="AR593">
        <f t="shared" si="501"/>
        <v>-2.638522243751976</v>
      </c>
      <c r="AT593">
        <f t="shared" si="470"/>
        <v>-1834.3503072554518</v>
      </c>
      <c r="AU593">
        <f t="shared" si="471"/>
        <v>-148.71159783816253</v>
      </c>
      <c r="AV593">
        <f t="shared" si="511"/>
        <v>-3.0606991198975999</v>
      </c>
      <c r="AW593">
        <f t="shared" si="512"/>
        <v>756.04910619896623</v>
      </c>
      <c r="AX593">
        <f t="shared" si="513"/>
        <v>-3087.8900701701168</v>
      </c>
      <c r="AY593">
        <f t="shared" si="521"/>
        <v>-1.3306769131448501</v>
      </c>
      <c r="BA593">
        <f t="shared" si="502"/>
        <v>0.57889611113230421</v>
      </c>
      <c r="BB593">
        <f t="shared" si="514"/>
        <v>-4.7479873579281886</v>
      </c>
      <c r="BC593">
        <f t="shared" si="515"/>
        <v>-1.7300222067527498</v>
      </c>
      <c r="BD593">
        <f t="shared" si="503"/>
        <v>-279.12297102410616</v>
      </c>
      <c r="BF593">
        <f t="shared" si="504"/>
        <v>-60.210567124977608</v>
      </c>
      <c r="BG593">
        <f t="shared" si="505"/>
        <v>-192.71151444706231</v>
      </c>
      <c r="BH593">
        <f t="shared" si="516"/>
        <v>-12.711514447062314</v>
      </c>
      <c r="BI593">
        <f t="shared" si="517"/>
        <v>-12.711514447062314</v>
      </c>
      <c r="BJ593">
        <f t="shared" si="506"/>
        <v>0</v>
      </c>
      <c r="BK593">
        <f t="shared" si="518"/>
        <v>0</v>
      </c>
      <c r="BM593">
        <f t="shared" si="519"/>
        <v>-55.462579767049419</v>
      </c>
      <c r="BN593">
        <f t="shared" si="507"/>
        <v>-93.58854342295615</v>
      </c>
      <c r="BQ593" s="56">
        <f t="shared" si="520"/>
        <v>12.153973442356946</v>
      </c>
    </row>
    <row r="594" spans="1:69" x14ac:dyDescent="0.25">
      <c r="A594">
        <f t="shared" si="522"/>
        <v>1900000</v>
      </c>
      <c r="B594">
        <f t="shared" si="508"/>
        <v>1900</v>
      </c>
      <c r="C594">
        <f t="shared" si="477"/>
        <v>15.789926307067963</v>
      </c>
      <c r="D594">
        <f t="shared" si="478"/>
        <v>1.5074223964700562</v>
      </c>
      <c r="F594">
        <f t="shared" si="479"/>
        <v>7.0998740630109098E-6</v>
      </c>
      <c r="G594">
        <f t="shared" si="480"/>
        <v>9.0640333640849152E-4</v>
      </c>
      <c r="H594">
        <f t="shared" si="481"/>
        <v>-3.1406862466635919</v>
      </c>
      <c r="J594">
        <f t="shared" si="482"/>
        <v>15</v>
      </c>
      <c r="M594">
        <f t="shared" si="483"/>
        <v>7.8637051142267807E-4</v>
      </c>
      <c r="N594">
        <f t="shared" si="484"/>
        <v>-1.5707963250000001</v>
      </c>
      <c r="O594">
        <f t="shared" si="485"/>
        <v>485.90362436487055</v>
      </c>
      <c r="P594">
        <f t="shared" si="486"/>
        <v>1.5687383040600034</v>
      </c>
      <c r="Q594">
        <f t="shared" si="487"/>
        <v>411.25517155140955</v>
      </c>
      <c r="R594">
        <f t="shared" si="488"/>
        <v>1.5683647440340993</v>
      </c>
      <c r="S594">
        <f t="shared" si="489"/>
        <v>6.4351146841427148E-2</v>
      </c>
      <c r="T594">
        <f t="shared" si="490"/>
        <v>-1.5064006832163022</v>
      </c>
      <c r="U594">
        <f t="shared" si="491"/>
        <v>8.2383033396160613E-2</v>
      </c>
      <c r="V594">
        <f t="shared" si="492"/>
        <v>-1.4883198191840039</v>
      </c>
      <c r="X594">
        <f t="shared" si="509"/>
        <v>-57.071903848930262</v>
      </c>
      <c r="Y594">
        <f t="shared" si="493"/>
        <v>-175.42120660040155</v>
      </c>
      <c r="Z594">
        <f t="shared" si="510"/>
        <v>4.5787933995984531</v>
      </c>
      <c r="AC594">
        <v>1</v>
      </c>
      <c r="AD594">
        <f t="shared" si="494"/>
        <v>485.90259535313999</v>
      </c>
      <c r="AE594">
        <f t="shared" si="495"/>
        <v>-0.69608765811287099</v>
      </c>
      <c r="AF594">
        <f t="shared" si="496"/>
        <v>5.7541410977400002E-2</v>
      </c>
      <c r="AG594">
        <f t="shared" si="473"/>
        <v>55.884978636109821</v>
      </c>
      <c r="AH594">
        <f t="shared" si="474"/>
        <v>-693.42831927025554</v>
      </c>
      <c r="AJ594">
        <f t="shared" si="497"/>
        <v>22100</v>
      </c>
      <c r="AK594">
        <f t="shared" si="498"/>
        <v>342716.40502035304</v>
      </c>
      <c r="AL594">
        <v>1</v>
      </c>
      <c r="AM594">
        <f t="shared" si="499"/>
        <v>411.25395575943008</v>
      </c>
      <c r="AN594">
        <f t="shared" si="475"/>
        <v>833.47068556549084</v>
      </c>
      <c r="AO594">
        <f t="shared" si="476"/>
        <v>-51.711427979247752</v>
      </c>
      <c r="AQ594">
        <f t="shared" si="500"/>
        <v>6.9252072766476955E-4</v>
      </c>
      <c r="AR594">
        <f t="shared" si="501"/>
        <v>-2.6315787651261244</v>
      </c>
      <c r="AT594">
        <f t="shared" si="470"/>
        <v>-1824.7725386226325</v>
      </c>
      <c r="AU594">
        <f t="shared" si="471"/>
        <v>-147.54593655255812</v>
      </c>
      <c r="AV594">
        <f t="shared" si="511"/>
        <v>-3.0609110108251314</v>
      </c>
      <c r="AW594">
        <f t="shared" si="512"/>
        <v>756.45748248680934</v>
      </c>
      <c r="AX594">
        <f t="shared" si="513"/>
        <v>-3079.7874661675064</v>
      </c>
      <c r="AY594">
        <f t="shared" si="521"/>
        <v>-1.3299442199736775</v>
      </c>
      <c r="BA594">
        <f t="shared" si="502"/>
        <v>0.57727492189806417</v>
      </c>
      <c r="BB594">
        <f t="shared" si="514"/>
        <v>-4.7723461761266215</v>
      </c>
      <c r="BC594">
        <f t="shared" si="515"/>
        <v>-1.7309667908514539</v>
      </c>
      <c r="BD594">
        <f t="shared" si="503"/>
        <v>-279.17709170641893</v>
      </c>
      <c r="BF594">
        <f t="shared" si="504"/>
        <v>-60.257906026396384</v>
      </c>
      <c r="BG594">
        <f t="shared" si="505"/>
        <v>-192.75621726072541</v>
      </c>
      <c r="BH594">
        <f t="shared" si="516"/>
        <v>-12.756217260725407</v>
      </c>
      <c r="BI594">
        <f t="shared" si="517"/>
        <v>-12.756217260725407</v>
      </c>
      <c r="BJ594">
        <f t="shared" si="506"/>
        <v>0</v>
      </c>
      <c r="BK594">
        <f t="shared" si="518"/>
        <v>0</v>
      </c>
      <c r="BM594">
        <f t="shared" si="519"/>
        <v>-55.485559850269766</v>
      </c>
      <c r="BN594">
        <f t="shared" si="507"/>
        <v>-93.579125554306472</v>
      </c>
      <c r="BQ594" s="56">
        <f t="shared" si="520"/>
        <v>12.129614624158513</v>
      </c>
    </row>
    <row r="595" spans="1:69" x14ac:dyDescent="0.25">
      <c r="A595">
        <f t="shared" si="522"/>
        <v>1905000</v>
      </c>
      <c r="B595">
        <f t="shared" si="508"/>
        <v>1905</v>
      </c>
      <c r="C595">
        <f t="shared" si="477"/>
        <v>15.831312300670461</v>
      </c>
      <c r="D595">
        <f t="shared" si="478"/>
        <v>1.5075882889830621</v>
      </c>
      <c r="F595">
        <f t="shared" si="479"/>
        <v>7.0626530440173393E-6</v>
      </c>
      <c r="G595">
        <f t="shared" si="480"/>
        <v>9.0402429247831361E-4</v>
      </c>
      <c r="H595">
        <f t="shared" si="481"/>
        <v>-3.1406886257075217</v>
      </c>
      <c r="J595">
        <f t="shared" si="482"/>
        <v>15</v>
      </c>
      <c r="M595">
        <f t="shared" si="483"/>
        <v>7.8430654682576817E-4</v>
      </c>
      <c r="N595">
        <f t="shared" si="484"/>
        <v>-1.5707963250000001</v>
      </c>
      <c r="O595">
        <f t="shared" si="485"/>
        <v>487.18231270446114</v>
      </c>
      <c r="P595">
        <f t="shared" si="486"/>
        <v>1.5687437056792859</v>
      </c>
      <c r="Q595">
        <f t="shared" si="487"/>
        <v>412.33741561236229</v>
      </c>
      <c r="R595">
        <f t="shared" si="488"/>
        <v>1.5683711261160256</v>
      </c>
      <c r="S595">
        <f t="shared" si="489"/>
        <v>6.4182942883065711E-2</v>
      </c>
      <c r="T595">
        <f t="shared" si="490"/>
        <v>-1.5065692356170601</v>
      </c>
      <c r="U595">
        <f t="shared" si="491"/>
        <v>8.2168266763057551E-2</v>
      </c>
      <c r="V595">
        <f t="shared" si="492"/>
        <v>-1.488535316436975</v>
      </c>
      <c r="X595">
        <f t="shared" si="509"/>
        <v>-57.117402058394134</v>
      </c>
      <c r="Y595">
        <f t="shared" si="493"/>
        <v>-175.43316723667942</v>
      </c>
      <c r="Z595">
        <f t="shared" si="510"/>
        <v>4.5668327633205763</v>
      </c>
      <c r="AC595">
        <v>1</v>
      </c>
      <c r="AD595">
        <f t="shared" si="494"/>
        <v>487.18128639354296</v>
      </c>
      <c r="AE595">
        <f t="shared" si="495"/>
        <v>-0.69975609791774562</v>
      </c>
      <c r="AF595">
        <f t="shared" si="496"/>
        <v>5.7692835743129993E-2</v>
      </c>
      <c r="AG595">
        <f t="shared" si="473"/>
        <v>55.593982207942709</v>
      </c>
      <c r="AH595">
        <f t="shared" si="474"/>
        <v>-691.6322892360181</v>
      </c>
      <c r="AJ595">
        <f t="shared" si="497"/>
        <v>22100</v>
      </c>
      <c r="AK595">
        <f t="shared" si="498"/>
        <v>343618.29029672238</v>
      </c>
      <c r="AL595">
        <v>1</v>
      </c>
      <c r="AM595">
        <f t="shared" si="499"/>
        <v>412.33620301142861</v>
      </c>
      <c r="AN595">
        <f t="shared" si="475"/>
        <v>833.47002637855235</v>
      </c>
      <c r="AO595">
        <f t="shared" si="476"/>
        <v>-51.575704045157558</v>
      </c>
      <c r="AQ595">
        <f t="shared" si="500"/>
        <v>6.8889021921244556E-4</v>
      </c>
      <c r="AR595">
        <f t="shared" si="501"/>
        <v>-2.6246717351994175</v>
      </c>
      <c r="AT595">
        <f t="shared" si="470"/>
        <v>-1815.2694225584548</v>
      </c>
      <c r="AU595">
        <f t="shared" si="471"/>
        <v>-146.39241246771275</v>
      </c>
      <c r="AV595">
        <f t="shared" si="511"/>
        <v>-3.061121797161908</v>
      </c>
      <c r="AW595">
        <f t="shared" si="512"/>
        <v>756.86262574122179</v>
      </c>
      <c r="AX595">
        <f t="shared" si="513"/>
        <v>-3071.7272136082629</v>
      </c>
      <c r="AY595">
        <f t="shared" si="521"/>
        <v>-1.3292121221383695</v>
      </c>
      <c r="BA595">
        <f t="shared" si="502"/>
        <v>0.5756619694904852</v>
      </c>
      <c r="BB595">
        <f t="shared" si="514"/>
        <v>-4.7966492162120664</v>
      </c>
      <c r="BC595">
        <f t="shared" si="515"/>
        <v>-1.7319096750235385</v>
      </c>
      <c r="BD595">
        <f t="shared" si="503"/>
        <v>-279.23111499011077</v>
      </c>
      <c r="BF595">
        <f t="shared" si="504"/>
        <v>-60.305128273618763</v>
      </c>
      <c r="BG595">
        <f t="shared" si="505"/>
        <v>-192.80087191273495</v>
      </c>
      <c r="BH595">
        <f t="shared" si="516"/>
        <v>-12.800871912734948</v>
      </c>
      <c r="BI595">
        <f t="shared" si="517"/>
        <v>-12.800871912734948</v>
      </c>
      <c r="BJ595">
        <f t="shared" si="506"/>
        <v>0</v>
      </c>
      <c r="BK595">
        <f t="shared" si="518"/>
        <v>0</v>
      </c>
      <c r="BM595">
        <f t="shared" si="519"/>
        <v>-55.508479057406703</v>
      </c>
      <c r="BN595">
        <f t="shared" si="507"/>
        <v>-93.56975692262418</v>
      </c>
      <c r="BQ595" s="56">
        <f t="shared" si="520"/>
        <v>12.105311584073068</v>
      </c>
    </row>
    <row r="596" spans="1:69" x14ac:dyDescent="0.25">
      <c r="A596">
        <f t="shared" si="522"/>
        <v>1910000</v>
      </c>
      <c r="B596">
        <f t="shared" si="508"/>
        <v>1910</v>
      </c>
      <c r="C596">
        <f t="shared" si="477"/>
        <v>15.872698727683852</v>
      </c>
      <c r="D596">
        <f t="shared" si="478"/>
        <v>1.507753316405309</v>
      </c>
      <c r="F596">
        <f t="shared" si="479"/>
        <v>7.0257239565127247E-6</v>
      </c>
      <c r="G596">
        <f t="shared" si="480"/>
        <v>9.0165770453013469E-4</v>
      </c>
      <c r="H596">
        <f t="shared" si="481"/>
        <v>-3.14069099229547</v>
      </c>
      <c r="J596">
        <f t="shared" si="482"/>
        <v>15</v>
      </c>
      <c r="M596">
        <f t="shared" si="483"/>
        <v>7.8225338832622426E-4</v>
      </c>
      <c r="N596">
        <f t="shared" si="484"/>
        <v>-1.5707963250000001</v>
      </c>
      <c r="O596">
        <f t="shared" si="485"/>
        <v>488.46100105819193</v>
      </c>
      <c r="P596">
        <f t="shared" si="486"/>
        <v>1.5687490790179581</v>
      </c>
      <c r="Q596">
        <f t="shared" si="487"/>
        <v>413.41965969002217</v>
      </c>
      <c r="R596">
        <f t="shared" si="488"/>
        <v>1.5683774747841062</v>
      </c>
      <c r="S596">
        <f t="shared" si="489"/>
        <v>6.4015614146149133E-2</v>
      </c>
      <c r="T596">
        <f t="shared" si="490"/>
        <v>-1.5067369091703597</v>
      </c>
      <c r="U596">
        <f t="shared" si="491"/>
        <v>8.1954613204426693E-2</v>
      </c>
      <c r="V596">
        <f t="shared" si="492"/>
        <v>-1.4887496930298774</v>
      </c>
      <c r="X596">
        <f t="shared" si="509"/>
        <v>-57.162781820390379</v>
      </c>
      <c r="Y596">
        <f t="shared" si="493"/>
        <v>-175.44506569682102</v>
      </c>
      <c r="Z596">
        <f t="shared" si="510"/>
        <v>4.5549343031789817</v>
      </c>
      <c r="AC596">
        <v>1</v>
      </c>
      <c r="AD596">
        <f t="shared" si="494"/>
        <v>488.45997743394605</v>
      </c>
      <c r="AE596">
        <f t="shared" si="495"/>
        <v>-0.7034341788259183</v>
      </c>
      <c r="AF596">
        <f t="shared" si="496"/>
        <v>5.7844260508859997E-2</v>
      </c>
      <c r="AG596">
        <f t="shared" si="473"/>
        <v>55.305247633499931</v>
      </c>
      <c r="AH596">
        <f t="shared" si="474"/>
        <v>-689.84547650536672</v>
      </c>
      <c r="AJ596">
        <f t="shared" si="497"/>
        <v>22100</v>
      </c>
      <c r="AK596">
        <f t="shared" si="498"/>
        <v>344520.17557309172</v>
      </c>
      <c r="AL596">
        <v>1</v>
      </c>
      <c r="AM596">
        <f t="shared" si="499"/>
        <v>413.41845026342702</v>
      </c>
      <c r="AN596">
        <f t="shared" si="475"/>
        <v>833.46937236165547</v>
      </c>
      <c r="AO596">
        <f t="shared" si="476"/>
        <v>-51.440690695075361</v>
      </c>
      <c r="AQ596">
        <f t="shared" si="500"/>
        <v>6.8528818526848322E-4</v>
      </c>
      <c r="AR596">
        <f t="shared" si="501"/>
        <v>-2.6178008677256059</v>
      </c>
      <c r="AT596">
        <f t="shared" si="470"/>
        <v>-1805.8401869595464</v>
      </c>
      <c r="AU596">
        <f t="shared" si="471"/>
        <v>-145.25086819946569</v>
      </c>
      <c r="AV596">
        <f t="shared" si="511"/>
        <v>-3.0613314875029802</v>
      </c>
      <c r="AW596">
        <f t="shared" si="512"/>
        <v>757.26457005178906</v>
      </c>
      <c r="AX596">
        <f t="shared" si="513"/>
        <v>-3063.7089817636888</v>
      </c>
      <c r="AY596">
        <f t="shared" si="521"/>
        <v>-1.3284806172517196</v>
      </c>
      <c r="BA596">
        <f t="shared" si="502"/>
        <v>0.57405719019219525</v>
      </c>
      <c r="BB596">
        <f t="shared" si="514"/>
        <v>-4.8208967810425642</v>
      </c>
      <c r="BC596">
        <f t="shared" si="515"/>
        <v>-1.7328508702512606</v>
      </c>
      <c r="BD596">
        <f t="shared" si="503"/>
        <v>-279.28504150441876</v>
      </c>
      <c r="BF596">
        <f t="shared" si="504"/>
        <v>-60.352234492396157</v>
      </c>
      <c r="BG596">
        <f t="shared" si="505"/>
        <v>-192.84547864773486</v>
      </c>
      <c r="BH596">
        <f t="shared" si="516"/>
        <v>-12.845478647734865</v>
      </c>
      <c r="BI596">
        <f t="shared" si="517"/>
        <v>-12.845478647734865</v>
      </c>
      <c r="BJ596">
        <f t="shared" si="506"/>
        <v>0</v>
      </c>
      <c r="BK596">
        <f t="shared" si="518"/>
        <v>0</v>
      </c>
      <c r="BM596">
        <f t="shared" si="519"/>
        <v>-55.531337711353586</v>
      </c>
      <c r="BN596">
        <f t="shared" si="507"/>
        <v>-93.560437143316136</v>
      </c>
      <c r="BQ596" s="56">
        <f t="shared" si="520"/>
        <v>12.081064019242572</v>
      </c>
    </row>
    <row r="597" spans="1:69" x14ac:dyDescent="0.25">
      <c r="A597">
        <f t="shared" si="522"/>
        <v>1915000</v>
      </c>
      <c r="B597">
        <f t="shared" si="508"/>
        <v>1915</v>
      </c>
      <c r="C597">
        <f t="shared" si="477"/>
        <v>15.914085584726731</v>
      </c>
      <c r="D597">
        <f t="shared" si="478"/>
        <v>1.50791748547715</v>
      </c>
      <c r="F597">
        <f t="shared" si="479"/>
        <v>6.9890837555542791E-6</v>
      </c>
      <c r="G597">
        <f t="shared" si="480"/>
        <v>8.9930347499486739E-4</v>
      </c>
      <c r="H597">
        <f t="shared" si="481"/>
        <v>-3.1406933465250053</v>
      </c>
      <c r="J597">
        <f t="shared" si="482"/>
        <v>15</v>
      </c>
      <c r="M597">
        <f t="shared" si="483"/>
        <v>7.802109512809861E-4</v>
      </c>
      <c r="N597">
        <f t="shared" si="484"/>
        <v>-1.5707963250000001</v>
      </c>
      <c r="O597">
        <f t="shared" si="485"/>
        <v>489.73968942595235</v>
      </c>
      <c r="P597">
        <f t="shared" si="486"/>
        <v>1.5687544242975378</v>
      </c>
      <c r="Q597">
        <f t="shared" si="487"/>
        <v>414.50190378425805</v>
      </c>
      <c r="R597">
        <f t="shared" si="488"/>
        <v>1.5683837903000666</v>
      </c>
      <c r="S597">
        <f t="shared" si="489"/>
        <v>6.3849153831331246E-2</v>
      </c>
      <c r="T597">
        <f t="shared" si="490"/>
        <v>-1.506903710722558</v>
      </c>
      <c r="U597">
        <f t="shared" si="491"/>
        <v>8.1742064118838359E-2</v>
      </c>
      <c r="V597">
        <f t="shared" si="492"/>
        <v>-1.4889629576622172</v>
      </c>
      <c r="X597">
        <f t="shared" si="509"/>
        <v>-57.208043747950953</v>
      </c>
      <c r="Y597">
        <f t="shared" si="493"/>
        <v>-175.45690246324733</v>
      </c>
      <c r="Z597">
        <f t="shared" si="510"/>
        <v>4.5430975367526685</v>
      </c>
      <c r="AC597">
        <v>1</v>
      </c>
      <c r="AD597">
        <f t="shared" si="494"/>
        <v>489.73866847434897</v>
      </c>
      <c r="AE597">
        <f t="shared" si="495"/>
        <v>-0.70712190083738879</v>
      </c>
      <c r="AF597">
        <f t="shared" si="496"/>
        <v>5.7995685274589995E-2</v>
      </c>
      <c r="AG597">
        <f t="shared" si="473"/>
        <v>55.018751584807241</v>
      </c>
      <c r="AH597">
        <f t="shared" si="474"/>
        <v>-688.06781079337986</v>
      </c>
      <c r="AJ597">
        <f t="shared" si="497"/>
        <v>22100</v>
      </c>
      <c r="AK597">
        <f t="shared" si="498"/>
        <v>345422.06084946112</v>
      </c>
      <c r="AL597">
        <v>1</v>
      </c>
      <c r="AM597">
        <f t="shared" si="499"/>
        <v>414.50069751542554</v>
      </c>
      <c r="AN597">
        <f t="shared" si="475"/>
        <v>833.46872346087582</v>
      </c>
      <c r="AO597">
        <f t="shared" si="476"/>
        <v>-51.30638236319902</v>
      </c>
      <c r="AQ597">
        <f t="shared" si="500"/>
        <v>6.8171432883758643E-4</v>
      </c>
      <c r="AR597">
        <f t="shared" si="501"/>
        <v>-2.610965879447956</v>
      </c>
      <c r="AT597">
        <f t="shared" si="470"/>
        <v>-1796.4840696566569</v>
      </c>
      <c r="AU597">
        <f t="shared" si="471"/>
        <v>-144.12114880358462</v>
      </c>
      <c r="AV597">
        <f t="shared" si="511"/>
        <v>-3.0615400903546619</v>
      </c>
      <c r="AW597">
        <f t="shared" si="512"/>
        <v>757.66334905931853</v>
      </c>
      <c r="AX597">
        <f t="shared" si="513"/>
        <v>-3055.7324433351541</v>
      </c>
      <c r="AY597">
        <f t="shared" si="521"/>
        <v>-1.327749702955958</v>
      </c>
      <c r="BA597">
        <f t="shared" si="502"/>
        <v>0.57246052094425448</v>
      </c>
      <c r="BB597">
        <f t="shared" si="514"/>
        <v>-4.8450891711067507</v>
      </c>
      <c r="BC597">
        <f t="shared" si="515"/>
        <v>-1.7337903873987039</v>
      </c>
      <c r="BD597">
        <f t="shared" si="503"/>
        <v>-279.33887187180892</v>
      </c>
      <c r="BF597">
        <f t="shared" si="504"/>
        <v>-60.399225303539197</v>
      </c>
      <c r="BG597">
        <f t="shared" si="505"/>
        <v>-192.89003770758777</v>
      </c>
      <c r="BH597">
        <f t="shared" si="516"/>
        <v>-12.890037707587766</v>
      </c>
      <c r="BI597">
        <f t="shared" si="517"/>
        <v>-12.890037707587766</v>
      </c>
      <c r="BJ597">
        <f t="shared" si="506"/>
        <v>0</v>
      </c>
      <c r="BK597">
        <f t="shared" si="518"/>
        <v>0</v>
      </c>
      <c r="BM597">
        <f t="shared" si="519"/>
        <v>-55.554136132432447</v>
      </c>
      <c r="BN597">
        <f t="shared" si="507"/>
        <v>-93.55116583577886</v>
      </c>
      <c r="BQ597" s="56">
        <f t="shared" si="520"/>
        <v>12.056871629178387</v>
      </c>
    </row>
    <row r="598" spans="1:69" x14ac:dyDescent="0.25">
      <c r="A598">
        <f t="shared" si="522"/>
        <v>1920000</v>
      </c>
      <c r="B598">
        <f t="shared" si="508"/>
        <v>1920</v>
      </c>
      <c r="C598">
        <f t="shared" si="477"/>
        <v>15.955472868452741</v>
      </c>
      <c r="D598">
        <f t="shared" si="478"/>
        <v>1.5080808028691886</v>
      </c>
      <c r="F598">
        <f t="shared" si="479"/>
        <v>6.9527294357957405E-6</v>
      </c>
      <c r="G598">
        <f t="shared" si="480"/>
        <v>8.9696150731980351E-4</v>
      </c>
      <c r="H598">
        <f t="shared" si="481"/>
        <v>-3.1406956884926802</v>
      </c>
      <c r="J598">
        <f t="shared" si="482"/>
        <v>15</v>
      </c>
      <c r="M598">
        <f t="shared" si="483"/>
        <v>7.7817915192869179E-4</v>
      </c>
      <c r="N598">
        <f t="shared" si="484"/>
        <v>-1.5707963250000001</v>
      </c>
      <c r="O598">
        <f t="shared" si="485"/>
        <v>491.01837780763276</v>
      </c>
      <c r="P598">
        <f t="shared" si="486"/>
        <v>1.5687597417372354</v>
      </c>
      <c r="Q598">
        <f t="shared" si="487"/>
        <v>415.5841478949406</v>
      </c>
      <c r="R598">
        <f t="shared" si="488"/>
        <v>1.5683900729229057</v>
      </c>
      <c r="S598">
        <f t="shared" si="489"/>
        <v>6.3683555209368206E-2</v>
      </c>
      <c r="T598">
        <f t="shared" si="490"/>
        <v>-1.5070696470491807</v>
      </c>
      <c r="U598">
        <f t="shared" si="491"/>
        <v>8.1530610992956637E-2</v>
      </c>
      <c r="V598">
        <f t="shared" si="492"/>
        <v>-1.4891751189438907</v>
      </c>
      <c r="X598">
        <f t="shared" si="509"/>
        <v>-57.253188449376992</v>
      </c>
      <c r="Y598">
        <f t="shared" si="493"/>
        <v>-175.46867801341335</v>
      </c>
      <c r="Z598">
        <f t="shared" si="510"/>
        <v>4.5313219865866472</v>
      </c>
      <c r="AC598">
        <v>1</v>
      </c>
      <c r="AD598">
        <f t="shared" si="494"/>
        <v>491.01735951475206</v>
      </c>
      <c r="AE598">
        <f t="shared" si="495"/>
        <v>-0.71081926395215722</v>
      </c>
      <c r="AF598">
        <f t="shared" si="496"/>
        <v>5.8147110040319999E-2</v>
      </c>
      <c r="AG598">
        <f t="shared" si="473"/>
        <v>54.734471033184228</v>
      </c>
      <c r="AH598">
        <f t="shared" si="474"/>
        <v>-686.29922252278925</v>
      </c>
      <c r="AJ598">
        <f t="shared" si="497"/>
        <v>22100</v>
      </c>
      <c r="AK598">
        <f t="shared" si="498"/>
        <v>346323.94612583047</v>
      </c>
      <c r="AL598">
        <v>1</v>
      </c>
      <c r="AM598">
        <f t="shared" si="499"/>
        <v>415.58294476742407</v>
      </c>
      <c r="AN598">
        <f t="shared" si="475"/>
        <v>833.46807962299022</v>
      </c>
      <c r="AO598">
        <f t="shared" si="476"/>
        <v>-51.172773541701922</v>
      </c>
      <c r="AQ598">
        <f t="shared" si="500"/>
        <v>6.7816835678654263E-4</v>
      </c>
      <c r="AR598">
        <f t="shared" si="501"/>
        <v>-2.6041664900603236</v>
      </c>
      <c r="AT598">
        <f t="shared" ref="AT598:AT626" si="523">-AR598*AH598+AG598*AQ598</f>
        <v>-1787.200318262021</v>
      </c>
      <c r="AU598">
        <f t="shared" ref="AU598:AU626" si="524">AQ598*AH598+AG598*AR598</f>
        <v>-143.00310173179801</v>
      </c>
      <c r="AV598">
        <f t="shared" si="511"/>
        <v>-3.0617476141356685</v>
      </c>
      <c r="AW598">
        <f t="shared" si="512"/>
        <v>758.05899596292147</v>
      </c>
      <c r="AX598">
        <f t="shared" si="513"/>
        <v>-3047.7972744098024</v>
      </c>
      <c r="AY598">
        <f t="shared" si="521"/>
        <v>-1.3270193769223364</v>
      </c>
      <c r="BA598">
        <f t="shared" si="502"/>
        <v>0.57087189933769678</v>
      </c>
      <c r="BB598">
        <f t="shared" si="514"/>
        <v>-4.8692266845479253</v>
      </c>
      <c r="BC598">
        <f t="shared" si="515"/>
        <v>-1.7347282372133321</v>
      </c>
      <c r="BD598">
        <f t="shared" si="503"/>
        <v>-279.39260670806567</v>
      </c>
      <c r="BF598">
        <f t="shared" si="504"/>
        <v>-60.446101322969213</v>
      </c>
      <c r="BG598">
        <f t="shared" si="505"/>
        <v>-192.9345493314126</v>
      </c>
      <c r="BH598">
        <f t="shared" si="516"/>
        <v>-12.934549331412597</v>
      </c>
      <c r="BI598">
        <f t="shared" si="517"/>
        <v>-12.934549331412597</v>
      </c>
      <c r="BJ598">
        <f t="shared" si="506"/>
        <v>0</v>
      </c>
      <c r="BK598">
        <f t="shared" si="518"/>
        <v>0</v>
      </c>
      <c r="BM598">
        <f t="shared" si="519"/>
        <v>-55.576874638421288</v>
      </c>
      <c r="BN598">
        <f t="shared" si="507"/>
        <v>-93.541942623346955</v>
      </c>
      <c r="BQ598" s="56">
        <f t="shared" si="520"/>
        <v>12.032734115737211</v>
      </c>
    </row>
    <row r="599" spans="1:69" x14ac:dyDescent="0.25">
      <c r="A599">
        <f t="shared" ref="A599:A614" si="525">A598+5000</f>
        <v>1925000</v>
      </c>
      <c r="B599">
        <f t="shared" si="508"/>
        <v>1925</v>
      </c>
      <c r="C599">
        <f t="shared" si="477"/>
        <v>15.996860575550121</v>
      </c>
      <c r="D599">
        <f t="shared" si="478"/>
        <v>1.5082432751831767</v>
      </c>
      <c r="F599">
        <f t="shared" si="479"/>
        <v>6.9166580308710698E-6</v>
      </c>
      <c r="G599">
        <f t="shared" si="480"/>
        <v>8.9463170595541295E-4</v>
      </c>
      <c r="H599">
        <f t="shared" si="481"/>
        <v>-3.1406980182940449</v>
      </c>
      <c r="J599">
        <f t="shared" si="482"/>
        <v>15</v>
      </c>
      <c r="M599">
        <f t="shared" si="483"/>
        <v>7.7615790737822776E-4</v>
      </c>
      <c r="N599">
        <f t="shared" si="484"/>
        <v>-1.5707963250000001</v>
      </c>
      <c r="O599">
        <f t="shared" si="485"/>
        <v>492.29706620312464</v>
      </c>
      <c r="P599">
        <f t="shared" si="486"/>
        <v>1.5687650315539838</v>
      </c>
      <c r="Q599">
        <f t="shared" si="487"/>
        <v>416.66639202194159</v>
      </c>
      <c r="R599">
        <f t="shared" si="488"/>
        <v>1.5683963229089315</v>
      </c>
      <c r="S599">
        <f t="shared" si="489"/>
        <v>6.3518811620219398E-2</v>
      </c>
      <c r="T599">
        <f t="shared" si="490"/>
        <v>-1.5072347248558351</v>
      </c>
      <c r="U599">
        <f t="shared" si="491"/>
        <v>8.1320245400418378E-2</v>
      </c>
      <c r="V599">
        <f t="shared" si="492"/>
        <v>-1.4893861853963322</v>
      </c>
      <c r="X599">
        <f t="shared" si="509"/>
        <v>-57.298216528287199</v>
      </c>
      <c r="Y599">
        <f t="shared" si="493"/>
        <v>-175.48039281987164</v>
      </c>
      <c r="Z599">
        <f t="shared" si="510"/>
        <v>4.5196071801283608</v>
      </c>
      <c r="AC599">
        <v>1</v>
      </c>
      <c r="AD599">
        <f t="shared" si="494"/>
        <v>492.29605055515503</v>
      </c>
      <c r="AE599">
        <f t="shared" si="495"/>
        <v>-0.7145262681702238</v>
      </c>
      <c r="AF599">
        <f t="shared" si="496"/>
        <v>5.8298534806049997E-2</v>
      </c>
      <c r="AG599">
        <f t="shared" si="473"/>
        <v>54.452383244658435</v>
      </c>
      <c r="AH599">
        <f t="shared" si="474"/>
        <v>-684.53964281515948</v>
      </c>
      <c r="AJ599">
        <f t="shared" si="497"/>
        <v>22100</v>
      </c>
      <c r="AK599">
        <f t="shared" si="498"/>
        <v>347225.83140219981</v>
      </c>
      <c r="AL599">
        <v>1</v>
      </c>
      <c r="AM599">
        <f t="shared" si="499"/>
        <v>416.66519201942253</v>
      </c>
      <c r="AN599">
        <f t="shared" si="475"/>
        <v>833.46744079546659</v>
      </c>
      <c r="AO599">
        <f t="shared" si="476"/>
        <v>-51.039858779979895</v>
      </c>
      <c r="AQ599">
        <f t="shared" si="500"/>
        <v>6.7464997978411336E-4</v>
      </c>
      <c r="AR599">
        <f t="shared" si="501"/>
        <v>-2.5974024221688365</v>
      </c>
      <c r="AT599">
        <f t="shared" si="523"/>
        <v>-1777.9881900194302</v>
      </c>
      <c r="AU599">
        <f t="shared" si="524"/>
        <v>-141.89657678872828</v>
      </c>
      <c r="AV599">
        <f t="shared" si="511"/>
        <v>-3.0619540671782421</v>
      </c>
      <c r="AW599">
        <f t="shared" si="512"/>
        <v>758.45154352696329</v>
      </c>
      <c r="AX599">
        <f t="shared" si="513"/>
        <v>-3039.9031544169429</v>
      </c>
      <c r="AY599">
        <f t="shared" si="521"/>
        <v>-1.326289636850724</v>
      </c>
      <c r="BA599">
        <f t="shared" si="502"/>
        <v>0.56929126360519444</v>
      </c>
      <c r="BB599">
        <f t="shared" si="514"/>
        <v>-4.8933096171879296</v>
      </c>
      <c r="BC599">
        <f t="shared" si="515"/>
        <v>-1.7356644303275182</v>
      </c>
      <c r="BD599">
        <f t="shared" si="503"/>
        <v>-279.44624662237902</v>
      </c>
      <c r="BF599">
        <f t="shared" si="504"/>
        <v>-60.492863161769023</v>
      </c>
      <c r="BG599">
        <f t="shared" si="505"/>
        <v>-192.97901375562154</v>
      </c>
      <c r="BH599">
        <f t="shared" si="516"/>
        <v>-12.979013755621537</v>
      </c>
      <c r="BI599">
        <f t="shared" si="517"/>
        <v>-12.979013755621537</v>
      </c>
      <c r="BJ599">
        <f t="shared" si="506"/>
        <v>0</v>
      </c>
      <c r="BK599">
        <f t="shared" si="518"/>
        <v>0</v>
      </c>
      <c r="BM599">
        <f t="shared" si="519"/>
        <v>-55.599553544581099</v>
      </c>
      <c r="BN599">
        <f t="shared" si="507"/>
        <v>-93.532767133242515</v>
      </c>
      <c r="BQ599" s="56">
        <f t="shared" si="520"/>
        <v>12.008651183097207</v>
      </c>
    </row>
    <row r="600" spans="1:69" x14ac:dyDescent="0.25">
      <c r="A600">
        <f t="shared" si="525"/>
        <v>1930000</v>
      </c>
      <c r="B600">
        <f t="shared" si="508"/>
        <v>1930</v>
      </c>
      <c r="C600">
        <f t="shared" si="477"/>
        <v>16.038248702741264</v>
      </c>
      <c r="D600">
        <f t="shared" si="478"/>
        <v>1.5084049089529006</v>
      </c>
      <c r="F600">
        <f t="shared" si="479"/>
        <v>6.8808666127893331E-6</v>
      </c>
      <c r="G600">
        <f t="shared" si="480"/>
        <v>8.9231397634235011E-4</v>
      </c>
      <c r="H600">
        <f t="shared" si="481"/>
        <v>-3.1407003360236581</v>
      </c>
      <c r="J600">
        <f t="shared" si="482"/>
        <v>15</v>
      </c>
      <c r="M600">
        <f t="shared" si="483"/>
        <v>7.7414713559745513E-4</v>
      </c>
      <c r="N600">
        <f t="shared" si="484"/>
        <v>-1.5707963250000001</v>
      </c>
      <c r="O600">
        <f t="shared" si="485"/>
        <v>493.57575461232068</v>
      </c>
      <c r="P600">
        <f t="shared" si="486"/>
        <v>1.5687702939624684</v>
      </c>
      <c r="Q600">
        <f t="shared" si="487"/>
        <v>417.74863616513414</v>
      </c>
      <c r="R600">
        <f t="shared" si="488"/>
        <v>1.5684025405117961</v>
      </c>
      <c r="S600">
        <f t="shared" si="489"/>
        <v>6.3354916472161779E-2</v>
      </c>
      <c r="T600">
        <f t="shared" si="490"/>
        <v>-1.507398950779107</v>
      </c>
      <c r="U600">
        <f t="shared" si="491"/>
        <v>8.1110959000729219E-2</v>
      </c>
      <c r="V600">
        <f t="shared" si="492"/>
        <v>-1.4895961654536458</v>
      </c>
      <c r="X600">
        <f t="shared" si="509"/>
        <v>-57.343128583665617</v>
      </c>
      <c r="Y600">
        <f t="shared" si="493"/>
        <v>-175.49204735033493</v>
      </c>
      <c r="Z600">
        <f t="shared" si="510"/>
        <v>4.5079526496650715</v>
      </c>
      <c r="AC600">
        <v>1</v>
      </c>
      <c r="AD600">
        <f t="shared" si="494"/>
        <v>493.57474159555795</v>
      </c>
      <c r="AE600">
        <f t="shared" si="495"/>
        <v>-0.7182429134915882</v>
      </c>
      <c r="AF600">
        <f t="shared" si="496"/>
        <v>5.8449959571780001E-2</v>
      </c>
      <c r="AG600">
        <f t="shared" si="473"/>
        <v>54.172465775461696</v>
      </c>
      <c r="AH600">
        <f t="shared" si="474"/>
        <v>-682.78900348220702</v>
      </c>
      <c r="AJ600">
        <f t="shared" si="497"/>
        <v>22100</v>
      </c>
      <c r="AK600">
        <f t="shared" si="498"/>
        <v>348127.71667856915</v>
      </c>
      <c r="AL600">
        <v>1</v>
      </c>
      <c r="AM600">
        <f t="shared" si="499"/>
        <v>417.74743927142106</v>
      </c>
      <c r="AN600">
        <f t="shared" si="475"/>
        <v>833.46680692645157</v>
      </c>
      <c r="AO600">
        <f t="shared" si="476"/>
        <v>-50.907632683910109</v>
      </c>
      <c r="AQ600">
        <f t="shared" si="500"/>
        <v>6.7115891224201244E-4</v>
      </c>
      <c r="AR600">
        <f t="shared" si="501"/>
        <v>-2.5906734012541679</v>
      </c>
      <c r="AT600">
        <f t="shared" si="523"/>
        <v>-1768.8469516569899</v>
      </c>
      <c r="AU600">
        <f t="shared" si="524"/>
        <v>-140.80142608970829</v>
      </c>
      <c r="AV600">
        <f t="shared" si="511"/>
        <v>-3.0621594577292535</v>
      </c>
      <c r="AW600">
        <f t="shared" si="512"/>
        <v>758.84102408788499</v>
      </c>
      <c r="AX600">
        <f t="shared" si="513"/>
        <v>-3032.0497660851051</v>
      </c>
      <c r="AY600">
        <f t="shared" si="521"/>
        <v>-1.3255604804692049</v>
      </c>
      <c r="BA600">
        <f t="shared" si="502"/>
        <v>0.56771855261285853</v>
      </c>
      <c r="BB600">
        <f t="shared" si="514"/>
        <v>-4.9173382625505866</v>
      </c>
      <c r="BC600">
        <f t="shared" si="515"/>
        <v>-1.7365989772600485</v>
      </c>
      <c r="BD600">
        <f t="shared" si="503"/>
        <v>-279.49979221743109</v>
      </c>
      <c r="BF600">
        <f t="shared" si="504"/>
        <v>-60.539511426232949</v>
      </c>
      <c r="BG600">
        <f t="shared" si="505"/>
        <v>-193.02343121395609</v>
      </c>
      <c r="BH600">
        <f t="shared" si="516"/>
        <v>-13.023431213956087</v>
      </c>
      <c r="BI600">
        <f t="shared" si="517"/>
        <v>-13.023431213956087</v>
      </c>
      <c r="BJ600">
        <f t="shared" si="506"/>
        <v>0</v>
      </c>
      <c r="BK600">
        <f t="shared" si="518"/>
        <v>0</v>
      </c>
      <c r="BM600">
        <f t="shared" si="519"/>
        <v>-55.622173163682369</v>
      </c>
      <c r="BN600">
        <f t="shared" si="507"/>
        <v>-93.523638996524994</v>
      </c>
      <c r="BQ600" s="56">
        <f t="shared" si="520"/>
        <v>11.98462253773455</v>
      </c>
    </row>
    <row r="601" spans="1:69" x14ac:dyDescent="0.25">
      <c r="A601">
        <f t="shared" si="525"/>
        <v>1935000</v>
      </c>
      <c r="B601">
        <f t="shared" si="508"/>
        <v>1935</v>
      </c>
      <c r="C601">
        <f t="shared" si="477"/>
        <v>16.079637246782269</v>
      </c>
      <c r="D601">
        <f t="shared" si="478"/>
        <v>1.5085657106450516</v>
      </c>
      <c r="F601">
        <f t="shared" si="479"/>
        <v>6.8453522913404797E-6</v>
      </c>
      <c r="G601">
        <f t="shared" si="480"/>
        <v>8.9000822489865902E-4</v>
      </c>
      <c r="H601">
        <f t="shared" si="481"/>
        <v>-3.1407026417751016</v>
      </c>
      <c r="J601">
        <f t="shared" si="482"/>
        <v>15</v>
      </c>
      <c r="M601">
        <f t="shared" si="483"/>
        <v>7.7214675540211285E-4</v>
      </c>
      <c r="N601">
        <f t="shared" si="484"/>
        <v>-1.5707963250000001</v>
      </c>
      <c r="O601">
        <f t="shared" si="485"/>
        <v>494.85444303511463</v>
      </c>
      <c r="P601">
        <f t="shared" si="486"/>
        <v>1.5687755291751546</v>
      </c>
      <c r="Q601">
        <f t="shared" si="487"/>
        <v>418.83088032439287</v>
      </c>
      <c r="R601">
        <f t="shared" si="488"/>
        <v>1.5684087259825297</v>
      </c>
      <c r="S601">
        <f t="shared" si="489"/>
        <v>6.319186324091805E-2</v>
      </c>
      <c r="T601">
        <f t="shared" si="490"/>
        <v>-1.5075623313874469</v>
      </c>
      <c r="U601">
        <f t="shared" si="491"/>
        <v>8.0902743538176322E-2</v>
      </c>
      <c r="V601">
        <f t="shared" si="492"/>
        <v>-1.4898050674637178</v>
      </c>
      <c r="X601">
        <f t="shared" si="509"/>
        <v>-57.387925209908772</v>
      </c>
      <c r="Y601">
        <f t="shared" si="493"/>
        <v>-175.50364206773767</v>
      </c>
      <c r="Z601">
        <f t="shared" si="510"/>
        <v>4.4963579322623275</v>
      </c>
      <c r="AC601">
        <v>1</v>
      </c>
      <c r="AD601">
        <f t="shared" si="494"/>
        <v>494.85343263596104</v>
      </c>
      <c r="AE601">
        <f t="shared" si="495"/>
        <v>-0.72196919991625064</v>
      </c>
      <c r="AF601">
        <f t="shared" si="496"/>
        <v>5.8601384337509992E-2</v>
      </c>
      <c r="AG601">
        <f t="shared" si="473"/>
        <v>53.894696467605755</v>
      </c>
      <c r="AH601">
        <f t="shared" si="474"/>
        <v>-681.04723701723935</v>
      </c>
      <c r="AJ601">
        <f t="shared" si="497"/>
        <v>22100</v>
      </c>
      <c r="AK601">
        <f t="shared" si="498"/>
        <v>349029.60195493849</v>
      </c>
      <c r="AL601">
        <v>1</v>
      </c>
      <c r="AM601">
        <f t="shared" si="499"/>
        <v>418.82968652341958</v>
      </c>
      <c r="AN601">
        <f t="shared" si="475"/>
        <v>833.4661779647613</v>
      </c>
      <c r="AO601">
        <f t="shared" si="476"/>
        <v>-50.776089915121347</v>
      </c>
      <c r="AQ601">
        <f t="shared" si="500"/>
        <v>6.6769487225695084E-4</v>
      </c>
      <c r="AR601">
        <f t="shared" si="501"/>
        <v>-2.5839791556343998</v>
      </c>
      <c r="AT601">
        <f t="shared" si="523"/>
        <v>-1759.775879242474</v>
      </c>
      <c r="AU601">
        <f t="shared" si="524"/>
        <v>-139.71750401945738</v>
      </c>
      <c r="AV601">
        <f t="shared" si="511"/>
        <v>-3.0623637939512909</v>
      </c>
      <c r="AW601">
        <f t="shared" si="512"/>
        <v>759.2274695609035</v>
      </c>
      <c r="AX601">
        <f t="shared" si="513"/>
        <v>-3024.2367953997627</v>
      </c>
      <c r="AY601">
        <f t="shared" si="521"/>
        <v>-1.3248319055336861</v>
      </c>
      <c r="BA601">
        <f t="shared" si="502"/>
        <v>0.56615370585215785</v>
      </c>
      <c r="BB601">
        <f t="shared" si="514"/>
        <v>-4.9413129118849524</v>
      </c>
      <c r="BC601">
        <f t="shared" si="515"/>
        <v>-1.7375318884176048</v>
      </c>
      <c r="BD601">
        <f t="shared" si="503"/>
        <v>-279.55324408948081</v>
      </c>
      <c r="BF601">
        <f t="shared" si="504"/>
        <v>-60.586046717916375</v>
      </c>
      <c r="BG601">
        <f t="shared" si="505"/>
        <v>-193.06780193752292</v>
      </c>
      <c r="BH601">
        <f t="shared" si="516"/>
        <v>-13.067801937522916</v>
      </c>
      <c r="BI601">
        <f t="shared" si="517"/>
        <v>-13.067801937522916</v>
      </c>
      <c r="BJ601">
        <f t="shared" si="506"/>
        <v>0</v>
      </c>
      <c r="BK601">
        <f t="shared" si="518"/>
        <v>0</v>
      </c>
      <c r="BM601">
        <f t="shared" si="519"/>
        <v>-55.644733806031425</v>
      </c>
      <c r="BN601">
        <f t="shared" si="507"/>
        <v>-93.514557848042131</v>
      </c>
      <c r="BQ601" s="56">
        <f t="shared" si="520"/>
        <v>11.960647888400185</v>
      </c>
    </row>
    <row r="602" spans="1:69" x14ac:dyDescent="0.25">
      <c r="A602">
        <f t="shared" si="525"/>
        <v>1940000</v>
      </c>
      <c r="B602">
        <f t="shared" si="508"/>
        <v>1940</v>
      </c>
      <c r="C602">
        <f t="shared" si="477"/>
        <v>16.121026204462527</v>
      </c>
      <c r="D602">
        <f t="shared" si="478"/>
        <v>1.5087256866600844</v>
      </c>
      <c r="F602">
        <f t="shared" si="479"/>
        <v>6.8101122135118649E-6</v>
      </c>
      <c r="G602">
        <f t="shared" si="480"/>
        <v>8.877143590071781E-4</v>
      </c>
      <c r="H602">
        <f t="shared" si="481"/>
        <v>-3.1407049356409931</v>
      </c>
      <c r="J602">
        <f t="shared" si="482"/>
        <v>15</v>
      </c>
      <c r="M602">
        <f t="shared" si="483"/>
        <v>7.7015668644489087E-4</v>
      </c>
      <c r="N602">
        <f t="shared" si="484"/>
        <v>-1.5707963250000001</v>
      </c>
      <c r="O602">
        <f t="shared" si="485"/>
        <v>496.13313147140144</v>
      </c>
      <c r="P602">
        <f t="shared" si="486"/>
        <v>1.5687807374023184</v>
      </c>
      <c r="Q602">
        <f t="shared" si="487"/>
        <v>419.91312449959344</v>
      </c>
      <c r="R602">
        <f t="shared" si="488"/>
        <v>1.5684148795695747</v>
      </c>
      <c r="S602">
        <f t="shared" si="489"/>
        <v>6.3029645468797926E-2</v>
      </c>
      <c r="T602">
        <f t="shared" si="490"/>
        <v>-1.5077248731820398</v>
      </c>
      <c r="U602">
        <f t="shared" si="491"/>
        <v>8.0695590840757517E-2</v>
      </c>
      <c r="V602">
        <f t="shared" si="492"/>
        <v>-1.4900128996893136</v>
      </c>
      <c r="X602">
        <f t="shared" si="509"/>
        <v>-57.432606996872302</v>
      </c>
      <c r="Y602">
        <f t="shared" si="493"/>
        <v>-175.51517743029683</v>
      </c>
      <c r="Z602">
        <f t="shared" si="510"/>
        <v>4.4848225697031694</v>
      </c>
      <c r="AC602">
        <v>1</v>
      </c>
      <c r="AD602">
        <f t="shared" si="494"/>
        <v>496.13212367636402</v>
      </c>
      <c r="AE602">
        <f t="shared" si="495"/>
        <v>-0.7257051274442109</v>
      </c>
      <c r="AF602">
        <f t="shared" si="496"/>
        <v>5.8752809103240003E-2</v>
      </c>
      <c r="AG602">
        <f t="shared" si="473"/>
        <v>53.619053444536604</v>
      </c>
      <c r="AH602">
        <f t="shared" si="474"/>
        <v>-679.3142765867243</v>
      </c>
      <c r="AJ602">
        <f t="shared" si="497"/>
        <v>22100</v>
      </c>
      <c r="AK602">
        <f t="shared" si="498"/>
        <v>349931.48723130784</v>
      </c>
      <c r="AL602">
        <v>1</v>
      </c>
      <c r="AM602">
        <f t="shared" si="499"/>
        <v>419.91193377541805</v>
      </c>
      <c r="AN602">
        <f t="shared" si="475"/>
        <v>833.46555385987062</v>
      </c>
      <c r="AO602">
        <f t="shared" si="476"/>
        <v>-50.645225190275575</v>
      </c>
      <c r="AQ602">
        <f t="shared" si="500"/>
        <v>6.6425758155372642E-4</v>
      </c>
      <c r="AR602">
        <f t="shared" si="501"/>
        <v>-2.5773194164284585</v>
      </c>
      <c r="AT602">
        <f t="shared" si="523"/>
        <v>-1750.7742580412505</v>
      </c>
      <c r="AU602">
        <f t="shared" si="524"/>
        <v>-138.64466719159981</v>
      </c>
      <c r="AV602">
        <f t="shared" si="511"/>
        <v>-3.062567083923732</v>
      </c>
      <c r="AW602">
        <f t="shared" si="512"/>
        <v>759.61091144658667</v>
      </c>
      <c r="AX602">
        <f t="shared" si="513"/>
        <v>-3016.463931561701</v>
      </c>
      <c r="AY602">
        <f t="shared" si="521"/>
        <v>-1.3241039098275091</v>
      </c>
      <c r="BA602">
        <f t="shared" si="502"/>
        <v>0.56459666343196246</v>
      </c>
      <c r="BB602">
        <f t="shared" si="514"/>
        <v>-4.9652338541882548</v>
      </c>
      <c r="BC602">
        <f t="shared" si="515"/>
        <v>-1.7384631740962229</v>
      </c>
      <c r="BD602">
        <f t="shared" si="503"/>
        <v>-279.60660282844759</v>
      </c>
      <c r="BF602">
        <f t="shared" si="504"/>
        <v>-60.632469633684529</v>
      </c>
      <c r="BG602">
        <f t="shared" si="505"/>
        <v>-193.11212615482901</v>
      </c>
      <c r="BH602">
        <f t="shared" si="516"/>
        <v>-13.112126154829014</v>
      </c>
      <c r="BI602">
        <f t="shared" si="517"/>
        <v>-13.112126154829014</v>
      </c>
      <c r="BJ602">
        <f t="shared" si="506"/>
        <v>0</v>
      </c>
      <c r="BK602">
        <f t="shared" si="518"/>
        <v>0</v>
      </c>
      <c r="BM602">
        <f t="shared" si="519"/>
        <v>-55.667235779496274</v>
      </c>
      <c r="BN602">
        <f t="shared" si="507"/>
        <v>-93.50552332638145</v>
      </c>
      <c r="BQ602" s="56">
        <f t="shared" si="520"/>
        <v>11.936726946096881</v>
      </c>
    </row>
    <row r="603" spans="1:69" x14ac:dyDescent="0.25">
      <c r="A603">
        <f t="shared" si="525"/>
        <v>1945000</v>
      </c>
      <c r="B603">
        <f t="shared" si="508"/>
        <v>1945</v>
      </c>
      <c r="C603">
        <f t="shared" si="477"/>
        <v>16.162415572604271</v>
      </c>
      <c r="D603">
        <f t="shared" si="478"/>
        <v>1.5088848433330608</v>
      </c>
      <c r="F603">
        <f t="shared" si="479"/>
        <v>6.7751435629152326E-6</v>
      </c>
      <c r="G603">
        <f t="shared" si="480"/>
        <v>8.8543228700313894E-4</v>
      </c>
      <c r="H603">
        <f t="shared" si="481"/>
        <v>-3.1407072177129969</v>
      </c>
      <c r="J603">
        <f t="shared" si="482"/>
        <v>15</v>
      </c>
      <c r="M603">
        <f t="shared" si="483"/>
        <v>7.681768492046727E-4</v>
      </c>
      <c r="N603">
        <f t="shared" si="484"/>
        <v>-1.5707963250000001</v>
      </c>
      <c r="O603">
        <f t="shared" si="485"/>
        <v>497.41181992107693</v>
      </c>
      <c r="P603">
        <f t="shared" si="486"/>
        <v>1.568785918852073</v>
      </c>
      <c r="Q603">
        <f t="shared" si="487"/>
        <v>420.99536869061302</v>
      </c>
      <c r="R603">
        <f t="shared" si="488"/>
        <v>1.5684210015188194</v>
      </c>
      <c r="S603">
        <f t="shared" si="489"/>
        <v>6.2868256763852617E-2</v>
      </c>
      <c r="T603">
        <f t="shared" si="490"/>
        <v>-1.5078865825976635</v>
      </c>
      <c r="U603">
        <f t="shared" si="491"/>
        <v>8.0489492819126651E-2</v>
      </c>
      <c r="V603">
        <f t="shared" si="492"/>
        <v>-1.4902196703091573</v>
      </c>
      <c r="X603">
        <f t="shared" si="509"/>
        <v>-57.477174529916851</v>
      </c>
      <c r="Y603">
        <f t="shared" si="493"/>
        <v>-175.52665389157173</v>
      </c>
      <c r="Z603">
        <f t="shared" si="510"/>
        <v>4.4733461084282737</v>
      </c>
      <c r="AC603">
        <v>1</v>
      </c>
      <c r="AD603">
        <f t="shared" si="494"/>
        <v>497.41081471676705</v>
      </c>
      <c r="AE603">
        <f t="shared" si="495"/>
        <v>-0.72945069607546931</v>
      </c>
      <c r="AF603">
        <f t="shared" si="496"/>
        <v>5.8904233868969993E-2</v>
      </c>
      <c r="AG603">
        <f t="shared" si="473"/>
        <v>53.345515106865292</v>
      </c>
      <c r="AH603">
        <f t="shared" si="474"/>
        <v>-677.59005602198283</v>
      </c>
      <c r="AJ603">
        <f t="shared" si="497"/>
        <v>22100</v>
      </c>
      <c r="AK603">
        <f t="shared" si="498"/>
        <v>350833.37250767718</v>
      </c>
      <c r="AL603">
        <v>1</v>
      </c>
      <c r="AM603">
        <f t="shared" si="499"/>
        <v>420.99418102741652</v>
      </c>
      <c r="AN603">
        <f t="shared" si="475"/>
        <v>833.46493456190274</v>
      </c>
      <c r="AO603">
        <f t="shared" si="476"/>
        <v>-50.515033280360598</v>
      </c>
      <c r="AQ603">
        <f t="shared" si="500"/>
        <v>6.6084676542933459E-4</v>
      </c>
      <c r="AR603">
        <f t="shared" si="501"/>
        <v>-2.5706939175201118</v>
      </c>
      <c r="AT603">
        <f t="shared" si="523"/>
        <v>-1741.8413823767146</v>
      </c>
      <c r="AU603">
        <f t="shared" si="524"/>
        <v>-137.58277440900505</v>
      </c>
      <c r="AV603">
        <f t="shared" si="511"/>
        <v>-3.0627693356437997</v>
      </c>
      <c r="AW603">
        <f t="shared" si="512"/>
        <v>759.99138083730929</v>
      </c>
      <c r="AX603">
        <f t="shared" si="513"/>
        <v>-3008.7308669460167</v>
      </c>
      <c r="AY603">
        <f t="shared" si="521"/>
        <v>-1.323376491161069</v>
      </c>
      <c r="BA603">
        <f t="shared" si="502"/>
        <v>0.56304736607071104</v>
      </c>
      <c r="BB603">
        <f t="shared" si="514"/>
        <v>-4.9891013762284926</v>
      </c>
      <c r="BC603">
        <f t="shared" si="515"/>
        <v>-1.7393928444827307</v>
      </c>
      <c r="BD603">
        <f t="shared" si="503"/>
        <v>-279.65986901799363</v>
      </c>
      <c r="BF603">
        <f t="shared" si="504"/>
        <v>-60.678780765760663</v>
      </c>
      <c r="BG603">
        <f t="shared" si="505"/>
        <v>-193.15640409181628</v>
      </c>
      <c r="BH603">
        <f t="shared" si="516"/>
        <v>-13.156404091816285</v>
      </c>
      <c r="BI603">
        <f t="shared" si="517"/>
        <v>-13.156404091816285</v>
      </c>
      <c r="BJ603">
        <f t="shared" si="506"/>
        <v>0</v>
      </c>
      <c r="BK603">
        <f t="shared" si="518"/>
        <v>0</v>
      </c>
      <c r="BM603">
        <f t="shared" si="519"/>
        <v>-55.689679389532174</v>
      </c>
      <c r="BN603">
        <f t="shared" si="507"/>
        <v>-93.49653507382267</v>
      </c>
      <c r="BQ603" s="56">
        <f t="shared" si="520"/>
        <v>11.912859424056643</v>
      </c>
    </row>
    <row r="604" spans="1:69" x14ac:dyDescent="0.25">
      <c r="A604">
        <f t="shared" si="525"/>
        <v>1950000</v>
      </c>
      <c r="B604">
        <f t="shared" si="508"/>
        <v>1950</v>
      </c>
      <c r="C604">
        <f t="shared" si="477"/>
        <v>16.203805348062176</v>
      </c>
      <c r="D604">
        <f t="shared" si="478"/>
        <v>1.5090431869344834</v>
      </c>
      <c r="F604">
        <f t="shared" si="479"/>
        <v>6.7404435592239792E-6</v>
      </c>
      <c r="G604">
        <f t="shared" si="480"/>
        <v>8.8316191816195492E-4</v>
      </c>
      <c r="H604">
        <f t="shared" si="481"/>
        <v>-3.1407094880818383</v>
      </c>
      <c r="J604">
        <f t="shared" si="482"/>
        <v>15</v>
      </c>
      <c r="M604">
        <f t="shared" si="483"/>
        <v>7.6620716497594272E-4</v>
      </c>
      <c r="N604">
        <f t="shared" si="484"/>
        <v>-1.5707963250000001</v>
      </c>
      <c r="O604">
        <f t="shared" si="485"/>
        <v>498.6905083840382</v>
      </c>
      <c r="P604">
        <f t="shared" si="486"/>
        <v>1.5687910737303976</v>
      </c>
      <c r="Q604">
        <f t="shared" si="487"/>
        <v>422.07761289732986</v>
      </c>
      <c r="R604">
        <f t="shared" si="488"/>
        <v>1.568427092073629</v>
      </c>
      <c r="S604">
        <f t="shared" si="489"/>
        <v>6.2707690799041996E-2</v>
      </c>
      <c r="T604">
        <f t="shared" si="490"/>
        <v>-1.5080474660035332</v>
      </c>
      <c r="U604">
        <f t="shared" si="491"/>
        <v>8.0284441465554648E-2</v>
      </c>
      <c r="V604">
        <f t="shared" si="492"/>
        <v>-1.4904253874189952</v>
      </c>
      <c r="X604">
        <f t="shared" si="509"/>
        <v>-57.52162838995357</v>
      </c>
      <c r="Y604">
        <f t="shared" si="493"/>
        <v>-175.53807190052288</v>
      </c>
      <c r="Z604">
        <f t="shared" si="510"/>
        <v>4.4619280994771202</v>
      </c>
      <c r="AC604">
        <v>1</v>
      </c>
      <c r="AD604">
        <f t="shared" si="494"/>
        <v>498.68950575717002</v>
      </c>
      <c r="AE604">
        <f t="shared" si="495"/>
        <v>-0.73320590581002554</v>
      </c>
      <c r="AF604">
        <f t="shared" si="496"/>
        <v>5.9055658634699998E-2</v>
      </c>
      <c r="AG604">
        <f t="shared" si="473"/>
        <v>53.074060128174246</v>
      </c>
      <c r="AH604">
        <f t="shared" si="474"/>
        <v>-675.87450981100244</v>
      </c>
      <c r="AJ604">
        <f t="shared" si="497"/>
        <v>22100</v>
      </c>
      <c r="AK604">
        <f t="shared" si="498"/>
        <v>351735.25778404658</v>
      </c>
      <c r="AL604">
        <v>1</v>
      </c>
      <c r="AM604">
        <f t="shared" si="499"/>
        <v>422.07642827941504</v>
      </c>
      <c r="AN604">
        <f t="shared" si="475"/>
        <v>833.46432002161953</v>
      </c>
      <c r="AO604">
        <f t="shared" si="476"/>
        <v>-50.385509009993584</v>
      </c>
      <c r="AQ604">
        <f t="shared" si="500"/>
        <v>6.5746215269808328E-4</v>
      </c>
      <c r="AR604">
        <f t="shared" si="501"/>
        <v>-2.5641023955225251</v>
      </c>
      <c r="AT604">
        <f t="shared" si="523"/>
        <v>-1732.9765554931796</v>
      </c>
      <c r="AU604">
        <f t="shared" si="524"/>
        <v>-136.53168662493223</v>
      </c>
      <c r="AV604">
        <f t="shared" si="511"/>
        <v>-3.0629705570276</v>
      </c>
      <c r="AW604">
        <f t="shared" si="512"/>
        <v>760.36890842359412</v>
      </c>
      <c r="AX604">
        <f t="shared" si="513"/>
        <v>-3001.0372970617523</v>
      </c>
      <c r="AY604">
        <f t="shared" si="521"/>
        <v>-1.3226496473714395</v>
      </c>
      <c r="BA604">
        <f t="shared" si="502"/>
        <v>0.56150575508869283</v>
      </c>
      <c r="BB604">
        <f t="shared" si="514"/>
        <v>-5.0129157625668199</v>
      </c>
      <c r="BC604">
        <f t="shared" si="515"/>
        <v>-1.7403209096561605</v>
      </c>
      <c r="BD604">
        <f t="shared" si="503"/>
        <v>-279.71304323560503</v>
      </c>
      <c r="BF604">
        <f t="shared" si="504"/>
        <v>-60.724980701773703</v>
      </c>
      <c r="BG604">
        <f t="shared" si="505"/>
        <v>-193.20063597189557</v>
      </c>
      <c r="BH604">
        <f t="shared" si="516"/>
        <v>-13.200635971895565</v>
      </c>
      <c r="BI604">
        <f t="shared" si="517"/>
        <v>-13.200635971895565</v>
      </c>
      <c r="BJ604">
        <f t="shared" si="506"/>
        <v>0</v>
      </c>
      <c r="BK604">
        <f t="shared" si="518"/>
        <v>0</v>
      </c>
      <c r="BM604">
        <f t="shared" si="519"/>
        <v>-55.712064939206883</v>
      </c>
      <c r="BN604">
        <f t="shared" si="507"/>
        <v>-93.48759273629058</v>
      </c>
      <c r="BQ604" s="56">
        <f t="shared" si="520"/>
        <v>11.889045037718319</v>
      </c>
    </row>
    <row r="605" spans="1:69" x14ac:dyDescent="0.25">
      <c r="A605">
        <f t="shared" si="525"/>
        <v>1955000</v>
      </c>
      <c r="B605">
        <f t="shared" si="508"/>
        <v>1955</v>
      </c>
      <c r="C605">
        <f t="shared" si="477"/>
        <v>16.245195527722945</v>
      </c>
      <c r="D605">
        <f t="shared" si="478"/>
        <v>1.5092007236711127</v>
      </c>
      <c r="F605">
        <f t="shared" si="479"/>
        <v>6.7060094576204768E-6</v>
      </c>
      <c r="G605">
        <f t="shared" si="480"/>
        <v>8.8090316268719926E-4</v>
      </c>
      <c r="H605">
        <f t="shared" si="481"/>
        <v>-3.1407117468373129</v>
      </c>
      <c r="J605">
        <f t="shared" si="482"/>
        <v>15</v>
      </c>
      <c r="M605">
        <f t="shared" si="483"/>
        <v>7.642475558583573E-4</v>
      </c>
      <c r="N605">
        <f t="shared" si="484"/>
        <v>-1.5707963250000001</v>
      </c>
      <c r="O605">
        <f t="shared" si="485"/>
        <v>499.96919686018322</v>
      </c>
      <c r="P605">
        <f t="shared" si="486"/>
        <v>1.5687962022411641</v>
      </c>
      <c r="Q605">
        <f t="shared" si="487"/>
        <v>423.1598571196235</v>
      </c>
      <c r="R605">
        <f t="shared" si="488"/>
        <v>1.5684331514748799</v>
      </c>
      <c r="S605">
        <f t="shared" si="489"/>
        <v>6.2547941311414459E-2</v>
      </c>
      <c r="T605">
        <f t="shared" si="490"/>
        <v>-1.5082075297041329</v>
      </c>
      <c r="U605">
        <f t="shared" si="491"/>
        <v>8.0080428852906241E-2</v>
      </c>
      <c r="V605">
        <f t="shared" si="492"/>
        <v>-1.4906300590326438</v>
      </c>
      <c r="X605">
        <f t="shared" si="509"/>
        <v>-57.565969153488879</v>
      </c>
      <c r="Y605">
        <f t="shared" si="493"/>
        <v>-175.54943190156999</v>
      </c>
      <c r="Z605">
        <f t="shared" si="510"/>
        <v>4.4505680984300113</v>
      </c>
      <c r="AC605">
        <v>1</v>
      </c>
      <c r="AD605">
        <f t="shared" si="494"/>
        <v>499.968196797573</v>
      </c>
      <c r="AE605">
        <f t="shared" si="495"/>
        <v>-0.73697075664787981</v>
      </c>
      <c r="AF605">
        <f t="shared" si="496"/>
        <v>5.9207083400429995E-2</v>
      </c>
      <c r="AG605">
        <f t="shared" si="473"/>
        <v>52.804667450896815</v>
      </c>
      <c r="AH605">
        <f t="shared" si="474"/>
        <v>-674.16757309037132</v>
      </c>
      <c r="AJ605">
        <f t="shared" si="497"/>
        <v>22100</v>
      </c>
      <c r="AK605">
        <f t="shared" si="498"/>
        <v>352637.14306041592</v>
      </c>
      <c r="AL605">
        <v>1</v>
      </c>
      <c r="AM605">
        <f t="shared" si="499"/>
        <v>423.15867553141356</v>
      </c>
      <c r="AN605">
        <f t="shared" si="475"/>
        <v>833.46371019041192</v>
      </c>
      <c r="AO605">
        <f t="shared" si="476"/>
        <v>-50.25664725673537</v>
      </c>
      <c r="AQ605">
        <f t="shared" si="500"/>
        <v>6.5410347563768707E-4</v>
      </c>
      <c r="AR605">
        <f t="shared" si="501"/>
        <v>-2.5575445897433564</v>
      </c>
      <c r="AT605">
        <f t="shared" si="523"/>
        <v>-1724.1790894211786</v>
      </c>
      <c r="AU605">
        <f t="shared" si="524"/>
        <v>-135.49126690495891</v>
      </c>
      <c r="AV605">
        <f t="shared" si="511"/>
        <v>-3.0631707559111461</v>
      </c>
      <c r="AW605">
        <f t="shared" si="512"/>
        <v>760.74352450033405</v>
      </c>
      <c r="AX605">
        <f t="shared" si="513"/>
        <v>-2993.3829205121351</v>
      </c>
      <c r="AY605">
        <f t="shared" si="521"/>
        <v>-1.3219233763220037</v>
      </c>
      <c r="BA605">
        <f t="shared" si="502"/>
        <v>0.5599717724004486</v>
      </c>
      <c r="BB605">
        <f t="shared" si="514"/>
        <v>-5.0366772955796133</v>
      </c>
      <c r="BC605">
        <f t="shared" si="515"/>
        <v>-1.7412473795891423</v>
      </c>
      <c r="BD605">
        <f t="shared" si="503"/>
        <v>-279.76612605267127</v>
      </c>
      <c r="BF605">
        <f t="shared" si="504"/>
        <v>-60.771070024805162</v>
      </c>
      <c r="BG605">
        <f t="shared" si="505"/>
        <v>-193.24482201598019</v>
      </c>
      <c r="BH605">
        <f t="shared" si="516"/>
        <v>-13.244822015980191</v>
      </c>
      <c r="BI605">
        <f t="shared" si="517"/>
        <v>-13.244822015980191</v>
      </c>
      <c r="BJ605">
        <f t="shared" si="506"/>
        <v>0</v>
      </c>
      <c r="BK605">
        <f t="shared" si="518"/>
        <v>0</v>
      </c>
      <c r="BM605">
        <f t="shared" si="519"/>
        <v>-55.734392729225554</v>
      </c>
      <c r="BN605">
        <f t="shared" si="507"/>
        <v>-93.478695963308923</v>
      </c>
      <c r="BQ605" s="56">
        <f t="shared" si="520"/>
        <v>11.865283504705523</v>
      </c>
    </row>
    <row r="606" spans="1:69" x14ac:dyDescent="0.25">
      <c r="A606">
        <f t="shared" si="525"/>
        <v>1960000</v>
      </c>
      <c r="B606">
        <f t="shared" si="508"/>
        <v>1960</v>
      </c>
      <c r="C606">
        <f t="shared" si="477"/>
        <v>16.286586108504899</v>
      </c>
      <c r="D606">
        <f t="shared" si="478"/>
        <v>1.5093574596867758</v>
      </c>
      <c r="F606">
        <f t="shared" si="479"/>
        <v>6.671838548253261E-6</v>
      </c>
      <c r="G606">
        <f t="shared" si="480"/>
        <v>8.7865593169876425E-4</v>
      </c>
      <c r="H606">
        <f t="shared" si="481"/>
        <v>-3.1407139940683013</v>
      </c>
      <c r="J606">
        <f t="shared" si="482"/>
        <v>15</v>
      </c>
      <c r="M606">
        <f t="shared" si="483"/>
        <v>7.6229794474647365E-4</v>
      </c>
      <c r="N606">
        <f t="shared" si="484"/>
        <v>-1.5707963250000001</v>
      </c>
      <c r="O606">
        <f t="shared" si="485"/>
        <v>501.24788534941121</v>
      </c>
      <c r="P606">
        <f t="shared" si="486"/>
        <v>1.5688013045861635</v>
      </c>
      <c r="Q606">
        <f t="shared" si="487"/>
        <v>424.24210135737474</v>
      </c>
      <c r="R606">
        <f t="shared" si="488"/>
        <v>1.5684391799609907</v>
      </c>
      <c r="S606">
        <f t="shared" si="489"/>
        <v>6.2389002101299079E-2</v>
      </c>
      <c r="T606">
        <f t="shared" si="490"/>
        <v>-1.5083667799400349</v>
      </c>
      <c r="U606">
        <f t="shared" si="491"/>
        <v>7.987744713363204E-2</v>
      </c>
      <c r="V606">
        <f t="shared" si="492"/>
        <v>-1.4908336930830197</v>
      </c>
      <c r="X606">
        <f t="shared" si="509"/>
        <v>-57.610197392668809</v>
      </c>
      <c r="Y606">
        <f t="shared" si="493"/>
        <v>-175.56073433464923</v>
      </c>
      <c r="Z606">
        <f t="shared" si="510"/>
        <v>4.4392656653507743</v>
      </c>
      <c r="AC606">
        <v>1</v>
      </c>
      <c r="AD606">
        <f t="shared" si="494"/>
        <v>501.24688783797603</v>
      </c>
      <c r="AE606">
        <f t="shared" si="495"/>
        <v>-0.74074524858903201</v>
      </c>
      <c r="AF606">
        <f t="shared" si="496"/>
        <v>5.935850816616E-2</v>
      </c>
      <c r="AG606">
        <f t="shared" si="473"/>
        <v>52.537316282269579</v>
      </c>
      <c r="AH606">
        <f t="shared" si="474"/>
        <v>-672.46918163732983</v>
      </c>
      <c r="AJ606">
        <f t="shared" si="497"/>
        <v>22100</v>
      </c>
      <c r="AK606">
        <f t="shared" si="498"/>
        <v>353539.02833678527</v>
      </c>
      <c r="AL606">
        <v>1</v>
      </c>
      <c r="AM606">
        <f t="shared" si="499"/>
        <v>424.24092278341209</v>
      </c>
      <c r="AN606">
        <f t="shared" si="475"/>
        <v>833.46310502028996</v>
      </c>
      <c r="AO606">
        <f t="shared" si="476"/>
        <v>-50.128442950415057</v>
      </c>
      <c r="AQ606">
        <f t="shared" si="500"/>
        <v>6.5077046993632407E-4</v>
      </c>
      <c r="AR606">
        <f t="shared" si="501"/>
        <v>-2.5510202421503902</v>
      </c>
      <c r="AT606">
        <f t="shared" si="523"/>
        <v>-1715.4483048451295</v>
      </c>
      <c r="AU606">
        <f t="shared" si="524"/>
        <v>-134.46138038967879</v>
      </c>
      <c r="AV606">
        <f t="shared" si="511"/>
        <v>-3.0633699400513668</v>
      </c>
      <c r="AW606">
        <f t="shared" si="512"/>
        <v>761.11525897290755</v>
      </c>
      <c r="AX606">
        <f t="shared" si="513"/>
        <v>-2985.7674389554245</v>
      </c>
      <c r="AY606">
        <f t="shared" si="521"/>
        <v>-1.32119767590209</v>
      </c>
      <c r="BA606">
        <f t="shared" si="502"/>
        <v>0.55844536050728555</v>
      </c>
      <c r="BB606">
        <f t="shared" si="514"/>
        <v>-5.0603862554802799</v>
      </c>
      <c r="BC606">
        <f t="shared" si="515"/>
        <v>-1.7421722641492767</v>
      </c>
      <c r="BD606">
        <f t="shared" si="503"/>
        <v>-279.81911803456433</v>
      </c>
      <c r="BF606">
        <f t="shared" si="504"/>
        <v>-60.817049313435533</v>
      </c>
      <c r="BG606">
        <f t="shared" si="505"/>
        <v>-193.28896244251919</v>
      </c>
      <c r="BH606">
        <f t="shared" si="516"/>
        <v>-13.288962442519193</v>
      </c>
      <c r="BI606">
        <f t="shared" si="517"/>
        <v>-13.288962442519193</v>
      </c>
      <c r="BJ606">
        <f t="shared" si="506"/>
        <v>0</v>
      </c>
      <c r="BK606">
        <f t="shared" si="518"/>
        <v>0</v>
      </c>
      <c r="BM606">
        <f t="shared" si="519"/>
        <v>-55.756663057955251</v>
      </c>
      <c r="BN606">
        <f t="shared" si="507"/>
        <v>-93.469844407954852</v>
      </c>
      <c r="BQ606" s="56">
        <f t="shared" si="520"/>
        <v>11.841574544804857</v>
      </c>
    </row>
    <row r="607" spans="1:69" x14ac:dyDescent="0.25">
      <c r="A607">
        <f t="shared" si="525"/>
        <v>1965000</v>
      </c>
      <c r="B607">
        <f t="shared" si="508"/>
        <v>1965</v>
      </c>
      <c r="C607">
        <f t="shared" si="477"/>
        <v>16.327977087357564</v>
      </c>
      <c r="D607">
        <f t="shared" si="478"/>
        <v>1.5095134010631606</v>
      </c>
      <c r="F607">
        <f t="shared" si="479"/>
        <v>6.6379281557038608E-6</v>
      </c>
      <c r="G607">
        <f t="shared" si="480"/>
        <v>8.7642013722120373E-4</v>
      </c>
      <c r="H607">
        <f t="shared" si="481"/>
        <v>-3.1407162298627789</v>
      </c>
      <c r="J607">
        <f t="shared" si="482"/>
        <v>15</v>
      </c>
      <c r="M607">
        <f t="shared" si="483"/>
        <v>7.6035825531963787E-4</v>
      </c>
      <c r="N607">
        <f t="shared" si="484"/>
        <v>-1.5707963250000001</v>
      </c>
      <c r="O607">
        <f t="shared" si="485"/>
        <v>502.52657385162217</v>
      </c>
      <c r="P607">
        <f t="shared" si="486"/>
        <v>1.5688063809651338</v>
      </c>
      <c r="Q607">
        <f t="shared" si="487"/>
        <v>425.32434561046557</v>
      </c>
      <c r="R607">
        <f t="shared" si="488"/>
        <v>1.5684451777679529</v>
      </c>
      <c r="S607">
        <f t="shared" si="489"/>
        <v>6.2230867031510095E-2</v>
      </c>
      <c r="T607">
        <f t="shared" si="490"/>
        <v>-1.5085252228887069</v>
      </c>
      <c r="U607">
        <f t="shared" si="491"/>
        <v>7.9675488538775513E-2</v>
      </c>
      <c r="V607">
        <f t="shared" si="492"/>
        <v>-1.4910362974231577</v>
      </c>
      <c r="X607">
        <f t="shared" si="509"/>
        <v>-57.654313675322648</v>
      </c>
      <c r="Y607">
        <f t="shared" si="493"/>
        <v>-175.57197963526917</v>
      </c>
      <c r="Z607">
        <f t="shared" si="510"/>
        <v>4.4280203647308269</v>
      </c>
      <c r="AC607">
        <v>1</v>
      </c>
      <c r="AD607">
        <f t="shared" si="494"/>
        <v>502.52557887837901</v>
      </c>
      <c r="AE607">
        <f t="shared" si="495"/>
        <v>-0.74452938163348226</v>
      </c>
      <c r="AF607">
        <f t="shared" si="496"/>
        <v>5.9509932931889997E-2</v>
      </c>
      <c r="AG607">
        <f t="shared" si="473"/>
        <v>52.271986090354822</v>
      </c>
      <c r="AH607">
        <f t="shared" si="474"/>
        <v>-670.77927186193665</v>
      </c>
      <c r="AJ607">
        <f t="shared" si="497"/>
        <v>22100</v>
      </c>
      <c r="AK607">
        <f t="shared" si="498"/>
        <v>354440.91361315461</v>
      </c>
      <c r="AL607">
        <v>1</v>
      </c>
      <c r="AM607">
        <f t="shared" si="499"/>
        <v>425.3231700354105</v>
      </c>
      <c r="AN607">
        <f t="shared" si="475"/>
        <v>833.4625044638733</v>
      </c>
      <c r="AO607">
        <f t="shared" si="476"/>
        <v>-50.00089107246513</v>
      </c>
      <c r="AQ607">
        <f t="shared" si="500"/>
        <v>6.4746287464063381E-4</v>
      </c>
      <c r="AR607">
        <f t="shared" si="501"/>
        <v>-2.5445290973376911</v>
      </c>
      <c r="AT607">
        <f t="shared" si="523"/>
        <v>-1706.78353097331</v>
      </c>
      <c r="AU607">
        <f t="shared" si="524"/>
        <v>-133.44189425814798</v>
      </c>
      <c r="AV607">
        <f t="shared" si="511"/>
        <v>-3.0635681171271001</v>
      </c>
      <c r="AW607">
        <f t="shared" si="512"/>
        <v>761.48414136317797</v>
      </c>
      <c r="AX607">
        <f t="shared" si="513"/>
        <v>-2978.1905570663466</v>
      </c>
      <c r="AY607">
        <f t="shared" si="521"/>
        <v>-1.3204725440266161</v>
      </c>
      <c r="BA607">
        <f t="shared" si="502"/>
        <v>0.55692646248990407</v>
      </c>
      <c r="BB607">
        <f t="shared" si="514"/>
        <v>-5.0840429203407957</v>
      </c>
      <c r="BC607">
        <f t="shared" si="515"/>
        <v>-1.743095573100484</v>
      </c>
      <c r="BD607">
        <f t="shared" si="503"/>
        <v>-279.87201974071559</v>
      </c>
      <c r="BF607">
        <f t="shared" si="504"/>
        <v>-60.862919141790101</v>
      </c>
      <c r="BG607">
        <f t="shared" si="505"/>
        <v>-193.3330574675295</v>
      </c>
      <c r="BH607">
        <f t="shared" si="516"/>
        <v>-13.3330574675295</v>
      </c>
      <c r="BI607">
        <f t="shared" si="517"/>
        <v>-13.3330574675295</v>
      </c>
      <c r="BJ607">
        <f t="shared" si="506"/>
        <v>0</v>
      </c>
      <c r="BK607">
        <f t="shared" si="518"/>
        <v>0</v>
      </c>
      <c r="BM607">
        <f t="shared" si="519"/>
        <v>-55.778876221449309</v>
      </c>
      <c r="BN607">
        <f t="shared" si="507"/>
        <v>-93.461037726813899</v>
      </c>
      <c r="BQ607" s="56">
        <f t="shared" si="520"/>
        <v>11.817917879944343</v>
      </c>
    </row>
    <row r="608" spans="1:69" x14ac:dyDescent="0.25">
      <c r="A608">
        <f t="shared" si="525"/>
        <v>1970000</v>
      </c>
      <c r="B608">
        <f t="shared" si="508"/>
        <v>1970</v>
      </c>
      <c r="C608">
        <f t="shared" si="477"/>
        <v>16.369368461261303</v>
      </c>
      <c r="D608">
        <f t="shared" si="478"/>
        <v>1.5096685538205974</v>
      </c>
      <c r="F608">
        <f t="shared" si="479"/>
        <v>6.6042756384631029E-6</v>
      </c>
      <c r="G608">
        <f t="shared" si="480"/>
        <v>8.7419569217225194E-4</v>
      </c>
      <c r="H608">
        <f t="shared" si="481"/>
        <v>-3.1407184543078279</v>
      </c>
      <c r="J608">
        <f t="shared" si="482"/>
        <v>15</v>
      </c>
      <c r="M608">
        <f t="shared" si="483"/>
        <v>7.584284120320245E-4</v>
      </c>
      <c r="N608">
        <f t="shared" si="484"/>
        <v>-1.5707963250000001</v>
      </c>
      <c r="O608">
        <f t="shared" si="485"/>
        <v>503.80526236671733</v>
      </c>
      <c r="P608">
        <f t="shared" si="486"/>
        <v>1.5688114315757846</v>
      </c>
      <c r="Q608">
        <f t="shared" si="487"/>
        <v>426.40658987877924</v>
      </c>
      <c r="R608">
        <f t="shared" si="488"/>
        <v>1.5684511451293621</v>
      </c>
      <c r="S608">
        <f t="shared" si="489"/>
        <v>6.2073530026563073E-2</v>
      </c>
      <c r="T608">
        <f t="shared" si="490"/>
        <v>-1.5086828646653057</v>
      </c>
      <c r="U608">
        <f t="shared" si="491"/>
        <v>7.9474545376994915E-2</v>
      </c>
      <c r="V608">
        <f t="shared" si="492"/>
        <v>-1.4912378798272099</v>
      </c>
      <c r="X608">
        <f t="shared" si="509"/>
        <v>-57.698318565006154</v>
      </c>
      <c r="Y608">
        <f t="shared" si="493"/>
        <v>-175.58316823456656</v>
      </c>
      <c r="Z608">
        <f t="shared" si="510"/>
        <v>4.416831765433443</v>
      </c>
      <c r="AC608">
        <v>1</v>
      </c>
      <c r="AD608">
        <f t="shared" si="494"/>
        <v>503.80426991878204</v>
      </c>
      <c r="AE608">
        <f t="shared" si="495"/>
        <v>-0.74832315578123043</v>
      </c>
      <c r="AF608">
        <f t="shared" si="496"/>
        <v>5.9661357697620002E-2</v>
      </c>
      <c r="AG608">
        <f t="shared" si="473"/>
        <v>52.008656600133016</v>
      </c>
      <c r="AH608">
        <f t="shared" si="474"/>
        <v>-669.09778079935165</v>
      </c>
      <c r="AJ608">
        <f t="shared" si="497"/>
        <v>22100</v>
      </c>
      <c r="AK608">
        <f t="shared" si="498"/>
        <v>355342.79888952395</v>
      </c>
      <c r="AL608">
        <v>1</v>
      </c>
      <c r="AM608">
        <f t="shared" si="499"/>
        <v>426.40541728740902</v>
      </c>
      <c r="AN608">
        <f t="shared" si="475"/>
        <v>833.46190847438208</v>
      </c>
      <c r="AO608">
        <f t="shared" si="476"/>
        <v>-49.873986655266584</v>
      </c>
      <c r="AQ608">
        <f t="shared" si="500"/>
        <v>6.4418043210463858E-4</v>
      </c>
      <c r="AR608">
        <f t="shared" si="501"/>
        <v>-2.5380709024922763</v>
      </c>
      <c r="AT608">
        <f t="shared" si="523"/>
        <v>-1698.1841054101078</v>
      </c>
      <c r="AU608">
        <f t="shared" si="524"/>
        <v>-132.43267769206605</v>
      </c>
      <c r="AV608">
        <f t="shared" si="511"/>
        <v>-3.0637652947400693</v>
      </c>
      <c r="AW608">
        <f t="shared" si="512"/>
        <v>761.85020081538994</v>
      </c>
      <c r="AX608">
        <f t="shared" si="513"/>
        <v>-2970.6519824981178</v>
      </c>
      <c r="AY608">
        <f t="shared" si="521"/>
        <v>-1.3197479786357353</v>
      </c>
      <c r="BA608">
        <f t="shared" si="502"/>
        <v>0.55541502200113735</v>
      </c>
      <c r="BB608">
        <f t="shared" si="514"/>
        <v>-5.1076475661129495</v>
      </c>
      <c r="BC608">
        <f t="shared" si="515"/>
        <v>-1.744017316104334</v>
      </c>
      <c r="BD608">
        <f t="shared" si="503"/>
        <v>-279.9248317246923</v>
      </c>
      <c r="BF608">
        <f t="shared" si="504"/>
        <v>-60.908680079584101</v>
      </c>
      <c r="BG608">
        <f t="shared" si="505"/>
        <v>-193.37710730462831</v>
      </c>
      <c r="BH608">
        <f t="shared" si="516"/>
        <v>-13.377107304628311</v>
      </c>
      <c r="BI608">
        <f t="shared" si="517"/>
        <v>-13.377107304628311</v>
      </c>
      <c r="BJ608">
        <f t="shared" si="506"/>
        <v>0</v>
      </c>
      <c r="BK608">
        <f t="shared" si="518"/>
        <v>0</v>
      </c>
      <c r="BM608">
        <f t="shared" si="519"/>
        <v>-55.801032513471149</v>
      </c>
      <c r="BN608">
        <f t="shared" si="507"/>
        <v>-93.452275579936014</v>
      </c>
      <c r="BQ608" s="56">
        <f t="shared" si="520"/>
        <v>11.794313234172186</v>
      </c>
    </row>
    <row r="609" spans="1:69" x14ac:dyDescent="0.25">
      <c r="A609">
        <f t="shared" si="525"/>
        <v>1975000</v>
      </c>
      <c r="B609">
        <f t="shared" si="508"/>
        <v>1975</v>
      </c>
      <c r="C609">
        <f t="shared" si="477"/>
        <v>16.410760227226916</v>
      </c>
      <c r="D609">
        <f t="shared" si="478"/>
        <v>1.509822923918831</v>
      </c>
      <c r="F609">
        <f t="shared" si="479"/>
        <v>6.5708783884166818E-6</v>
      </c>
      <c r="G609">
        <f t="shared" si="480"/>
        <v>8.7198251035151711E-4</v>
      </c>
      <c r="H609">
        <f t="shared" si="481"/>
        <v>-3.1407206674896488</v>
      </c>
      <c r="J609">
        <f t="shared" si="482"/>
        <v>15</v>
      </c>
      <c r="M609">
        <f t="shared" si="483"/>
        <v>7.565083401028295E-4</v>
      </c>
      <c r="N609">
        <f t="shared" si="484"/>
        <v>-1.5707963250000001</v>
      </c>
      <c r="O609">
        <f t="shared" si="485"/>
        <v>505.08395089459884</v>
      </c>
      <c r="P609">
        <f t="shared" si="486"/>
        <v>1.5688164566138239</v>
      </c>
      <c r="Q609">
        <f t="shared" si="487"/>
        <v>427.48883416220019</v>
      </c>
      <c r="R609">
        <f t="shared" si="488"/>
        <v>1.5684570822764492</v>
      </c>
      <c r="S609">
        <f t="shared" si="489"/>
        <v>6.1916985071903151E-2</v>
      </c>
      <c r="T609">
        <f t="shared" si="490"/>
        <v>-1.5088397113234602</v>
      </c>
      <c r="U609">
        <f t="shared" si="491"/>
        <v>7.9274610033599591E-2</v>
      </c>
      <c r="V609">
        <f t="shared" si="492"/>
        <v>-1.4914384479914329</v>
      </c>
      <c r="X609">
        <f t="shared" si="509"/>
        <v>-57.742212621044182</v>
      </c>
      <c r="Y609">
        <f t="shared" si="493"/>
        <v>-175.59430055936082</v>
      </c>
      <c r="Z609">
        <f t="shared" si="510"/>
        <v>4.4056994406391823</v>
      </c>
      <c r="AC609">
        <v>1</v>
      </c>
      <c r="AD609">
        <f t="shared" si="494"/>
        <v>505.08296095918502</v>
      </c>
      <c r="AE609">
        <f t="shared" si="495"/>
        <v>-0.75212657103227654</v>
      </c>
      <c r="AF609">
        <f t="shared" si="496"/>
        <v>5.9812782463349992E-2</v>
      </c>
      <c r="AG609">
        <f t="shared" si="473"/>
        <v>51.747307789662678</v>
      </c>
      <c r="AH609">
        <f t="shared" si="474"/>
        <v>-667.42464610222612</v>
      </c>
      <c r="AJ609">
        <f t="shared" si="497"/>
        <v>22100</v>
      </c>
      <c r="AK609">
        <f t="shared" si="498"/>
        <v>356244.6841658933</v>
      </c>
      <c r="AL609">
        <v>1</v>
      </c>
      <c r="AM609">
        <f t="shared" si="499"/>
        <v>427.48766453940755</v>
      </c>
      <c r="AN609">
        <f t="shared" si="475"/>
        <v>833.4613170056283</v>
      </c>
      <c r="AO609">
        <f t="shared" si="476"/>
        <v>-49.747724781504054</v>
      </c>
      <c r="AQ609">
        <f t="shared" si="500"/>
        <v>6.4092288793956816E-4</v>
      </c>
      <c r="AR609">
        <f t="shared" si="501"/>
        <v>-2.5316454073612942</v>
      </c>
      <c r="AT609">
        <f t="shared" si="523"/>
        <v>-1689.6493740304863</v>
      </c>
      <c r="AU609">
        <f t="shared" si="524"/>
        <v>-131.43360184067271</v>
      </c>
      <c r="AV609">
        <f t="shared" si="511"/>
        <v>-3.0639614804158488</v>
      </c>
      <c r="AW609">
        <f t="shared" si="512"/>
        <v>762.21346610195769</v>
      </c>
      <c r="AX609">
        <f t="shared" si="513"/>
        <v>-2963.1514258450352</v>
      </c>
      <c r="AY609">
        <f t="shared" si="521"/>
        <v>-1.3190239776944921</v>
      </c>
      <c r="BA609">
        <f t="shared" si="502"/>
        <v>0.55391098325879551</v>
      </c>
      <c r="BB609">
        <f t="shared" si="514"/>
        <v>-5.1312004666493909</v>
      </c>
      <c r="BC609">
        <f t="shared" si="515"/>
        <v>-1.7449375027213567</v>
      </c>
      <c r="BD609">
        <f t="shared" si="503"/>
        <v>-279.97755453427237</v>
      </c>
      <c r="BF609">
        <f t="shared" si="504"/>
        <v>-60.954332692167405</v>
      </c>
      <c r="BG609">
        <f t="shared" si="505"/>
        <v>-193.42111216506422</v>
      </c>
      <c r="BH609">
        <f t="shared" si="516"/>
        <v>-13.421112165064216</v>
      </c>
      <c r="BI609">
        <f t="shared" si="517"/>
        <v>-13.421112165064216</v>
      </c>
      <c r="BJ609">
        <f t="shared" si="506"/>
        <v>0</v>
      </c>
      <c r="BK609">
        <f t="shared" si="518"/>
        <v>0</v>
      </c>
      <c r="BM609">
        <f t="shared" si="519"/>
        <v>-55.823132225518009</v>
      </c>
      <c r="BN609">
        <f t="shared" si="507"/>
        <v>-93.443557630791872</v>
      </c>
      <c r="BQ609" s="56">
        <f t="shared" si="520"/>
        <v>11.770760333635746</v>
      </c>
    </row>
    <row r="610" spans="1:69" x14ac:dyDescent="0.25">
      <c r="A610">
        <f t="shared" si="525"/>
        <v>1980000</v>
      </c>
      <c r="B610">
        <f t="shared" si="508"/>
        <v>1980</v>
      </c>
      <c r="C610">
        <f t="shared" si="477"/>
        <v>16.452152382295246</v>
      </c>
      <c r="D610">
        <f t="shared" si="478"/>
        <v>1.5099765172577795</v>
      </c>
      <c r="F610">
        <f t="shared" si="479"/>
        <v>6.5377338303397951E-6</v>
      </c>
      <c r="G610">
        <f t="shared" si="480"/>
        <v>8.6978050642934617E-4</v>
      </c>
      <c r="H610">
        <f t="shared" si="481"/>
        <v>-3.1407228694935707</v>
      </c>
      <c r="J610">
        <f t="shared" si="482"/>
        <v>15</v>
      </c>
      <c r="M610">
        <f t="shared" si="483"/>
        <v>7.5459796550661018E-4</v>
      </c>
      <c r="N610">
        <f t="shared" si="484"/>
        <v>-1.5707963250000001</v>
      </c>
      <c r="O610">
        <f t="shared" si="485"/>
        <v>506.3626394351698</v>
      </c>
      <c r="P610">
        <f t="shared" si="486"/>
        <v>1.5688214562729823</v>
      </c>
      <c r="Q610">
        <f t="shared" si="487"/>
        <v>428.57107846061376</v>
      </c>
      <c r="R610">
        <f t="shared" si="488"/>
        <v>1.5684629894381086</v>
      </c>
      <c r="S610">
        <f t="shared" si="489"/>
        <v>6.1761226213144449E-2</v>
      </c>
      <c r="T610">
        <f t="shared" si="490"/>
        <v>-1.5089957688560434</v>
      </c>
      <c r="U610">
        <f t="shared" si="491"/>
        <v>7.9075674969600537E-2</v>
      </c>
      <c r="V610">
        <f t="shared" si="492"/>
        <v>-1.491638009535158</v>
      </c>
      <c r="X610">
        <f t="shared" si="509"/>
        <v>-57.785996398572848</v>
      </c>
      <c r="Y610">
        <f t="shared" si="493"/>
        <v>-175.60537703220763</v>
      </c>
      <c r="Z610">
        <f t="shared" si="510"/>
        <v>4.3946229677923725</v>
      </c>
      <c r="AC610">
        <v>1</v>
      </c>
      <c r="AD610">
        <f t="shared" si="494"/>
        <v>506.36165199958799</v>
      </c>
      <c r="AE610">
        <f t="shared" si="495"/>
        <v>-0.75593962738662057</v>
      </c>
      <c r="AF610">
        <f t="shared" si="496"/>
        <v>5.9964207229079997E-2</v>
      </c>
      <c r="AG610">
        <f t="shared" si="473"/>
        <v>51.48791988630731</v>
      </c>
      <c r="AH610">
        <f t="shared" si="474"/>
        <v>-665.75980603320681</v>
      </c>
      <c r="AJ610">
        <f t="shared" si="497"/>
        <v>22100</v>
      </c>
      <c r="AK610">
        <f t="shared" si="498"/>
        <v>357146.56944226264</v>
      </c>
      <c r="AL610">
        <v>1</v>
      </c>
      <c r="AM610">
        <f t="shared" si="499"/>
        <v>428.56991179140607</v>
      </c>
      <c r="AN610">
        <f t="shared" si="475"/>
        <v>833.46073001200568</v>
      </c>
      <c r="AO610">
        <f t="shared" si="476"/>
        <v>-49.62210058353061</v>
      </c>
      <c r="AQ610">
        <f t="shared" si="500"/>
        <v>6.3768999096457048E-4</v>
      </c>
      <c r="AR610">
        <f t="shared" si="501"/>
        <v>-2.5252523642196993</v>
      </c>
      <c r="AT610">
        <f t="shared" si="523"/>
        <v>-1681.1786908566369</v>
      </c>
      <c r="AU610">
        <f t="shared" si="524"/>
        <v>-130.4445397863459</v>
      </c>
      <c r="AV610">
        <f t="shared" si="511"/>
        <v>-3.0641566816048114</v>
      </c>
      <c r="AW610">
        <f t="shared" si="512"/>
        <v>762.57396562915039</v>
      </c>
      <c r="AX610">
        <f t="shared" si="513"/>
        <v>-2955.6886006056275</v>
      </c>
      <c r="AY610">
        <f t="shared" si="521"/>
        <v>-1.3183005391924794</v>
      </c>
      <c r="BA610">
        <f t="shared" si="502"/>
        <v>0.55241429103862072</v>
      </c>
      <c r="BB610">
        <f t="shared" si="514"/>
        <v>-5.1547018937243472</v>
      </c>
      <c r="BC610">
        <f t="shared" si="515"/>
        <v>-1.745856142412332</v>
      </c>
      <c r="BD610">
        <f t="shared" si="503"/>
        <v>-280.03018871151858</v>
      </c>
      <c r="BF610">
        <f t="shared" si="504"/>
        <v>-60.999877540568576</v>
      </c>
      <c r="BG610">
        <f t="shared" si="505"/>
        <v>-193.46507225774869</v>
      </c>
      <c r="BH610">
        <f t="shared" si="516"/>
        <v>-13.465072257748687</v>
      </c>
      <c r="BI610">
        <f t="shared" si="517"/>
        <v>-13.465072257748687</v>
      </c>
      <c r="BJ610">
        <f t="shared" si="506"/>
        <v>0</v>
      </c>
      <c r="BK610">
        <f t="shared" si="518"/>
        <v>0</v>
      </c>
      <c r="BM610">
        <f t="shared" si="519"/>
        <v>-55.845175646844226</v>
      </c>
      <c r="BN610">
        <f t="shared" si="507"/>
        <v>-93.434883546230083</v>
      </c>
      <c r="BQ610" s="56">
        <f t="shared" si="520"/>
        <v>11.74725890656079</v>
      </c>
    </row>
    <row r="611" spans="1:69" x14ac:dyDescent="0.25">
      <c r="A611">
        <f t="shared" si="525"/>
        <v>1985000</v>
      </c>
      <c r="B611">
        <f t="shared" si="508"/>
        <v>1985</v>
      </c>
      <c r="C611">
        <f t="shared" si="477"/>
        <v>16.493544923536824</v>
      </c>
      <c r="D611">
        <f t="shared" si="478"/>
        <v>1.5101293396782822</v>
      </c>
      <c r="F611">
        <f t="shared" si="479"/>
        <v>6.5048394214007141E-6</v>
      </c>
      <c r="G611">
        <f t="shared" si="480"/>
        <v>8.6758959593585751E-4</v>
      </c>
      <c r="H611">
        <f t="shared" si="481"/>
        <v>-3.1407250604040642</v>
      </c>
      <c r="J611">
        <f t="shared" si="482"/>
        <v>15</v>
      </c>
      <c r="M611">
        <f t="shared" si="483"/>
        <v>7.5269721496377257E-4</v>
      </c>
      <c r="N611">
        <f t="shared" si="484"/>
        <v>-1.5707963250000001</v>
      </c>
      <c r="O611">
        <f t="shared" si="485"/>
        <v>507.64132798833441</v>
      </c>
      <c r="P611">
        <f t="shared" si="486"/>
        <v>1.568826430745039</v>
      </c>
      <c r="Q611">
        <f t="shared" si="487"/>
        <v>429.65332277390689</v>
      </c>
      <c r="R611">
        <f t="shared" si="488"/>
        <v>1.5684688668409286</v>
      </c>
      <c r="S611">
        <f t="shared" si="489"/>
        <v>6.1606247555321153E-2</v>
      </c>
      <c r="T611">
        <f t="shared" si="490"/>
        <v>-1.5091510431959299</v>
      </c>
      <c r="U611">
        <f t="shared" si="491"/>
        <v>7.8877732720775237E-2</v>
      </c>
      <c r="V611">
        <f t="shared" si="492"/>
        <v>-1.4918365720017484</v>
      </c>
      <c r="X611">
        <f t="shared" si="509"/>
        <v>-57.829670448581034</v>
      </c>
      <c r="Y611">
        <f t="shared" si="493"/>
        <v>-175.61639807145227</v>
      </c>
      <c r="Z611">
        <f t="shared" si="510"/>
        <v>4.3836019285477335</v>
      </c>
      <c r="AC611">
        <v>1</v>
      </c>
      <c r="AD611">
        <f t="shared" si="494"/>
        <v>507.64034303999102</v>
      </c>
      <c r="AE611">
        <f t="shared" si="495"/>
        <v>-0.75976232484426254</v>
      </c>
      <c r="AF611">
        <f t="shared" si="496"/>
        <v>6.0115631994809994E-2</v>
      </c>
      <c r="AG611">
        <f t="shared" si="473"/>
        <v>51.230473363027492</v>
      </c>
      <c r="AH611">
        <f t="shared" si="474"/>
        <v>-664.10319945754759</v>
      </c>
      <c r="AJ611">
        <f t="shared" si="497"/>
        <v>22100</v>
      </c>
      <c r="AK611">
        <f t="shared" si="498"/>
        <v>358048.45471863198</v>
      </c>
      <c r="AL611">
        <v>1</v>
      </c>
      <c r="AM611">
        <f t="shared" si="499"/>
        <v>429.65215904340454</v>
      </c>
      <c r="AN611">
        <f t="shared" si="475"/>
        <v>833.4601474484823</v>
      </c>
      <c r="AO611">
        <f t="shared" si="476"/>
        <v>-49.497109242742376</v>
      </c>
      <c r="AQ611">
        <f t="shared" si="500"/>
        <v>6.344814931582909E-4</v>
      </c>
      <c r="AR611">
        <f t="shared" si="501"/>
        <v>-2.5188915278384147</v>
      </c>
      <c r="AT611">
        <f t="shared" si="523"/>
        <v>-1672.771417936767</v>
      </c>
      <c r="AU611">
        <f t="shared" si="524"/>
        <v>-129.46536651088456</v>
      </c>
      <c r="AV611">
        <f t="shared" si="511"/>
        <v>-3.0643509056830642</v>
      </c>
      <c r="AW611">
        <f t="shared" si="512"/>
        <v>762.93172744267758</v>
      </c>
      <c r="AX611">
        <f t="shared" si="513"/>
        <v>-2948.263223146364</v>
      </c>
      <c r="AY611">
        <f t="shared" si="521"/>
        <v>-1.3175776611435037</v>
      </c>
      <c r="BA611">
        <f t="shared" si="502"/>
        <v>0.55092489066734551</v>
      </c>
      <c r="BB611">
        <f t="shared" si="514"/>
        <v>-5.1781521170541254</v>
      </c>
      <c r="BC611">
        <f t="shared" si="515"/>
        <v>-1.7467732445395605</v>
      </c>
      <c r="BD611">
        <f t="shared" si="503"/>
        <v>-280.08273479285128</v>
      </c>
      <c r="BF611">
        <f t="shared" si="504"/>
        <v>-61.045315181538349</v>
      </c>
      <c r="BG611">
        <f t="shared" si="505"/>
        <v>-193.50898778928629</v>
      </c>
      <c r="BH611">
        <f t="shared" si="516"/>
        <v>-13.508987789286294</v>
      </c>
      <c r="BI611">
        <f t="shared" si="517"/>
        <v>-13.508987789286294</v>
      </c>
      <c r="BJ611">
        <f t="shared" si="506"/>
        <v>0</v>
      </c>
      <c r="BK611">
        <f t="shared" si="518"/>
        <v>0</v>
      </c>
      <c r="BM611">
        <f t="shared" si="519"/>
        <v>-55.867163064484224</v>
      </c>
      <c r="BN611">
        <f t="shared" si="507"/>
        <v>-93.426252996435011</v>
      </c>
      <c r="BQ611" s="56">
        <f t="shared" si="520"/>
        <v>11.723808683231011</v>
      </c>
    </row>
    <row r="612" spans="1:69" x14ac:dyDescent="0.25">
      <c r="A612">
        <f t="shared" si="525"/>
        <v>1990000</v>
      </c>
      <c r="B612">
        <f t="shared" si="508"/>
        <v>1990</v>
      </c>
      <c r="C612">
        <f t="shared" si="477"/>
        <v>16.534937848051484</v>
      </c>
      <c r="D612">
        <f t="shared" si="478"/>
        <v>1.5102813969628364</v>
      </c>
      <c r="F612">
        <f t="shared" si="479"/>
        <v>6.4721926506730336E-6</v>
      </c>
      <c r="G612">
        <f t="shared" si="480"/>
        <v>8.6540969525014026E-4</v>
      </c>
      <c r="H612">
        <f t="shared" si="481"/>
        <v>-3.1407272403047499</v>
      </c>
      <c r="J612">
        <f t="shared" si="482"/>
        <v>15</v>
      </c>
      <c r="M612">
        <f t="shared" si="483"/>
        <v>7.5080601593120017E-4</v>
      </c>
      <c r="N612">
        <f t="shared" si="484"/>
        <v>-1.5707963250000001</v>
      </c>
      <c r="O612">
        <f t="shared" si="485"/>
        <v>508.92001655399758</v>
      </c>
      <c r="P612">
        <f t="shared" si="486"/>
        <v>1.5688313802198455</v>
      </c>
      <c r="Q612">
        <f t="shared" si="487"/>
        <v>430.73556710196726</v>
      </c>
      <c r="R612">
        <f t="shared" si="488"/>
        <v>1.5684747147092208</v>
      </c>
      <c r="S612">
        <f t="shared" si="489"/>
        <v>6.1452043262149585E-2</v>
      </c>
      <c r="T612">
        <f t="shared" si="490"/>
        <v>-1.5093055402167448</v>
      </c>
      <c r="U612">
        <f t="shared" si="491"/>
        <v>7.8680775896745991E-2</v>
      </c>
      <c r="V612">
        <f t="shared" si="492"/>
        <v>-1.4920341428595409</v>
      </c>
      <c r="X612">
        <f t="shared" si="509"/>
        <v>-57.873235317951519</v>
      </c>
      <c r="Y612">
        <f t="shared" si="493"/>
        <v>-175.62736409128149</v>
      </c>
      <c r="Z612">
        <f t="shared" si="510"/>
        <v>4.3726359087185074</v>
      </c>
      <c r="AC612">
        <v>1</v>
      </c>
      <c r="AD612">
        <f t="shared" si="494"/>
        <v>508.919034080394</v>
      </c>
      <c r="AE612">
        <f t="shared" si="495"/>
        <v>-0.76359466340520255</v>
      </c>
      <c r="AF612">
        <f t="shared" si="496"/>
        <v>6.0267056760539998E-2</v>
      </c>
      <c r="AG612">
        <f t="shared" si="473"/>
        <v>50.974948934736958</v>
      </c>
      <c r="AH612">
        <f t="shared" si="474"/>
        <v>-662.45476583582433</v>
      </c>
      <c r="AJ612">
        <f t="shared" si="497"/>
        <v>22100</v>
      </c>
      <c r="AK612">
        <f t="shared" si="498"/>
        <v>358950.33999500133</v>
      </c>
      <c r="AL612">
        <v>1</v>
      </c>
      <c r="AM612">
        <f t="shared" si="499"/>
        <v>430.73440629540306</v>
      </c>
      <c r="AN612">
        <f t="shared" si="475"/>
        <v>833.4595692705908</v>
      </c>
      <c r="AO612">
        <f t="shared" si="476"/>
        <v>-49.372745988962272</v>
      </c>
      <c r="AQ612">
        <f t="shared" si="500"/>
        <v>6.3129714961130084E-4</v>
      </c>
      <c r="AR612">
        <f t="shared" si="501"/>
        <v>-2.5125626554529776</v>
      </c>
      <c r="AT612">
        <f t="shared" si="523"/>
        <v>-1664.4269252259753</v>
      </c>
      <c r="AU612">
        <f t="shared" si="524"/>
        <v>-128.49595886246121</v>
      </c>
      <c r="AV612">
        <f t="shared" si="511"/>
        <v>-3.0645441599533689</v>
      </c>
      <c r="AW612">
        <f t="shared" si="512"/>
        <v>763.28677923317241</v>
      </c>
      <c r="AX612">
        <f t="shared" si="513"/>
        <v>-2940.8750126658979</v>
      </c>
      <c r="AY612">
        <f t="shared" si="521"/>
        <v>-1.3168553415852553</v>
      </c>
      <c r="BA612">
        <f t="shared" si="502"/>
        <v>0.54944272801585337</v>
      </c>
      <c r="BB612">
        <f t="shared" si="514"/>
        <v>-5.2015514043173567</v>
      </c>
      <c r="BC612">
        <f t="shared" si="515"/>
        <v>-1.7476888183681136</v>
      </c>
      <c r="BD612">
        <f t="shared" si="503"/>
        <v>-280.13519330911993</v>
      </c>
      <c r="BF612">
        <f t="shared" si="504"/>
        <v>-61.090646167592666</v>
      </c>
      <c r="BG612">
        <f t="shared" si="505"/>
        <v>-193.55285896400505</v>
      </c>
      <c r="BH612">
        <f t="shared" si="516"/>
        <v>-13.552858964005054</v>
      </c>
      <c r="BI612">
        <f t="shared" si="517"/>
        <v>-13.552858964005054</v>
      </c>
      <c r="BJ612">
        <f t="shared" si="506"/>
        <v>0</v>
      </c>
      <c r="BK612">
        <f t="shared" si="518"/>
        <v>0</v>
      </c>
      <c r="BM612">
        <f t="shared" si="519"/>
        <v>-55.88909476327531</v>
      </c>
      <c r="BN612">
        <f t="shared" si="507"/>
        <v>-93.417665654885084</v>
      </c>
      <c r="BQ612" s="56">
        <f t="shared" si="520"/>
        <v>11.700409395967778</v>
      </c>
    </row>
    <row r="613" spans="1:69" x14ac:dyDescent="0.25">
      <c r="A613">
        <f t="shared" si="525"/>
        <v>1995000</v>
      </c>
      <c r="B613">
        <f t="shared" si="508"/>
        <v>1995</v>
      </c>
      <c r="C613">
        <f t="shared" si="477"/>
        <v>16.576331152967995</v>
      </c>
      <c r="D613">
        <f t="shared" si="478"/>
        <v>1.5104326948363225</v>
      </c>
      <c r="F613">
        <f t="shared" si="479"/>
        <v>6.4397910386565044E-6</v>
      </c>
      <c r="G613">
        <f t="shared" si="480"/>
        <v>8.6324072158961449E-4</v>
      </c>
      <c r="H613">
        <f t="shared" si="481"/>
        <v>-3.1407294092784106</v>
      </c>
      <c r="J613">
        <f t="shared" si="482"/>
        <v>15</v>
      </c>
      <c r="M613">
        <f t="shared" si="483"/>
        <v>7.4892429659302671E-4</v>
      </c>
      <c r="N613">
        <f t="shared" si="484"/>
        <v>-1.5707963250000001</v>
      </c>
      <c r="O613">
        <f t="shared" si="485"/>
        <v>510.19870513206547</v>
      </c>
      <c r="P613">
        <f t="shared" si="486"/>
        <v>1.5688363048853498</v>
      </c>
      <c r="Q613">
        <f t="shared" si="487"/>
        <v>431.81781144468397</v>
      </c>
      <c r="R613">
        <f t="shared" si="488"/>
        <v>1.5684805332650475</v>
      </c>
      <c r="S613">
        <f t="shared" si="489"/>
        <v>6.1298607555301074E-2</v>
      </c>
      <c r="T613">
        <f t="shared" si="490"/>
        <v>-1.5094592657336015</v>
      </c>
      <c r="U613">
        <f t="shared" si="491"/>
        <v>7.8484797180071869E-2</v>
      </c>
      <c r="V613">
        <f t="shared" si="492"/>
        <v>-1.4922307295027757</v>
      </c>
      <c r="X613">
        <f t="shared" si="509"/>
        <v>-57.916691549501522</v>
      </c>
      <c r="Y613">
        <f t="shared" si="493"/>
        <v>-175.63827550177524</v>
      </c>
      <c r="Z613">
        <f t="shared" si="510"/>
        <v>4.3617244982247598</v>
      </c>
      <c r="AC613">
        <v>1</v>
      </c>
      <c r="AD613">
        <f t="shared" si="494"/>
        <v>510.19772512079703</v>
      </c>
      <c r="AE613">
        <f t="shared" si="495"/>
        <v>-0.76743664306944048</v>
      </c>
      <c r="AF613">
        <f t="shared" si="496"/>
        <v>6.0418481526269996E-2</v>
      </c>
      <c r="AG613">
        <f t="shared" si="473"/>
        <v>50.721327554721675</v>
      </c>
      <c r="AH613">
        <f t="shared" si="474"/>
        <v>-660.81444521675905</v>
      </c>
      <c r="AJ613">
        <f t="shared" si="497"/>
        <v>22100</v>
      </c>
      <c r="AK613">
        <f t="shared" si="498"/>
        <v>359852.22527137073</v>
      </c>
      <c r="AL613">
        <v>1</v>
      </c>
      <c r="AM613">
        <f t="shared" si="499"/>
        <v>431.81665354740159</v>
      </c>
      <c r="AN613">
        <f t="shared" si="475"/>
        <v>833.45899543442056</v>
      </c>
      <c r="AO613">
        <f t="shared" si="476"/>
        <v>-49.249006099833288</v>
      </c>
      <c r="AQ613">
        <f t="shared" si="500"/>
        <v>6.2813671847936146E-4</v>
      </c>
      <c r="AR613">
        <f t="shared" si="501"/>
        <v>-2.5062655067326518</v>
      </c>
      <c r="AT613">
        <f t="shared" si="523"/>
        <v>-1656.1445904691898</v>
      </c>
      <c r="AU613">
        <f t="shared" si="524"/>
        <v>-127.53619552322954</v>
      </c>
      <c r="AV613">
        <f t="shared" si="511"/>
        <v>-3.0647364516460507</v>
      </c>
      <c r="AW613">
        <f t="shared" si="512"/>
        <v>763.63914834158106</v>
      </c>
      <c r="AX613">
        <f t="shared" si="513"/>
        <v>-2933.5236911598504</v>
      </c>
      <c r="AY613">
        <f t="shared" si="521"/>
        <v>-1.3161335785789823</v>
      </c>
      <c r="BA613">
        <f t="shared" si="502"/>
        <v>0.54796774949244176</v>
      </c>
      <c r="BB613">
        <f t="shared" si="514"/>
        <v>-5.2249000211749994</v>
      </c>
      <c r="BC613">
        <f t="shared" si="515"/>
        <v>-1.7486028730670684</v>
      </c>
      <c r="BD613">
        <f t="shared" si="503"/>
        <v>-280.187564785674</v>
      </c>
      <c r="BF613">
        <f t="shared" si="504"/>
        <v>-61.135871047055083</v>
      </c>
      <c r="BG613">
        <f t="shared" si="505"/>
        <v>-193.59668598398591</v>
      </c>
      <c r="BH613">
        <f t="shared" si="516"/>
        <v>-13.596685983985907</v>
      </c>
      <c r="BI613">
        <f t="shared" si="517"/>
        <v>-13.596685983985907</v>
      </c>
      <c r="BJ613">
        <f t="shared" si="506"/>
        <v>0</v>
      </c>
      <c r="BK613">
        <f t="shared" si="518"/>
        <v>0</v>
      </c>
      <c r="BM613">
        <f t="shared" si="519"/>
        <v>-55.91097102588008</v>
      </c>
      <c r="BN613">
        <f t="shared" si="507"/>
        <v>-93.409121198311908</v>
      </c>
      <c r="BQ613" s="56">
        <f t="shared" si="520"/>
        <v>11.677060779110137</v>
      </c>
    </row>
    <row r="614" spans="1:69" x14ac:dyDescent="0.25">
      <c r="A614">
        <f t="shared" si="525"/>
        <v>2000000</v>
      </c>
      <c r="B614">
        <f t="shared" si="508"/>
        <v>2000</v>
      </c>
      <c r="C614">
        <f t="shared" si="477"/>
        <v>16.61772483544372</v>
      </c>
      <c r="D614">
        <f t="shared" si="478"/>
        <v>1.5105832389667202</v>
      </c>
      <c r="F614">
        <f t="shared" si="479"/>
        <v>6.4076321368062119E-6</v>
      </c>
      <c r="G614">
        <f t="shared" si="480"/>
        <v>8.6108259299955158E-4</v>
      </c>
      <c r="H614">
        <f t="shared" si="481"/>
        <v>-3.1407315674070007</v>
      </c>
      <c r="J614">
        <f t="shared" si="482"/>
        <v>15</v>
      </c>
      <c r="M614">
        <f t="shared" si="483"/>
        <v>7.4705198585154416E-4</v>
      </c>
      <c r="N614">
        <f t="shared" si="484"/>
        <v>-1.5707963250000001</v>
      </c>
      <c r="O614">
        <f t="shared" si="485"/>
        <v>511.47739372244496</v>
      </c>
      <c r="P614">
        <f t="shared" si="486"/>
        <v>1.568841204927621</v>
      </c>
      <c r="Q614">
        <f t="shared" si="487"/>
        <v>432.90005580194696</v>
      </c>
      <c r="R614">
        <f t="shared" si="488"/>
        <v>1.5684863227282508</v>
      </c>
      <c r="S614">
        <f t="shared" si="489"/>
        <v>6.114593471368597E-2</v>
      </c>
      <c r="T614">
        <f t="shared" si="490"/>
        <v>-1.5096122255038253</v>
      </c>
      <c r="U614">
        <f t="shared" si="491"/>
        <v>7.8289789325354187E-2</v>
      </c>
      <c r="V614">
        <f t="shared" si="492"/>
        <v>-1.4924263392525097</v>
      </c>
      <c r="X614">
        <f t="shared" si="509"/>
        <v>-57.960039682022789</v>
      </c>
      <c r="Y614">
        <f t="shared" si="493"/>
        <v>-175.64913270895696</v>
      </c>
      <c r="Z614">
        <f t="shared" si="510"/>
        <v>4.3508672910430448</v>
      </c>
      <c r="AC614">
        <v>1</v>
      </c>
      <c r="AD614">
        <f t="shared" si="494"/>
        <v>511.47641616120001</v>
      </c>
      <c r="AE614">
        <f t="shared" si="495"/>
        <v>-0.77128826383697646</v>
      </c>
      <c r="AF614">
        <f t="shared" si="496"/>
        <v>6.0569906292E-2</v>
      </c>
      <c r="AG614">
        <f t="shared" si="473"/>
        <v>50.469590411120137</v>
      </c>
      <c r="AH614">
        <f t="shared" si="474"/>
        <v>-659.18217823014231</v>
      </c>
      <c r="AJ614">
        <f t="shared" si="497"/>
        <v>22100</v>
      </c>
      <c r="AK614">
        <f t="shared" si="498"/>
        <v>360754.11054774007</v>
      </c>
      <c r="AL614">
        <v>1</v>
      </c>
      <c r="AM614">
        <f t="shared" si="499"/>
        <v>432.89890079940011</v>
      </c>
      <c r="AN614">
        <f t="shared" si="475"/>
        <v>833.45842589660901</v>
      </c>
      <c r="AO614">
        <f t="shared" si="476"/>
        <v>-49.125884900220704</v>
      </c>
      <c r="AQ614">
        <f t="shared" si="500"/>
        <v>6.2499996093750242E-4</v>
      </c>
      <c r="AR614">
        <f t="shared" si="501"/>
        <v>-2.4999998437500097</v>
      </c>
      <c r="AT614">
        <f t="shared" si="523"/>
        <v>-1647.9237990861113</v>
      </c>
      <c r="AU614">
        <f t="shared" si="524"/>
        <v>-126.58595697757187</v>
      </c>
      <c r="AV614">
        <f t="shared" si="511"/>
        <v>-3.0649277879198902</v>
      </c>
      <c r="AW614">
        <f t="shared" si="512"/>
        <v>763.98886176445444</v>
      </c>
      <c r="AX614">
        <f t="shared" si="513"/>
        <v>-2926.2089833861114</v>
      </c>
      <c r="AY614">
        <f t="shared" si="521"/>
        <v>-1.3154123702091702</v>
      </c>
      <c r="BA614">
        <f t="shared" si="502"/>
        <v>0.54649990203618448</v>
      </c>
      <c r="BB614">
        <f t="shared" si="514"/>
        <v>-5.2481982312900808</v>
      </c>
      <c r="BC614">
        <f t="shared" si="515"/>
        <v>-1.7495154177107199</v>
      </c>
      <c r="BD614">
        <f t="shared" si="503"/>
        <v>-280.23984974243228</v>
      </c>
      <c r="BF614">
        <f t="shared" si="504"/>
        <v>-61.180990364098626</v>
      </c>
      <c r="BG614">
        <f t="shared" si="505"/>
        <v>-193.64046904909202</v>
      </c>
      <c r="BH614">
        <f t="shared" si="516"/>
        <v>-13.640469049092019</v>
      </c>
      <c r="BI614">
        <f t="shared" si="517"/>
        <v>-13.640469049092019</v>
      </c>
      <c r="BJ614">
        <f t="shared" si="506"/>
        <v>0</v>
      </c>
      <c r="BK614">
        <f t="shared" si="518"/>
        <v>0</v>
      </c>
      <c r="BM614">
        <f t="shared" si="519"/>
        <v>-55.932792132808544</v>
      </c>
      <c r="BN614">
        <f t="shared" si="507"/>
        <v>-93.400619306659777</v>
      </c>
      <c r="BQ614" s="56">
        <f t="shared" si="520"/>
        <v>11.653762568995056</v>
      </c>
    </row>
    <row r="615" spans="1:69" x14ac:dyDescent="0.25">
      <c r="A615">
        <f>A614+250000</f>
        <v>2250000</v>
      </c>
      <c r="B615">
        <f t="shared" si="508"/>
        <v>2250</v>
      </c>
      <c r="C615">
        <f t="shared" si="477"/>
        <v>18.68783489466993</v>
      </c>
      <c r="D615">
        <f t="shared" ref="D615:D626" si="526">ATAN(A615/Fesr)</f>
        <v>1.5172600099901654</v>
      </c>
      <c r="F615">
        <f t="shared" si="479"/>
        <v>5.0628139991186089E-6</v>
      </c>
      <c r="G615">
        <f t="shared" ref="G615:G626" si="527">-ATAN(A615*Fo/(Q*(Fo^2-A615^2)))</f>
        <v>7.6540575365440715E-4</v>
      </c>
      <c r="H615">
        <f t="shared" si="481"/>
        <v>-3.1408272442463456</v>
      </c>
      <c r="J615">
        <f t="shared" si="482"/>
        <v>15</v>
      </c>
      <c r="M615">
        <f t="shared" ref="M615:M626" si="528">1/(2*Pi*_Rfb1*(Cc1ea_u+Cc2ea_u)*A615)</f>
        <v>6.6404620964581704E-4</v>
      </c>
      <c r="N615">
        <f t="shared" si="484"/>
        <v>-1.5707963250000001</v>
      </c>
      <c r="O615">
        <f t="shared" ref="O615:O626" si="529">SQRT(1+(A615/Fz1_u)^2)</f>
        <v>575.41183712485315</v>
      </c>
      <c r="P615">
        <f t="shared" si="486"/>
        <v>1.56905844022591</v>
      </c>
      <c r="Q615">
        <f t="shared" ref="Q615:Q626" si="530">SQRT(1+(A615/Fz2_u)^2)</f>
        <v>487.01229006854311</v>
      </c>
      <c r="R615">
        <f t="shared" si="488"/>
        <v>1.5687429890802387</v>
      </c>
      <c r="S615">
        <f t="shared" ref="S615:S626" si="531">1/SQRT(1+(A615/Fp1_u)^2)</f>
        <v>5.4373279285813481E-2</v>
      </c>
      <c r="T615">
        <f t="shared" si="490"/>
        <v>-1.5163962197900505</v>
      </c>
      <c r="U615">
        <f t="shared" si="491"/>
        <v>6.9635727764473201E-2</v>
      </c>
      <c r="V615">
        <f t="shared" si="492"/>
        <v>-1.5011041970322068</v>
      </c>
      <c r="X615">
        <f t="shared" ref="X615:X626" si="532">20*LOG(C615*J615*O615*Q615*F615*M615*S615*U615)</f>
        <v>-60.000462401998007</v>
      </c>
      <c r="Y615">
        <f t="shared" ref="Y615:Y626" si="533">(180/Pi)*(D615+H615+N615+P615+R615+T615+V615)</f>
        <v>-176.13081009054812</v>
      </c>
      <c r="Z615">
        <f t="shared" si="510"/>
        <v>3.869189909451876</v>
      </c>
      <c r="AC615">
        <v>1</v>
      </c>
      <c r="AD615">
        <f t="shared" si="494"/>
        <v>575.41096818134997</v>
      </c>
      <c r="AE615">
        <f t="shared" si="495"/>
        <v>-0.97616170891867304</v>
      </c>
      <c r="AF615">
        <f t="shared" si="496"/>
        <v>6.8141144578499999E-2</v>
      </c>
      <c r="AG615">
        <f t="shared" si="473"/>
        <v>39.928571129956936</v>
      </c>
      <c r="AH615">
        <f t="shared" si="474"/>
        <v>-586.67553173905867</v>
      </c>
      <c r="AJ615">
        <f t="shared" si="497"/>
        <v>22100</v>
      </c>
      <c r="AK615">
        <f t="shared" si="498"/>
        <v>405848.37436620751</v>
      </c>
      <c r="AL615">
        <v>1</v>
      </c>
      <c r="AM615">
        <f t="shared" si="499"/>
        <v>487.011263399325</v>
      </c>
      <c r="AN615">
        <f t="shared" si="475"/>
        <v>833.43460895594353</v>
      </c>
      <c r="AO615">
        <f t="shared" si="476"/>
        <v>-43.667502148931881</v>
      </c>
      <c r="AQ615">
        <f t="shared" si="500"/>
        <v>4.9382713610730193E-4</v>
      </c>
      <c r="AR615">
        <f t="shared" si="501"/>
        <v>-2.2222221124828585</v>
      </c>
      <c r="AT615">
        <f t="shared" si="523"/>
        <v>-1303.7036216712454</v>
      </c>
      <c r="AU615">
        <f t="shared" si="524"/>
        <v>-89.019869982497909</v>
      </c>
      <c r="AV615">
        <f t="shared" si="511"/>
        <v>-3.0734161881775255</v>
      </c>
      <c r="AW615">
        <f t="shared" si="512"/>
        <v>778.59867783851291</v>
      </c>
      <c r="AX615">
        <f t="shared" si="513"/>
        <v>-2601.7856956976907</v>
      </c>
      <c r="AY615">
        <f t="shared" si="521"/>
        <v>-1.2800227002213891</v>
      </c>
      <c r="BA615">
        <f t="shared" si="502"/>
        <v>0.48116395897058967</v>
      </c>
      <c r="BB615">
        <f t="shared" si="514"/>
        <v>-6.3541382087882292</v>
      </c>
      <c r="BC615">
        <f t="shared" si="515"/>
        <v>-1.7933934879561364</v>
      </c>
      <c r="BD615">
        <f t="shared" si="503"/>
        <v>-282.75387798354586</v>
      </c>
      <c r="BF615">
        <f t="shared" si="504"/>
        <v>-63.31329381187895</v>
      </c>
      <c r="BG615">
        <f t="shared" si="505"/>
        <v>-195.77742836844774</v>
      </c>
      <c r="BH615">
        <f t="shared" si="516"/>
        <v>-15.777428368447744</v>
      </c>
      <c r="BI615">
        <f t="shared" si="517"/>
        <v>-15.777428368447744</v>
      </c>
      <c r="BJ615">
        <f t="shared" si="506"/>
        <v>0</v>
      </c>
      <c r="BK615">
        <f t="shared" si="518"/>
        <v>0</v>
      </c>
      <c r="BM615">
        <f t="shared" si="519"/>
        <v>-56.959155603090721</v>
      </c>
      <c r="BN615">
        <f t="shared" si="507"/>
        <v>-93.023550384901881</v>
      </c>
      <c r="BQ615" s="56">
        <f t="shared" si="520"/>
        <v>10.547822591496907</v>
      </c>
    </row>
    <row r="616" spans="1:69" x14ac:dyDescent="0.25">
      <c r="A616">
        <f t="shared" ref="A616:A626" si="534">A615+250000</f>
        <v>2500000</v>
      </c>
      <c r="B616">
        <f t="shared" si="508"/>
        <v>2500</v>
      </c>
      <c r="C616">
        <f t="shared" si="477"/>
        <v>20.758611869027806</v>
      </c>
      <c r="D616">
        <f t="shared" si="526"/>
        <v>1.5226048976093813</v>
      </c>
      <c r="F616">
        <f t="shared" si="479"/>
        <v>4.1008755995430295E-6</v>
      </c>
      <c r="G616">
        <f t="shared" si="527"/>
        <v>6.8886453730764464E-4</v>
      </c>
      <c r="H616">
        <f t="shared" si="481"/>
        <v>-3.1409037854626924</v>
      </c>
      <c r="J616">
        <f t="shared" si="482"/>
        <v>15</v>
      </c>
      <c r="M616">
        <f t="shared" si="528"/>
        <v>5.9764158868123537E-4</v>
      </c>
      <c r="N616">
        <f t="shared" si="484"/>
        <v>-1.5707963250000001</v>
      </c>
      <c r="O616">
        <f t="shared" si="529"/>
        <v>639.34630225076489</v>
      </c>
      <c r="P616">
        <f t="shared" si="486"/>
        <v>1.5692322285836242</v>
      </c>
      <c r="Q616">
        <f t="shared" si="530"/>
        <v>541.12455000173134</v>
      </c>
      <c r="R616">
        <f t="shared" si="488"/>
        <v>1.5689483223582401</v>
      </c>
      <c r="S616">
        <f t="shared" si="531"/>
        <v>4.8949701452489204E-2</v>
      </c>
      <c r="T616">
        <f t="shared" si="490"/>
        <v>-1.5218270563899434</v>
      </c>
      <c r="U616">
        <f t="shared" si="491"/>
        <v>6.2701045996127872E-2</v>
      </c>
      <c r="V616">
        <f t="shared" si="492"/>
        <v>-1.5080541239082392</v>
      </c>
      <c r="X616">
        <f t="shared" si="532"/>
        <v>-61.826695936233989</v>
      </c>
      <c r="Y616">
        <f t="shared" si="533"/>
        <v>-176.5165995017633</v>
      </c>
      <c r="Z616">
        <f t="shared" si="510"/>
        <v>3.4834004982367048</v>
      </c>
      <c r="AC616">
        <v>1</v>
      </c>
      <c r="AD616">
        <f t="shared" si="494"/>
        <v>639.34552020149999</v>
      </c>
      <c r="AE616">
        <f t="shared" si="495"/>
        <v>-1.2051379122452757</v>
      </c>
      <c r="AF616">
        <f t="shared" si="496"/>
        <v>7.5712382864999997E-2</v>
      </c>
      <c r="AG616">
        <f t="shared" ref="AG616:AG626" si="535">AC616*AE616/(AE616^2+AF616^2)+AD616*AF616/(AE616^2+AF616^2)</f>
        <v>32.371968060924935</v>
      </c>
      <c r="AH616">
        <f t="shared" ref="AH616:AH626" si="536">AD616*AE616/(AE616^2+AF616^2)-AC616*AF616/(AE616^2+AF616^2)</f>
        <v>-528.48271960425529</v>
      </c>
      <c r="AJ616">
        <f t="shared" si="497"/>
        <v>22100</v>
      </c>
      <c r="AK616">
        <f t="shared" si="498"/>
        <v>450942.63818467502</v>
      </c>
      <c r="AL616">
        <v>1</v>
      </c>
      <c r="AM616">
        <f t="shared" si="499"/>
        <v>541.12362599925007</v>
      </c>
      <c r="AN616">
        <f t="shared" ref="AN616:AN626" si="537">AJ616*AL616/(AL616^2+AM616^2)+AK616*AM616/(AL616^2+AM616^2)</f>
        <v>833.41757280565855</v>
      </c>
      <c r="AO616">
        <f t="shared" ref="AO616:AO626" si="538">AK616*AL616/(AL616^2+AM616^2)-AJ616*AM616/(AL616^2+AM616^2)</f>
        <v>-39.300783416955838</v>
      </c>
      <c r="AQ616">
        <f t="shared" si="500"/>
        <v>3.9999998400000063E-4</v>
      </c>
      <c r="AR616">
        <f t="shared" si="501"/>
        <v>-1.9999999200000032</v>
      </c>
      <c r="AT616">
        <f t="shared" si="523"/>
        <v>-1056.9524481431883</v>
      </c>
      <c r="AU616">
        <f t="shared" si="524"/>
        <v>-64.955326611478512</v>
      </c>
      <c r="AV616">
        <f t="shared" si="511"/>
        <v>-3.0802145489170747</v>
      </c>
      <c r="AW616">
        <f t="shared" si="512"/>
        <v>789.03159324374826</v>
      </c>
      <c r="AX616">
        <f t="shared" si="513"/>
        <v>-2342.0659666008096</v>
      </c>
      <c r="AY616">
        <f t="shared" si="521"/>
        <v>-1.2458432141644478</v>
      </c>
      <c r="BA616">
        <f t="shared" si="502"/>
        <v>0.42847950454207778</v>
      </c>
      <c r="BB616">
        <f t="shared" si="514"/>
        <v>-7.3613989369934245</v>
      </c>
      <c r="BC616">
        <f t="shared" si="515"/>
        <v>-1.8343713347526269</v>
      </c>
      <c r="BD616">
        <f t="shared" si="503"/>
        <v>-285.1017356612013</v>
      </c>
      <c r="BF616">
        <f t="shared" si="504"/>
        <v>-65.238075677012958</v>
      </c>
      <c r="BG616">
        <f t="shared" si="505"/>
        <v>-197.8234320318609</v>
      </c>
      <c r="BH616">
        <f t="shared" si="516"/>
        <v>-17.823432031860904</v>
      </c>
      <c r="BI616">
        <f t="shared" si="517"/>
        <v>-17.823432031860904</v>
      </c>
      <c r="BJ616">
        <f t="shared" si="506"/>
        <v>0</v>
      </c>
      <c r="BK616">
        <f t="shared" si="518"/>
        <v>0</v>
      </c>
      <c r="BM616">
        <f t="shared" si="519"/>
        <v>-57.876676740019526</v>
      </c>
      <c r="BN616">
        <f t="shared" si="507"/>
        <v>-92.721696370659643</v>
      </c>
      <c r="BQ616" s="56">
        <f t="shared" si="520"/>
        <v>9.5405618632917122</v>
      </c>
    </row>
    <row r="617" spans="1:69" x14ac:dyDescent="0.25">
      <c r="A617">
        <f t="shared" si="534"/>
        <v>2750000</v>
      </c>
      <c r="B617">
        <f t="shared" si="508"/>
        <v>2750</v>
      </c>
      <c r="C617">
        <f t="shared" si="477"/>
        <v>22.829874282221091</v>
      </c>
      <c r="D617">
        <f t="shared" si="526"/>
        <v>1.5269800518133745</v>
      </c>
      <c r="F617">
        <f t="shared" si="479"/>
        <v>3.3891511012894456E-6</v>
      </c>
      <c r="G617">
        <f t="shared" si="527"/>
        <v>6.26240057322449E-4</v>
      </c>
      <c r="H617">
        <f t="shared" si="481"/>
        <v>-3.1409664099426777</v>
      </c>
      <c r="J617">
        <f t="shared" si="482"/>
        <v>15</v>
      </c>
      <c r="M617">
        <f t="shared" si="528"/>
        <v>5.4331053516475938E-4</v>
      </c>
      <c r="N617">
        <f t="shared" si="484"/>
        <v>-1.5707963250000001</v>
      </c>
      <c r="O617">
        <f t="shared" si="529"/>
        <v>703.28078317560266</v>
      </c>
      <c r="P617">
        <f t="shared" si="486"/>
        <v>1.5693744191288648</v>
      </c>
      <c r="Q617">
        <f t="shared" si="530"/>
        <v>595.23682860155532</v>
      </c>
      <c r="R617">
        <f t="shared" si="488"/>
        <v>1.569116322429656</v>
      </c>
      <c r="S617">
        <f t="shared" si="531"/>
        <v>4.4508984028737084E-2</v>
      </c>
      <c r="T617">
        <f t="shared" si="490"/>
        <v>-1.5262726338985602</v>
      </c>
      <c r="U617">
        <f t="shared" si="491"/>
        <v>5.7020407100751139E-2</v>
      </c>
      <c r="V617">
        <f t="shared" si="492"/>
        <v>-1.5137449757355113</v>
      </c>
      <c r="X617">
        <f t="shared" si="532"/>
        <v>-63.479392465529465</v>
      </c>
      <c r="Y617">
        <f t="shared" si="533"/>
        <v>-176.83251175701398</v>
      </c>
      <c r="Z617">
        <f t="shared" si="510"/>
        <v>3.1674882429860247</v>
      </c>
      <c r="AC617">
        <v>1</v>
      </c>
      <c r="AD617">
        <f t="shared" si="494"/>
        <v>703.28007222165002</v>
      </c>
      <c r="AE617">
        <f t="shared" si="495"/>
        <v>-1.4582168738167838</v>
      </c>
      <c r="AF617">
        <f t="shared" si="496"/>
        <v>8.3283621151499995E-2</v>
      </c>
      <c r="AG617">
        <f t="shared" si="535"/>
        <v>26.771959462016145</v>
      </c>
      <c r="AH617">
        <f t="shared" si="536"/>
        <v>-480.75867114154306</v>
      </c>
      <c r="AJ617">
        <f t="shared" si="497"/>
        <v>22100</v>
      </c>
      <c r="AK617">
        <f t="shared" si="498"/>
        <v>496036.90200314258</v>
      </c>
      <c r="AL617">
        <v>1</v>
      </c>
      <c r="AM617">
        <f t="shared" si="499"/>
        <v>595.23598859917513</v>
      </c>
      <c r="AN617">
        <f t="shared" si="537"/>
        <v>833.40496796354284</v>
      </c>
      <c r="AO617">
        <f t="shared" si="538"/>
        <v>-35.728006100715007</v>
      </c>
      <c r="AQ617">
        <f t="shared" si="500"/>
        <v>3.3057850146847931E-4</v>
      </c>
      <c r="AR617">
        <f t="shared" si="501"/>
        <v>-1.8181817580766362</v>
      </c>
      <c r="AT617">
        <f t="shared" si="523"/>
        <v>-874.09779567247779</v>
      </c>
      <c r="AU617">
        <f t="shared" si="524"/>
        <v>-48.835216802878897</v>
      </c>
      <c r="AV617">
        <f t="shared" si="511"/>
        <v>-3.0857813920166248</v>
      </c>
      <c r="AW617">
        <f t="shared" si="512"/>
        <v>796.74140284992768</v>
      </c>
      <c r="AX617">
        <f t="shared" si="513"/>
        <v>-2129.4600422652738</v>
      </c>
      <c r="AY617">
        <f t="shared" si="521"/>
        <v>-1.2127694520730543</v>
      </c>
      <c r="BA617">
        <f t="shared" si="502"/>
        <v>0.38504973359638023</v>
      </c>
      <c r="BB617">
        <f t="shared" si="514"/>
        <v>-8.2896634549452131</v>
      </c>
      <c r="BC617">
        <f t="shared" si="515"/>
        <v>-1.8730119399435705</v>
      </c>
      <c r="BD617">
        <f t="shared" si="503"/>
        <v>-287.31567925900345</v>
      </c>
      <c r="BF617">
        <f t="shared" si="504"/>
        <v>-66.995949239191091</v>
      </c>
      <c r="BG617">
        <f t="shared" si="505"/>
        <v>-199.79028587717036</v>
      </c>
      <c r="BH617">
        <f t="shared" si="516"/>
        <v>-19.790285877170362</v>
      </c>
      <c r="BI617">
        <f t="shared" si="517"/>
        <v>-19.790285877170362</v>
      </c>
      <c r="BJ617">
        <f t="shared" si="506"/>
        <v>0</v>
      </c>
      <c r="BK617">
        <f t="shared" si="518"/>
        <v>0</v>
      </c>
      <c r="BM617">
        <f t="shared" si="519"/>
        <v>-58.706285784245871</v>
      </c>
      <c r="BN617">
        <f t="shared" si="507"/>
        <v>-92.474606618166931</v>
      </c>
      <c r="BQ617" s="56">
        <f t="shared" si="520"/>
        <v>8.6122973453399236</v>
      </c>
    </row>
    <row r="618" spans="1:69" x14ac:dyDescent="0.25">
      <c r="A618">
        <f t="shared" si="534"/>
        <v>3000000</v>
      </c>
      <c r="B618">
        <f t="shared" si="508"/>
        <v>3000</v>
      </c>
      <c r="C618">
        <f t="shared" si="477"/>
        <v>24.901501000736417</v>
      </c>
      <c r="D618">
        <f t="shared" si="526"/>
        <v>1.5306273034225049</v>
      </c>
      <c r="F618">
        <f t="shared" si="479"/>
        <v>2.8478268944758551E-6</v>
      </c>
      <c r="G618">
        <f t="shared" si="527"/>
        <v>5.7405308528904215E-4</v>
      </c>
      <c r="H618">
        <f t="shared" si="481"/>
        <v>-3.1410185969147113</v>
      </c>
      <c r="J618">
        <f t="shared" si="482"/>
        <v>15</v>
      </c>
      <c r="M618">
        <f t="shared" si="528"/>
        <v>4.9803465723436281E-4</v>
      </c>
      <c r="N618">
        <f t="shared" si="484"/>
        <v>-1.5707963250000001</v>
      </c>
      <c r="O618">
        <f t="shared" si="529"/>
        <v>767.21527594964266</v>
      </c>
      <c r="P618">
        <f t="shared" si="486"/>
        <v>1.5694929112940634</v>
      </c>
      <c r="Q618">
        <f t="shared" si="530"/>
        <v>649.34912120136869</v>
      </c>
      <c r="R618">
        <f t="shared" si="488"/>
        <v>1.5692563225620138</v>
      </c>
      <c r="S618">
        <f t="shared" si="531"/>
        <v>4.0806358463220185E-2</v>
      </c>
      <c r="T618">
        <f t="shared" si="490"/>
        <v>-1.5299786349922051</v>
      </c>
      <c r="U618">
        <f t="shared" si="491"/>
        <v>5.2282283605948596E-2</v>
      </c>
      <c r="V618">
        <f t="shared" si="492"/>
        <v>-1.5184901954538224</v>
      </c>
      <c r="X618">
        <f t="shared" si="532"/>
        <v>-64.988643495584569</v>
      </c>
      <c r="Y618">
        <f t="shared" si="533"/>
        <v>-177.09593849310417</v>
      </c>
      <c r="Z618">
        <f t="shared" si="510"/>
        <v>2.9040615068958289</v>
      </c>
      <c r="AC618">
        <v>1</v>
      </c>
      <c r="AD618">
        <f t="shared" si="494"/>
        <v>767.21462424180004</v>
      </c>
      <c r="AE618">
        <f t="shared" si="495"/>
        <v>-1.7353985936331968</v>
      </c>
      <c r="AF618">
        <f t="shared" si="496"/>
        <v>9.0854859437999994E-2</v>
      </c>
      <c r="AG618">
        <f t="shared" si="535"/>
        <v>22.507570990965245</v>
      </c>
      <c r="AH618">
        <f t="shared" si="536"/>
        <v>-440.9187058525734</v>
      </c>
      <c r="AJ618">
        <f t="shared" si="497"/>
        <v>22100</v>
      </c>
      <c r="AK618">
        <f t="shared" si="498"/>
        <v>541131.16582161014</v>
      </c>
      <c r="AL618">
        <v>1</v>
      </c>
      <c r="AM618">
        <f t="shared" si="499"/>
        <v>649.34835119910008</v>
      </c>
      <c r="AN618">
        <f t="shared" si="537"/>
        <v>833.3953809373794</v>
      </c>
      <c r="AO618">
        <f t="shared" si="538"/>
        <v>-32.750687023061303</v>
      </c>
      <c r="AQ618">
        <f t="shared" si="500"/>
        <v>2.7777777006172862E-4</v>
      </c>
      <c r="AR618">
        <f t="shared" si="501"/>
        <v>-1.6666666203703717</v>
      </c>
      <c r="AT618">
        <f t="shared" si="523"/>
        <v>-734.85823723850717</v>
      </c>
      <c r="AU618">
        <f t="shared" si="524"/>
        <v>-37.635094691148495</v>
      </c>
      <c r="AV618">
        <f t="shared" si="511"/>
        <v>-3.0904232710844286</v>
      </c>
      <c r="AW618">
        <f t="shared" si="512"/>
        <v>802.5999995297218</v>
      </c>
      <c r="AX618">
        <f t="shared" si="513"/>
        <v>-1952.2208681053094</v>
      </c>
      <c r="AY618">
        <f t="shared" si="521"/>
        <v>-1.1807393554434251</v>
      </c>
      <c r="BA618">
        <f t="shared" si="502"/>
        <v>0.34860393435976894</v>
      </c>
      <c r="BB618">
        <f t="shared" si="514"/>
        <v>-9.1533543146240479</v>
      </c>
      <c r="BC618">
        <f t="shared" si="515"/>
        <v>-1.9096839156410035</v>
      </c>
      <c r="BD618">
        <f t="shared" si="503"/>
        <v>-289.41682869527358</v>
      </c>
      <c r="BF618">
        <f t="shared" si="504"/>
        <v>-68.616746869501895</v>
      </c>
      <c r="BG618">
        <f t="shared" si="505"/>
        <v>-201.68545328242274</v>
      </c>
      <c r="BH618">
        <f t="shared" si="516"/>
        <v>-21.685453282422742</v>
      </c>
      <c r="BI618">
        <f t="shared" si="517"/>
        <v>-21.685453282422742</v>
      </c>
      <c r="BJ618">
        <f t="shared" si="506"/>
        <v>0</v>
      </c>
      <c r="BK618">
        <f t="shared" si="518"/>
        <v>0</v>
      </c>
      <c r="BM618">
        <f t="shared" si="519"/>
        <v>-59.463392554877842</v>
      </c>
      <c r="BN618">
        <f t="shared" si="507"/>
        <v>-92.268624587149162</v>
      </c>
      <c r="BQ618" s="56">
        <f t="shared" si="520"/>
        <v>7.7486064856610879</v>
      </c>
    </row>
    <row r="619" spans="1:69" x14ac:dyDescent="0.25">
      <c r="A619">
        <f t="shared" si="534"/>
        <v>3250000</v>
      </c>
      <c r="B619">
        <f t="shared" si="508"/>
        <v>3250</v>
      </c>
      <c r="C619">
        <f t="shared" si="477"/>
        <v>26.973408085963335</v>
      </c>
      <c r="D619">
        <f t="shared" si="526"/>
        <v>1.5337142786792346</v>
      </c>
      <c r="F619">
        <f t="shared" si="479"/>
        <v>2.4265497575379298E-6</v>
      </c>
      <c r="G619">
        <f t="shared" si="527"/>
        <v>5.2989493971660113E-4</v>
      </c>
      <c r="H619">
        <f t="shared" si="481"/>
        <v>-3.1410627550602834</v>
      </c>
      <c r="J619">
        <f t="shared" si="482"/>
        <v>15</v>
      </c>
      <c r="M619">
        <f t="shared" si="528"/>
        <v>4.5972429898556559E-4</v>
      </c>
      <c r="N619">
        <f t="shared" si="484"/>
        <v>-1.5707963250000001</v>
      </c>
      <c r="O619">
        <f t="shared" si="529"/>
        <v>831.14977783845791</v>
      </c>
      <c r="P619">
        <f t="shared" si="486"/>
        <v>1.5695931739241067</v>
      </c>
      <c r="Q619">
        <f t="shared" si="530"/>
        <v>703.46142457041242</v>
      </c>
      <c r="R619">
        <f t="shared" si="488"/>
        <v>1.5693747842598416</v>
      </c>
      <c r="S619">
        <f t="shared" si="531"/>
        <v>3.7672047886829783E-2</v>
      </c>
      <c r="T619">
        <f t="shared" si="490"/>
        <v>-1.5331153626231355</v>
      </c>
      <c r="U619">
        <f t="shared" si="491"/>
        <v>4.8270329634366581E-2</v>
      </c>
      <c r="V619">
        <f t="shared" si="492"/>
        <v>-1.522507232301795</v>
      </c>
      <c r="X619">
        <f t="shared" si="532"/>
        <v>-66.377343663782014</v>
      </c>
      <c r="Y619">
        <f t="shared" si="533"/>
        <v>-177.31894644646738</v>
      </c>
      <c r="Z619">
        <f t="shared" si="510"/>
        <v>2.681053553532621</v>
      </c>
      <c r="AC619">
        <v>1</v>
      </c>
      <c r="AD619">
        <f t="shared" si="494"/>
        <v>831.14917626195006</v>
      </c>
      <c r="AE619">
        <f t="shared" si="495"/>
        <v>-2.0366830716945157</v>
      </c>
      <c r="AF619">
        <f t="shared" si="496"/>
        <v>9.8426097724499992E-2</v>
      </c>
      <c r="AG619">
        <f t="shared" si="535"/>
        <v>19.185806524382205</v>
      </c>
      <c r="AH619">
        <f t="shared" si="536"/>
        <v>-407.16241211948352</v>
      </c>
      <c r="AJ619">
        <f t="shared" si="497"/>
        <v>22100</v>
      </c>
      <c r="AK619">
        <f t="shared" si="498"/>
        <v>586225.42964007752</v>
      </c>
      <c r="AL619">
        <v>1</v>
      </c>
      <c r="AM619">
        <f t="shared" si="499"/>
        <v>703.46071379902514</v>
      </c>
      <c r="AN619">
        <f t="shared" si="537"/>
        <v>833.38791997072269</v>
      </c>
      <c r="AO619">
        <f t="shared" si="538"/>
        <v>-30.231414011991337</v>
      </c>
      <c r="AQ619">
        <f t="shared" si="500"/>
        <v>2.3668638493049978E-4</v>
      </c>
      <c r="AR619">
        <f t="shared" si="501"/>
        <v>-1.5384615020482484</v>
      </c>
      <c r="AT619">
        <f t="shared" si="523"/>
        <v>-626.3991551077404</v>
      </c>
      <c r="AU619">
        <f t="shared" si="524"/>
        <v>-29.612994522912274</v>
      </c>
      <c r="AV619">
        <f t="shared" si="511"/>
        <v>-3.0943528658148494</v>
      </c>
      <c r="AW619">
        <f t="shared" si="512"/>
        <v>807.15616422775258</v>
      </c>
      <c r="AX619">
        <f t="shared" si="513"/>
        <v>-1802.2052326699031</v>
      </c>
      <c r="AY619">
        <f t="shared" si="521"/>
        <v>-1.1497139630864541</v>
      </c>
      <c r="BA619">
        <f t="shared" si="502"/>
        <v>0.3175663971016916</v>
      </c>
      <c r="BB619">
        <f t="shared" si="514"/>
        <v>-9.9633091630212149</v>
      </c>
      <c r="BC619">
        <f t="shared" si="515"/>
        <v>-1.9446389027283952</v>
      </c>
      <c r="BD619">
        <f t="shared" si="503"/>
        <v>-291.4196019306039</v>
      </c>
      <c r="BF619">
        <f t="shared" si="504"/>
        <v>-70.122983499609447</v>
      </c>
      <c r="BG619">
        <f t="shared" si="505"/>
        <v>-203.51388593925435</v>
      </c>
      <c r="BH619">
        <f t="shared" si="516"/>
        <v>-23.513885939254351</v>
      </c>
      <c r="BI619">
        <f t="shared" si="517"/>
        <v>-23.513885939254351</v>
      </c>
      <c r="BJ619">
        <f t="shared" si="506"/>
        <v>0</v>
      </c>
      <c r="BK619">
        <f t="shared" si="518"/>
        <v>0</v>
      </c>
      <c r="BM619">
        <f t="shared" si="519"/>
        <v>-60.159674336588232</v>
      </c>
      <c r="BN619">
        <f t="shared" si="507"/>
        <v>-92.094284008650433</v>
      </c>
      <c r="BQ619" s="56">
        <f t="shared" si="520"/>
        <v>6.9386516372639209</v>
      </c>
    </row>
    <row r="620" spans="1:69" x14ac:dyDescent="0.25">
      <c r="A620">
        <f t="shared" si="534"/>
        <v>3500000</v>
      </c>
      <c r="B620">
        <f t="shared" si="508"/>
        <v>3500</v>
      </c>
      <c r="C620">
        <f t="shared" si="477"/>
        <v>29.045535539712926</v>
      </c>
      <c r="D620">
        <f t="shared" si="526"/>
        <v>1.5363608225856866</v>
      </c>
      <c r="F620">
        <f t="shared" si="479"/>
        <v>2.0922794850464012E-6</v>
      </c>
      <c r="G620">
        <f t="shared" si="527"/>
        <v>4.9204514206626076E-4</v>
      </c>
      <c r="H620">
        <f t="shared" si="481"/>
        <v>-3.1411006048579337</v>
      </c>
      <c r="J620">
        <f t="shared" si="482"/>
        <v>15</v>
      </c>
      <c r="M620">
        <f t="shared" si="528"/>
        <v>4.268868490580253E-4</v>
      </c>
      <c r="N620">
        <f t="shared" si="484"/>
        <v>-1.5707963250000001</v>
      </c>
      <c r="O620">
        <f t="shared" si="529"/>
        <v>895.08428688888512</v>
      </c>
      <c r="P620">
        <f t="shared" si="486"/>
        <v>1.5696791133406158</v>
      </c>
      <c r="Q620">
        <f t="shared" si="530"/>
        <v>757.57373640099843</v>
      </c>
      <c r="R620">
        <f t="shared" si="488"/>
        <v>1.5694763228898609</v>
      </c>
      <c r="S620">
        <f t="shared" si="531"/>
        <v>3.4984607231194655E-2</v>
      </c>
      <c r="T620">
        <f t="shared" si="490"/>
        <v>-1.5358045792209416</v>
      </c>
      <c r="U620">
        <f t="shared" si="491"/>
        <v>4.4829644071647856E-2</v>
      </c>
      <c r="V620">
        <f t="shared" si="492"/>
        <v>-1.5259516534605846</v>
      </c>
      <c r="X620">
        <f t="shared" si="532"/>
        <v>-67.66331486678331</v>
      </c>
      <c r="Y620">
        <f t="shared" si="533"/>
        <v>-177.51016913990847</v>
      </c>
      <c r="Z620">
        <f t="shared" si="510"/>
        <v>2.48983086009153</v>
      </c>
      <c r="AC620">
        <v>1</v>
      </c>
      <c r="AD620">
        <f t="shared" si="494"/>
        <v>895.08372828209997</v>
      </c>
      <c r="AE620">
        <f t="shared" si="495"/>
        <v>-2.3620703080007397</v>
      </c>
      <c r="AF620">
        <f t="shared" si="496"/>
        <v>0.105997336011</v>
      </c>
      <c r="AG620">
        <f t="shared" si="535"/>
        <v>16.548175302934489</v>
      </c>
      <c r="AH620">
        <f t="shared" si="536"/>
        <v>-378.19774574799237</v>
      </c>
      <c r="AJ620">
        <f t="shared" si="497"/>
        <v>22100</v>
      </c>
      <c r="AK620">
        <f t="shared" si="498"/>
        <v>631319.69345854514</v>
      </c>
      <c r="AL620">
        <v>1</v>
      </c>
      <c r="AM620">
        <f t="shared" si="499"/>
        <v>757.57307639895009</v>
      </c>
      <c r="AN620">
        <f t="shared" si="537"/>
        <v>833.38199991835336</v>
      </c>
      <c r="AO620">
        <f t="shared" si="538"/>
        <v>-28.072035111345887</v>
      </c>
      <c r="AQ620">
        <f t="shared" si="500"/>
        <v>2.0408162848813003E-4</v>
      </c>
      <c r="AR620">
        <f t="shared" si="501"/>
        <v>-1.4285713994169102</v>
      </c>
      <c r="AT620">
        <f t="shared" si="523"/>
        <v>-540.27910572096596</v>
      </c>
      <c r="AU620">
        <f t="shared" si="524"/>
        <v>-23.717433162152265</v>
      </c>
      <c r="AV620">
        <f t="shared" si="511"/>
        <v>-3.0977223365678768</v>
      </c>
      <c r="AW620">
        <f t="shared" si="512"/>
        <v>810.76934530403901</v>
      </c>
      <c r="AX620">
        <f t="shared" si="513"/>
        <v>-1673.5907279477908</v>
      </c>
      <c r="AY620">
        <f t="shared" si="521"/>
        <v>-1.1196667395152273</v>
      </c>
      <c r="BA620">
        <f t="shared" si="502"/>
        <v>0.29080900932819143</v>
      </c>
      <c r="BB620">
        <f t="shared" si="514"/>
        <v>-10.727842861286792</v>
      </c>
      <c r="BC620">
        <f t="shared" si="515"/>
        <v>-1.9780555970526494</v>
      </c>
      <c r="BD620">
        <f t="shared" si="503"/>
        <v>-293.33423748285026</v>
      </c>
      <c r="BF620">
        <f t="shared" si="504"/>
        <v>-71.53203597687407</v>
      </c>
      <c r="BG620">
        <f t="shared" si="505"/>
        <v>-205.27905432885493</v>
      </c>
      <c r="BH620">
        <f t="shared" si="516"/>
        <v>-25.279054328854926</v>
      </c>
      <c r="BI620">
        <f t="shared" si="517"/>
        <v>-25.279054328854926</v>
      </c>
      <c r="BJ620">
        <f t="shared" si="506"/>
        <v>0</v>
      </c>
      <c r="BK620">
        <f t="shared" si="518"/>
        <v>0</v>
      </c>
      <c r="BM620">
        <f t="shared" si="519"/>
        <v>-60.804193115587282</v>
      </c>
      <c r="BN620">
        <f t="shared" si="507"/>
        <v>-91.94481684600467</v>
      </c>
      <c r="BQ620" s="56">
        <f t="shared" si="520"/>
        <v>6.1741179389983447</v>
      </c>
    </row>
    <row r="621" spans="1:69" x14ac:dyDescent="0.25">
      <c r="A621">
        <f t="shared" si="534"/>
        <v>3750000</v>
      </c>
      <c r="B621">
        <f t="shared" si="508"/>
        <v>3750</v>
      </c>
      <c r="C621">
        <f t="shared" si="477"/>
        <v>31.117839339197698</v>
      </c>
      <c r="D621">
        <f t="shared" si="526"/>
        <v>1.5386548857212563</v>
      </c>
      <c r="F621">
        <f t="shared" si="479"/>
        <v>1.8226074410143874E-6</v>
      </c>
      <c r="G621">
        <f t="shared" si="527"/>
        <v>4.5924201279903663E-4</v>
      </c>
      <c r="H621">
        <f t="shared" si="481"/>
        <v>-3.1411334079872013</v>
      </c>
      <c r="J621">
        <f t="shared" si="482"/>
        <v>15</v>
      </c>
      <c r="M621">
        <f t="shared" si="528"/>
        <v>3.9842772578749025E-4</v>
      </c>
      <c r="N621">
        <f t="shared" si="484"/>
        <v>-1.5707963250000001</v>
      </c>
      <c r="O621">
        <f t="shared" si="529"/>
        <v>959.01880166860371</v>
      </c>
      <c r="P621">
        <f t="shared" si="486"/>
        <v>1.5697535941816514</v>
      </c>
      <c r="Q621">
        <f t="shared" si="530"/>
        <v>811.68605500082151</v>
      </c>
      <c r="R621">
        <f t="shared" si="488"/>
        <v>1.5695643230579699</v>
      </c>
      <c r="S621">
        <f t="shared" si="531"/>
        <v>3.2654875838058511E-2</v>
      </c>
      <c r="T621">
        <f t="shared" si="490"/>
        <v>-1.5381356446318526</v>
      </c>
      <c r="U621">
        <f t="shared" si="491"/>
        <v>4.1846421173813882E-2</v>
      </c>
      <c r="V621">
        <f t="shared" si="492"/>
        <v>-1.528937682948913</v>
      </c>
      <c r="X621">
        <f t="shared" si="532"/>
        <v>-68.860701005175585</v>
      </c>
      <c r="Y621">
        <f t="shared" si="533"/>
        <v>-177.67594610627702</v>
      </c>
      <c r="Z621">
        <f t="shared" si="510"/>
        <v>2.3240538937229758</v>
      </c>
      <c r="AC621">
        <v>1</v>
      </c>
      <c r="AD621">
        <f t="shared" si="494"/>
        <v>959.01828030224999</v>
      </c>
      <c r="AE621">
        <f t="shared" si="495"/>
        <v>-2.7115603025518693</v>
      </c>
      <c r="AF621">
        <f t="shared" si="496"/>
        <v>0.11356857429749999</v>
      </c>
      <c r="AG621">
        <f t="shared" si="535"/>
        <v>14.419034303019728</v>
      </c>
      <c r="AH621">
        <f t="shared" si="536"/>
        <v>-353.07373774159151</v>
      </c>
      <c r="AJ621">
        <f t="shared" si="497"/>
        <v>22100</v>
      </c>
      <c r="AK621">
        <f t="shared" si="498"/>
        <v>676413.95727701252</v>
      </c>
      <c r="AL621">
        <v>1</v>
      </c>
      <c r="AM621">
        <f t="shared" si="499"/>
        <v>811.68543899887504</v>
      </c>
      <c r="AN621">
        <f t="shared" si="537"/>
        <v>833.37722391979241</v>
      </c>
      <c r="AO621">
        <f t="shared" si="538"/>
        <v>-26.200571987973881</v>
      </c>
      <c r="AQ621">
        <f t="shared" si="500"/>
        <v>1.77777774617284E-4</v>
      </c>
      <c r="AR621">
        <f t="shared" si="501"/>
        <v>-1.33333330962963</v>
      </c>
      <c r="AT621">
        <f t="shared" si="523"/>
        <v>-470.76241190246969</v>
      </c>
      <c r="AU621">
        <f t="shared" si="524"/>
        <v>-19.288147392279967</v>
      </c>
      <c r="AV621">
        <f t="shared" si="511"/>
        <v>-3.1006434090245114</v>
      </c>
      <c r="AW621">
        <f t="shared" si="512"/>
        <v>813.68298689947574</v>
      </c>
      <c r="AX621">
        <f t="shared" si="513"/>
        <v>-1562.1042365850153</v>
      </c>
      <c r="AY621">
        <f t="shared" si="521"/>
        <v>-1.0905774730027977</v>
      </c>
      <c r="BA621">
        <f t="shared" si="502"/>
        <v>0.26750236766218194</v>
      </c>
      <c r="BB621">
        <f t="shared" si="514"/>
        <v>-11.453447393747014</v>
      </c>
      <c r="BC621">
        <f t="shared" si="515"/>
        <v>-2.0100659360217135</v>
      </c>
      <c r="BD621">
        <f t="shared" si="503"/>
        <v>-295.16829480865647</v>
      </c>
      <c r="BF621">
        <f t="shared" si="504"/>
        <v>-72.85757074829904</v>
      </c>
      <c r="BG621">
        <f t="shared" si="505"/>
        <v>-206.98355099977027</v>
      </c>
      <c r="BH621">
        <f t="shared" si="516"/>
        <v>-26.983550999770273</v>
      </c>
      <c r="BI621">
        <f t="shared" si="517"/>
        <v>-26.983550999770273</v>
      </c>
      <c r="BJ621">
        <f t="shared" si="506"/>
        <v>0</v>
      </c>
      <c r="BK621">
        <f t="shared" si="518"/>
        <v>0</v>
      </c>
      <c r="BM621">
        <f t="shared" si="519"/>
        <v>-61.404123354552027</v>
      </c>
      <c r="BN621">
        <f t="shared" si="507"/>
        <v>-91.815256191113789</v>
      </c>
      <c r="BQ621" s="56">
        <f t="shared" si="520"/>
        <v>5.4485134065381224</v>
      </c>
    </row>
    <row r="622" spans="1:69" x14ac:dyDescent="0.25">
      <c r="A622">
        <f t="shared" si="534"/>
        <v>4000000</v>
      </c>
      <c r="B622">
        <f t="shared" si="508"/>
        <v>4000</v>
      </c>
      <c r="C622">
        <f t="shared" si="477"/>
        <v>33.190286452908055</v>
      </c>
      <c r="D622">
        <f t="shared" si="526"/>
        <v>1.5406624694383642</v>
      </c>
      <c r="F622">
        <f t="shared" si="479"/>
        <v>1.6019007360301372E-6</v>
      </c>
      <c r="G622">
        <f t="shared" si="527"/>
        <v>4.3053929508254886E-4</v>
      </c>
      <c r="H622">
        <f t="shared" si="481"/>
        <v>-3.1411621107049177</v>
      </c>
      <c r="J622">
        <f t="shared" si="482"/>
        <v>15</v>
      </c>
      <c r="M622">
        <f t="shared" si="528"/>
        <v>3.7352599292577208E-4</v>
      </c>
      <c r="N622">
        <f t="shared" si="484"/>
        <v>-1.5707963250000001</v>
      </c>
      <c r="O622">
        <f t="shared" si="529"/>
        <v>1022.9533211033728</v>
      </c>
      <c r="P622">
        <f t="shared" si="486"/>
        <v>1.5698187649270758</v>
      </c>
      <c r="Q622">
        <f t="shared" si="530"/>
        <v>865.79837910065135</v>
      </c>
      <c r="R622">
        <f t="shared" si="488"/>
        <v>1.5696413232207647</v>
      </c>
      <c r="S622">
        <f t="shared" si="531"/>
        <v>3.0615922836500949E-2</v>
      </c>
      <c r="T622">
        <f t="shared" si="490"/>
        <v>-1.5401756190452081</v>
      </c>
      <c r="U622">
        <f t="shared" si="491"/>
        <v>3.9235179981871995E-2</v>
      </c>
      <c r="V622">
        <f t="shared" si="492"/>
        <v>-1.5315510733982278</v>
      </c>
      <c r="X622">
        <f t="shared" si="532"/>
        <v>-69.98091443189108</v>
      </c>
      <c r="Y622">
        <f t="shared" si="533"/>
        <v>-177.82103695117402</v>
      </c>
      <c r="Z622">
        <f t="shared" si="510"/>
        <v>2.1789630488259775</v>
      </c>
      <c r="AC622">
        <v>1</v>
      </c>
      <c r="AD622">
        <f t="shared" si="494"/>
        <v>1022.9528323224</v>
      </c>
      <c r="AE622">
        <f t="shared" si="495"/>
        <v>-3.0851530553479058</v>
      </c>
      <c r="AF622">
        <f t="shared" si="496"/>
        <v>0.121139812584</v>
      </c>
      <c r="AG622">
        <f t="shared" si="535"/>
        <v>12.675667243717507</v>
      </c>
      <c r="AH622">
        <f t="shared" si="536"/>
        <v>-331.07508316242547</v>
      </c>
      <c r="AJ622">
        <f t="shared" si="497"/>
        <v>22100</v>
      </c>
      <c r="AK622">
        <f t="shared" si="498"/>
        <v>721508.22109548014</v>
      </c>
      <c r="AL622">
        <v>1</v>
      </c>
      <c r="AM622">
        <f t="shared" si="499"/>
        <v>865.79780159880022</v>
      </c>
      <c r="AN622">
        <f t="shared" si="537"/>
        <v>833.37331511333957</v>
      </c>
      <c r="AO622">
        <f t="shared" si="538"/>
        <v>-24.563040753412938</v>
      </c>
      <c r="AQ622">
        <f t="shared" si="500"/>
        <v>1.562499975585938E-4</v>
      </c>
      <c r="AR622">
        <f t="shared" si="501"/>
        <v>-1.2499999804687503</v>
      </c>
      <c r="AT622">
        <f t="shared" si="523"/>
        <v>-413.84186691374583</v>
      </c>
      <c r="AU622">
        <f t="shared" si="524"/>
        <v>-15.896314288011101</v>
      </c>
      <c r="AV622">
        <f t="shared" si="511"/>
        <v>-3.1031999620615962</v>
      </c>
      <c r="AW622">
        <f t="shared" si="512"/>
        <v>816.06673210186364</v>
      </c>
      <c r="AX622">
        <f t="shared" si="513"/>
        <v>-1464.5389129170374</v>
      </c>
      <c r="AY622">
        <f t="shared" si="521"/>
        <v>-1.0624287314336303</v>
      </c>
      <c r="BA622">
        <f t="shared" si="502"/>
        <v>0.24702253939431792</v>
      </c>
      <c r="BB622">
        <f t="shared" si="514"/>
        <v>-12.14526836088109</v>
      </c>
      <c r="BC622">
        <f t="shared" si="515"/>
        <v>-2.0407712306279659</v>
      </c>
      <c r="BD622">
        <f t="shared" si="503"/>
        <v>-296.92757860031082</v>
      </c>
      <c r="BF622">
        <f t="shared" si="504"/>
        <v>-74.110511148008072</v>
      </c>
      <c r="BG622">
        <f t="shared" si="505"/>
        <v>-208.62945326187133</v>
      </c>
      <c r="BH622">
        <f t="shared" si="516"/>
        <v>-28.629453261871333</v>
      </c>
      <c r="BI622">
        <f t="shared" si="517"/>
        <v>-28.629453261871333</v>
      </c>
      <c r="BJ622">
        <f t="shared" si="506"/>
        <v>0</v>
      </c>
      <c r="BK622">
        <f t="shared" si="518"/>
        <v>0</v>
      </c>
      <c r="BM622">
        <f t="shared" si="519"/>
        <v>-61.965242787126982</v>
      </c>
      <c r="BN622">
        <f t="shared" si="507"/>
        <v>-91.701874661560467</v>
      </c>
      <c r="BQ622" s="56">
        <f t="shared" si="520"/>
        <v>4.7566924394040466</v>
      </c>
    </row>
    <row r="623" spans="1:69" x14ac:dyDescent="0.25">
      <c r="A623">
        <f>A622+250000</f>
        <v>4250000</v>
      </c>
      <c r="B623">
        <f t="shared" si="508"/>
        <v>4250</v>
      </c>
      <c r="C623">
        <f t="shared" si="477"/>
        <v>35.262851612520542</v>
      </c>
      <c r="D623">
        <f t="shared" si="526"/>
        <v>1.5424340691651743</v>
      </c>
      <c r="F623">
        <f t="shared" si="479"/>
        <v>1.4189844889655779E-6</v>
      </c>
      <c r="G623">
        <f t="shared" si="527"/>
        <v>4.0521338249825065E-4</v>
      </c>
      <c r="H623">
        <f t="shared" si="481"/>
        <v>-3.1411874366175021</v>
      </c>
      <c r="J623">
        <f t="shared" si="482"/>
        <v>15</v>
      </c>
      <c r="M623">
        <f t="shared" si="528"/>
        <v>3.5155387569484433E-4</v>
      </c>
      <c r="N623">
        <f t="shared" si="484"/>
        <v>-1.5707963250000001</v>
      </c>
      <c r="O623">
        <f t="shared" si="529"/>
        <v>1086.8878443717133</v>
      </c>
      <c r="P623">
        <f t="shared" si="486"/>
        <v>1.569876268532894</v>
      </c>
      <c r="Q623">
        <f t="shared" si="530"/>
        <v>919.91070772990008</v>
      </c>
      <c r="R623">
        <f t="shared" si="488"/>
        <v>1.5697092645522812</v>
      </c>
      <c r="S623">
        <f t="shared" si="531"/>
        <v>2.8816528375594171E-2</v>
      </c>
      <c r="T623">
        <f t="shared" si="490"/>
        <v>-1.5419758087576971</v>
      </c>
      <c r="U623">
        <f t="shared" si="491"/>
        <v>3.6930474164824652E-2</v>
      </c>
      <c r="V623">
        <f t="shared" si="492"/>
        <v>-1.5338574528081663</v>
      </c>
      <c r="X623">
        <f t="shared" si="532"/>
        <v>-71.033296495485502</v>
      </c>
      <c r="Y623">
        <f t="shared" si="533"/>
        <v>-177.94908444541429</v>
      </c>
      <c r="Z623">
        <f t="shared" si="510"/>
        <v>2.0509155545857141</v>
      </c>
      <c r="AC623">
        <v>1</v>
      </c>
      <c r="AD623">
        <f t="shared" si="494"/>
        <v>1086.8873843425499</v>
      </c>
      <c r="AE623">
        <f t="shared" si="495"/>
        <v>-3.4828485663888462</v>
      </c>
      <c r="AF623">
        <f t="shared" si="496"/>
        <v>0.1287110508705</v>
      </c>
      <c r="AG623">
        <f t="shared" si="535"/>
        <v>11.230246757548315</v>
      </c>
      <c r="AH623">
        <f t="shared" si="536"/>
        <v>-311.65349477318199</v>
      </c>
      <c r="AJ623">
        <f t="shared" si="497"/>
        <v>22100</v>
      </c>
      <c r="AK623">
        <f t="shared" si="498"/>
        <v>766602.48491394764</v>
      </c>
      <c r="AL623">
        <v>1</v>
      </c>
      <c r="AM623">
        <f t="shared" si="499"/>
        <v>919.91016419872517</v>
      </c>
      <c r="AN623">
        <f t="shared" si="537"/>
        <v>833.37007558909932</v>
      </c>
      <c r="AO623">
        <f t="shared" si="538"/>
        <v>-23.118159524778054</v>
      </c>
      <c r="AQ623">
        <f t="shared" si="500"/>
        <v>1.3840830258258404E-4</v>
      </c>
      <c r="AR623">
        <f t="shared" si="501"/>
        <v>-1.1764705719519644</v>
      </c>
      <c r="AT623">
        <f t="shared" si="523"/>
        <v>-366.6496108872426</v>
      </c>
      <c r="AU623">
        <f t="shared" si="524"/>
        <v>-13.255190257220047</v>
      </c>
      <c r="AV623">
        <f t="shared" si="511"/>
        <v>-3.1054561908067848</v>
      </c>
      <c r="AW623">
        <f t="shared" si="512"/>
        <v>818.04173685712169</v>
      </c>
      <c r="AX623">
        <f t="shared" si="513"/>
        <v>-1378.4412174258655</v>
      </c>
      <c r="AY623">
        <f t="shared" si="521"/>
        <v>-1.0352038133028159</v>
      </c>
      <c r="BA623">
        <f t="shared" si="502"/>
        <v>0.22889066360595006</v>
      </c>
      <c r="BB623">
        <f t="shared" si="514"/>
        <v>-12.807438434592292</v>
      </c>
      <c r="BC623">
        <f t="shared" si="515"/>
        <v>-2.070252377503969</v>
      </c>
      <c r="BD623">
        <f t="shared" si="503"/>
        <v>-298.61672389344125</v>
      </c>
      <c r="BF623">
        <f t="shared" si="504"/>
        <v>-75.299711697635445</v>
      </c>
      <c r="BG623">
        <f t="shared" si="505"/>
        <v>-210.21854443545803</v>
      </c>
      <c r="BH623">
        <f t="shared" si="516"/>
        <v>-30.218544435458028</v>
      </c>
      <c r="BI623">
        <f t="shared" si="517"/>
        <v>-30.218544435458028</v>
      </c>
      <c r="BJ623">
        <f t="shared" si="506"/>
        <v>0</v>
      </c>
      <c r="BK623">
        <f t="shared" si="518"/>
        <v>0</v>
      </c>
      <c r="BM623">
        <f t="shared" si="519"/>
        <v>-62.49227326304316</v>
      </c>
      <c r="BN623">
        <f t="shared" si="507"/>
        <v>-91.601820542016796</v>
      </c>
      <c r="BQ623" s="56">
        <f t="shared" si="520"/>
        <v>4.0945223656928444</v>
      </c>
    </row>
    <row r="624" spans="1:69" x14ac:dyDescent="0.25">
      <c r="A624">
        <f t="shared" si="534"/>
        <v>4500000</v>
      </c>
      <c r="B624">
        <f t="shared" si="508"/>
        <v>4500</v>
      </c>
      <c r="C624">
        <f t="shared" si="477"/>
        <v>37.335515159185526</v>
      </c>
      <c r="D624">
        <f t="shared" si="526"/>
        <v>1.5440089743382059</v>
      </c>
      <c r="F624">
        <f t="shared" si="479"/>
        <v>1.2656989435739704E-6</v>
      </c>
      <c r="G624">
        <f t="shared" si="527"/>
        <v>3.8270147117011041E-4</v>
      </c>
      <c r="H624">
        <f t="shared" si="481"/>
        <v>-3.1412099485288301</v>
      </c>
      <c r="J624">
        <f t="shared" si="482"/>
        <v>15</v>
      </c>
      <c r="M624">
        <f t="shared" si="528"/>
        <v>3.3202310482290852E-4</v>
      </c>
      <c r="N624">
        <f t="shared" si="484"/>
        <v>-1.5707963250000001</v>
      </c>
      <c r="O624">
        <f t="shared" si="529"/>
        <v>1150.8223708346975</v>
      </c>
      <c r="P624">
        <f t="shared" si="486"/>
        <v>1.5699273828542963</v>
      </c>
      <c r="Q624">
        <f t="shared" si="530"/>
        <v>974.02304013366495</v>
      </c>
      <c r="R624">
        <f t="shared" si="488"/>
        <v>1.5697696568554074</v>
      </c>
      <c r="S624">
        <f t="shared" si="531"/>
        <v>2.721683087384031E-2</v>
      </c>
      <c r="T624">
        <f t="shared" si="490"/>
        <v>-1.5435761346292187</v>
      </c>
      <c r="U624">
        <f t="shared" si="491"/>
        <v>3.4881350794566453E-2</v>
      </c>
      <c r="V624">
        <f t="shared" si="492"/>
        <v>-1.535907898717924</v>
      </c>
      <c r="X624">
        <f t="shared" si="532"/>
        <v>-72.025589874504846</v>
      </c>
      <c r="Y624">
        <f t="shared" si="533"/>
        <v>-178.06292381956371</v>
      </c>
      <c r="Z624">
        <f t="shared" si="510"/>
        <v>1.9370761804362928</v>
      </c>
      <c r="AC624">
        <v>1</v>
      </c>
      <c r="AD624">
        <f t="shared" si="494"/>
        <v>1150.8219363626999</v>
      </c>
      <c r="AE624">
        <f t="shared" si="495"/>
        <v>-3.9046468356746922</v>
      </c>
      <c r="AF624">
        <f t="shared" si="496"/>
        <v>0.136282289157</v>
      </c>
      <c r="AG624">
        <f t="shared" si="535"/>
        <v>10.018578860394706</v>
      </c>
      <c r="AH624">
        <f t="shared" si="536"/>
        <v>-294.38170207854108</v>
      </c>
      <c r="AJ624">
        <f t="shared" si="497"/>
        <v>22100</v>
      </c>
      <c r="AK624">
        <f t="shared" si="498"/>
        <v>811696.74873241503</v>
      </c>
      <c r="AL624">
        <v>1</v>
      </c>
      <c r="AM624">
        <f t="shared" si="499"/>
        <v>974.02252679865001</v>
      </c>
      <c r="AN624">
        <f t="shared" si="537"/>
        <v>833.36736083551557</v>
      </c>
      <c r="AO624">
        <f t="shared" si="538"/>
        <v>-21.83382011611393</v>
      </c>
      <c r="AQ624">
        <f t="shared" si="500"/>
        <v>1.234567885992989E-4</v>
      </c>
      <c r="AR624">
        <f t="shared" si="501"/>
        <v>-1.1111110973936902</v>
      </c>
      <c r="AT624">
        <f t="shared" si="523"/>
        <v>-327.08953918753775</v>
      </c>
      <c r="AU624">
        <f t="shared" si="524"/>
        <v>-11.1680975714594</v>
      </c>
      <c r="AV624">
        <f t="shared" si="511"/>
        <v>-3.107462058342767</v>
      </c>
      <c r="AW624">
        <f t="shared" si="512"/>
        <v>819.69640152487943</v>
      </c>
      <c r="AX624">
        <f t="shared" si="513"/>
        <v>-1301.9020445030765</v>
      </c>
      <c r="AY624">
        <f t="shared" si="521"/>
        <v>-1.0088856008921943</v>
      </c>
      <c r="BA624">
        <f t="shared" si="502"/>
        <v>0.21273266837363922</v>
      </c>
      <c r="BB624">
        <f t="shared" si="514"/>
        <v>-13.44331624755152</v>
      </c>
      <c r="BC624">
        <f t="shared" si="515"/>
        <v>-2.098576457450573</v>
      </c>
      <c r="BD624">
        <f t="shared" si="503"/>
        <v>-300.23957413482719</v>
      </c>
      <c r="BF624">
        <f t="shared" si="504"/>
        <v>-76.432439751263828</v>
      </c>
      <c r="BG624">
        <f t="shared" si="505"/>
        <v>-211.75244909470214</v>
      </c>
      <c r="BH624">
        <f t="shared" si="516"/>
        <v>-31.752449094702143</v>
      </c>
      <c r="BI624">
        <f t="shared" si="517"/>
        <v>-31.752449094702143</v>
      </c>
      <c r="BJ624">
        <f t="shared" si="506"/>
        <v>0</v>
      </c>
      <c r="BK624">
        <f t="shared" si="518"/>
        <v>0</v>
      </c>
      <c r="BM624">
        <f t="shared" si="519"/>
        <v>-62.989123503712314</v>
      </c>
      <c r="BN624">
        <f t="shared" si="507"/>
        <v>-91.512874959874992</v>
      </c>
      <c r="BQ624" s="56">
        <f t="shared" si="520"/>
        <v>3.4586445527336167</v>
      </c>
    </row>
    <row r="625" spans="1:69" x14ac:dyDescent="0.25">
      <c r="A625">
        <f t="shared" si="534"/>
        <v>4750000</v>
      </c>
      <c r="B625">
        <f t="shared" si="508"/>
        <v>4750</v>
      </c>
      <c r="C625">
        <f t="shared" si="477"/>
        <v>39.408261569009625</v>
      </c>
      <c r="D625">
        <f t="shared" si="526"/>
        <v>1.5454182129250758</v>
      </c>
      <c r="F625">
        <f t="shared" si="479"/>
        <v>1.1359734273804799E-6</v>
      </c>
      <c r="G625">
        <f t="shared" si="527"/>
        <v>3.6255924298128601E-4</v>
      </c>
      <c r="H625">
        <f t="shared" si="481"/>
        <v>-3.141230090757019</v>
      </c>
      <c r="J625">
        <f t="shared" si="482"/>
        <v>15</v>
      </c>
      <c r="M625">
        <f t="shared" si="528"/>
        <v>3.1454820456907126E-4</v>
      </c>
      <c r="N625">
        <f t="shared" si="484"/>
        <v>-1.5707963250000001</v>
      </c>
      <c r="O625">
        <f t="shared" si="529"/>
        <v>1214.7568999879084</v>
      </c>
      <c r="P625">
        <f t="shared" si="486"/>
        <v>1.5699731167246713</v>
      </c>
      <c r="Q625">
        <f t="shared" si="530"/>
        <v>1028.1353757159707</v>
      </c>
      <c r="R625">
        <f t="shared" si="488"/>
        <v>1.569823692080355</v>
      </c>
      <c r="S625">
        <f t="shared" si="531"/>
        <v>2.5785344951553959E-2</v>
      </c>
      <c r="T625">
        <f t="shared" si="490"/>
        <v>-1.5450081236108064</v>
      </c>
      <c r="U625">
        <f t="shared" si="491"/>
        <v>3.3047550875021051E-2</v>
      </c>
      <c r="V625">
        <f t="shared" si="492"/>
        <v>-1.5377427575328126</v>
      </c>
      <c r="X625">
        <f t="shared" si="532"/>
        <v>-72.964283563550723</v>
      </c>
      <c r="Y625">
        <f t="shared" si="533"/>
        <v>-178.16479470395259</v>
      </c>
      <c r="Z625">
        <f t="shared" si="510"/>
        <v>1.8352052960474055</v>
      </c>
      <c r="AC625">
        <v>1</v>
      </c>
      <c r="AD625">
        <f t="shared" si="494"/>
        <v>1214.75648838285</v>
      </c>
      <c r="AE625">
        <f t="shared" si="495"/>
        <v>-4.3505478632054446</v>
      </c>
      <c r="AF625">
        <f t="shared" si="496"/>
        <v>0.1438535274435</v>
      </c>
      <c r="AG625">
        <f t="shared" si="535"/>
        <v>8.9928653561046907</v>
      </c>
      <c r="AH625">
        <f t="shared" si="536"/>
        <v>-278.92184412964514</v>
      </c>
      <c r="AJ625">
        <f t="shared" si="497"/>
        <v>22100</v>
      </c>
      <c r="AK625">
        <f t="shared" si="498"/>
        <v>856791.01255088253</v>
      </c>
      <c r="AL625">
        <v>1</v>
      </c>
      <c r="AM625">
        <f t="shared" si="499"/>
        <v>1028.1348893985751</v>
      </c>
      <c r="AN625">
        <f t="shared" si="537"/>
        <v>833.36506333912337</v>
      </c>
      <c r="AO625">
        <f t="shared" si="538"/>
        <v>-20.684673923575488</v>
      </c>
      <c r="AQ625">
        <f t="shared" si="500"/>
        <v>1.1080332287198534E-4</v>
      </c>
      <c r="AR625">
        <f t="shared" si="501"/>
        <v>-1.0526315672838606</v>
      </c>
      <c r="AT625">
        <f t="shared" si="523"/>
        <v>-293.60094149652946</v>
      </c>
      <c r="AU625">
        <f t="shared" si="524"/>
        <v>-9.4970794213203611</v>
      </c>
      <c r="AV625">
        <f t="shared" si="511"/>
        <v>-3.1092570312404284</v>
      </c>
      <c r="AW625">
        <f t="shared" si="512"/>
        <v>821.0964529992109</v>
      </c>
      <c r="AX625">
        <f t="shared" si="513"/>
        <v>-1233.4136815714257</v>
      </c>
      <c r="AY625">
        <f t="shared" si="521"/>
        <v>-0.98345596889428311</v>
      </c>
      <c r="BA625">
        <f t="shared" si="502"/>
        <v>0.1982517138039607</v>
      </c>
      <c r="BB625">
        <f t="shared" si="514"/>
        <v>-14.055660993963933</v>
      </c>
      <c r="BC625">
        <f t="shared" si="515"/>
        <v>-2.1258010623461452</v>
      </c>
      <c r="BD625">
        <f t="shared" si="503"/>
        <v>-301.79942909603704</v>
      </c>
      <c r="BF625">
        <f t="shared" si="504"/>
        <v>-77.514726820811134</v>
      </c>
      <c r="BG625">
        <f t="shared" si="505"/>
        <v>-213.23271469713168</v>
      </c>
      <c r="BH625">
        <f t="shared" si="516"/>
        <v>-33.232714697131684</v>
      </c>
      <c r="BI625">
        <f t="shared" si="517"/>
        <v>-33.232714697131684</v>
      </c>
      <c r="BJ625">
        <f t="shared" si="506"/>
        <v>0</v>
      </c>
      <c r="BK625">
        <f t="shared" si="518"/>
        <v>0</v>
      </c>
      <c r="BM625">
        <f t="shared" si="519"/>
        <v>-63.459065826847208</v>
      </c>
      <c r="BN625">
        <f t="shared" si="507"/>
        <v>-91.433285601094639</v>
      </c>
      <c r="BQ625" s="56">
        <f t="shared" si="520"/>
        <v>2.8462998063212046</v>
      </c>
    </row>
    <row r="626" spans="1:69" x14ac:dyDescent="0.25">
      <c r="A626">
        <f t="shared" si="534"/>
        <v>5000000</v>
      </c>
      <c r="B626">
        <f t="shared" si="508"/>
        <v>5000</v>
      </c>
      <c r="C626">
        <f t="shared" si="477"/>
        <v>41.481078420356532</v>
      </c>
      <c r="D626">
        <f t="shared" si="526"/>
        <v>1.5466866140207001</v>
      </c>
      <c r="F626">
        <f t="shared" si="479"/>
        <v>1.0252159105624033E-6</v>
      </c>
      <c r="G626">
        <f t="shared" si="527"/>
        <v>3.4443124393094545E-4</v>
      </c>
      <c r="H626">
        <f t="shared" si="481"/>
        <v>-3.1412482187560693</v>
      </c>
      <c r="J626">
        <f t="shared" si="482"/>
        <v>15</v>
      </c>
      <c r="M626">
        <f t="shared" si="528"/>
        <v>2.9882079434061768E-4</v>
      </c>
      <c r="N626">
        <f t="shared" si="484"/>
        <v>-1.5707963250000001</v>
      </c>
      <c r="O626">
        <f t="shared" si="529"/>
        <v>1278.6914314278117</v>
      </c>
      <c r="P626">
        <f t="shared" si="486"/>
        <v>1.5700142772109582</v>
      </c>
      <c r="Q626">
        <f t="shared" si="530"/>
        <v>1082.2477140000367</v>
      </c>
      <c r="R626">
        <f t="shared" si="488"/>
        <v>1.5698723237876731</v>
      </c>
      <c r="S626">
        <f t="shared" si="531"/>
        <v>2.4496871736292825E-2</v>
      </c>
      <c r="T626">
        <f t="shared" si="490"/>
        <v>-1.5462970043146556</v>
      </c>
      <c r="U626">
        <f t="shared" si="491"/>
        <v>3.1396845002046946E-2</v>
      </c>
      <c r="V626">
        <f t="shared" si="492"/>
        <v>-1.5393943212011816</v>
      </c>
      <c r="X626">
        <f t="shared" si="532"/>
        <v>-73.854869592482501</v>
      </c>
      <c r="Y626">
        <f t="shared" si="533"/>
        <v>-178.25648967107924</v>
      </c>
      <c r="Z626">
        <f t="shared" si="510"/>
        <v>1.7435103289207632</v>
      </c>
      <c r="AC626">
        <v>1</v>
      </c>
      <c r="AD626">
        <f t="shared" si="494"/>
        <v>1278.691040403</v>
      </c>
      <c r="AE626">
        <f t="shared" si="495"/>
        <v>-4.8205516489811027</v>
      </c>
      <c r="AF626">
        <f t="shared" si="496"/>
        <v>0.15142476572999999</v>
      </c>
      <c r="AG626">
        <f t="shared" si="535"/>
        <v>8.116925304207399</v>
      </c>
      <c r="AH626">
        <f t="shared" si="536"/>
        <v>-265.00326724232355</v>
      </c>
      <c r="AJ626">
        <f t="shared" si="497"/>
        <v>22100</v>
      </c>
      <c r="AK626">
        <f t="shared" si="498"/>
        <v>901885.27636935003</v>
      </c>
      <c r="AL626">
        <v>1</v>
      </c>
      <c r="AM626">
        <f t="shared" si="499"/>
        <v>1082.2472519985001</v>
      </c>
      <c r="AN626">
        <f t="shared" si="537"/>
        <v>833.36310177356756</v>
      </c>
      <c r="AO626">
        <f t="shared" si="538"/>
        <v>-19.650442039889704</v>
      </c>
      <c r="AQ626">
        <f t="shared" si="500"/>
        <v>9.9999999000000009E-5</v>
      </c>
      <c r="AR626">
        <f t="shared" si="501"/>
        <v>-0.99999999000000006</v>
      </c>
      <c r="AT626">
        <f t="shared" si="523"/>
        <v>-265.00245289976857</v>
      </c>
      <c r="AU626">
        <f t="shared" si="524"/>
        <v>-8.1434255494973762</v>
      </c>
      <c r="AV626">
        <f t="shared" si="511"/>
        <v>-3.1108726975803496</v>
      </c>
      <c r="AW626">
        <f t="shared" si="512"/>
        <v>822.29158292561851</v>
      </c>
      <c r="AX626">
        <f t="shared" si="513"/>
        <v>-1171.7696058624613</v>
      </c>
      <c r="AY626">
        <f t="shared" si="521"/>
        <v>-0.95889553766093394</v>
      </c>
      <c r="BA626">
        <f t="shared" si="502"/>
        <v>0.18520891502327924</v>
      </c>
      <c r="BB626">
        <f t="shared" si="514"/>
        <v>-14.646762248089081</v>
      </c>
      <c r="BC626">
        <f t="shared" si="515"/>
        <v>-2.1519771599194155</v>
      </c>
      <c r="BD626">
        <f t="shared" si="503"/>
        <v>-303.29920901282185</v>
      </c>
      <c r="BF626">
        <f t="shared" si="504"/>
        <v>-78.551629545312878</v>
      </c>
      <c r="BG626">
        <f t="shared" si="505"/>
        <v>-214.66085924216216</v>
      </c>
      <c r="BH626">
        <f t="shared" si="516"/>
        <v>-34.660859242162161</v>
      </c>
      <c r="BI626">
        <f t="shared" si="517"/>
        <v>-34.660859242162161</v>
      </c>
      <c r="BJ626">
        <f t="shared" si="506"/>
        <v>0</v>
      </c>
      <c r="BK626">
        <f t="shared" si="518"/>
        <v>0</v>
      </c>
      <c r="BM626">
        <f t="shared" si="519"/>
        <v>-63.904867297223795</v>
      </c>
      <c r="BN626">
        <f t="shared" si="507"/>
        <v>-91.361650229340341</v>
      </c>
      <c r="BQ626" s="56">
        <f t="shared" si="520"/>
        <v>2.2551985521960574</v>
      </c>
    </row>
    <row r="627" spans="1:69" x14ac:dyDescent="0.25">
      <c r="A627">
        <f>A626+100000</f>
        <v>5100000</v>
      </c>
      <c r="B627">
        <f t="shared" si="508"/>
        <v>5100</v>
      </c>
      <c r="C627">
        <f t="shared" ref="C627:C676" si="539">SQRT((A627/Fesr)^2+1)</f>
        <v>42.310222565464784</v>
      </c>
      <c r="D627">
        <f t="shared" ref="D627:D676" si="540">ATAN(A627/Fesr)</f>
        <v>1.5471591756625656</v>
      </c>
      <c r="F627">
        <f t="shared" ref="F627:F676" si="541">(Ro/(Ro+Rdcr))/SQRT((A627/(Q*Fo))^2+(1-(A627^2/Fo^2))^2)</f>
        <v>9.8540549007063358E-7</v>
      </c>
      <c r="G627">
        <f t="shared" ref="G627:G676" si="542">-ATAN(A627*Fo/(Q*(Fo^2-A627^2)))</f>
        <v>3.3767767712474287E-4</v>
      </c>
      <c r="H627">
        <f t="shared" si="481"/>
        <v>-3.1412549723228755</v>
      </c>
      <c r="J627">
        <f t="shared" si="482"/>
        <v>15</v>
      </c>
      <c r="M627">
        <f t="shared" ref="M627:M676" si="543">1/(2*Pi*_Rfb1*(Cc1ea_u+Cc2ea_u)*A627)</f>
        <v>2.929615630790369E-4</v>
      </c>
      <c r="N627">
        <f t="shared" si="484"/>
        <v>-1.5707963250000001</v>
      </c>
      <c r="O627">
        <f t="shared" ref="O627:O676" si="544">SQRT(1+(A627/Fz1_u)^2)</f>
        <v>1304.2652445687211</v>
      </c>
      <c r="P627">
        <f t="shared" si="486"/>
        <v>1.5700296115104562</v>
      </c>
      <c r="Q627">
        <f t="shared" ref="Q627:Q676" si="545">SQRT(1+(A627/Fz2_u)^2)</f>
        <v>1103.8926499811566</v>
      </c>
      <c r="R627">
        <f t="shared" si="488"/>
        <v>1.5698904414836858</v>
      </c>
      <c r="S627">
        <f t="shared" ref="S627:S676" si="546">1/SQRT(1+(A627/Fp1_u)^2)</f>
        <v>2.4016820745393339E-2</v>
      </c>
      <c r="T627">
        <f t="shared" si="490"/>
        <v>-1.5467771966022341</v>
      </c>
      <c r="U627">
        <f t="shared" ref="U627:U676" si="547">1/SQRT(1+(A627/Fp2_u)^2)</f>
        <v>3.0781809734093356E-2</v>
      </c>
      <c r="V627">
        <f t="shared" si="492"/>
        <v>-1.5400096539245336</v>
      </c>
      <c r="X627">
        <f t="shared" ref="X627:X676" si="548">20*LOG(C627*J627*O627*Q627*F627*M627*S627*U627)</f>
        <v>-74.198707601373769</v>
      </c>
      <c r="Y627">
        <f t="shared" ref="Y627:Y676" si="549">(180/Pi)*(D627+H627+N627+P627+R627+T627+V627)</f>
        <v>-178.29065313567258</v>
      </c>
      <c r="Z627">
        <f t="shared" si="510"/>
        <v>1.709346864327415</v>
      </c>
      <c r="AC627">
        <v>1</v>
      </c>
      <c r="AD627">
        <f t="shared" ref="AD627:AD676" si="550">Rcea1_u*Cc1ea_u*A627*2*Pi</f>
        <v>1304.26486121106</v>
      </c>
      <c r="AE627">
        <f t="shared" ref="AE627:AE676" si="551">-Rcea1_u*Cc1ea_u*Cc2ea_u*(A627*2*Pi)^2</f>
        <v>-5.015301935599938</v>
      </c>
      <c r="AF627">
        <f t="shared" ref="AF627:AF676" si="552">(Cc2ea_u+Cc1ea_u)*A627*2*Pi</f>
        <v>0.1544532610446</v>
      </c>
      <c r="AG627">
        <f t="shared" ref="AG627:AG676" si="553">AC627*AE627/(AE627^2+AF627^2)+AD627*AF627/(AE627^2+AF627^2)</f>
        <v>7.8020338509106679</v>
      </c>
      <c r="AH627">
        <f t="shared" ref="AH627:AH676" si="554">AD627*AE627/(AE627^2+AF627^2)-AC627*AF627/(AE627^2+AF627^2)</f>
        <v>-259.81682227156529</v>
      </c>
      <c r="AJ627">
        <f t="shared" si="497"/>
        <v>22100</v>
      </c>
      <c r="AK627">
        <f t="shared" ref="AK627:AK676" si="555">_Rfb1*Rcea2_u*Cc3ea_u*A627*2*Pi</f>
        <v>919922.98189673712</v>
      </c>
      <c r="AL627">
        <v>2</v>
      </c>
      <c r="AM627">
        <f t="shared" ref="AM627:AM676" si="556">(_Rfb1+Rcea2_u)*Cc3ea_u*A627*2*Pi</f>
        <v>1103.8921970384702</v>
      </c>
      <c r="AN627">
        <f t="shared" ref="AN627:AN676" si="557">AJ627*AL627/(AL627^2+AM627^2)+AK627*AM627/(AL627^2+AM627^2)</f>
        <v>833.37848090999876</v>
      </c>
      <c r="AO627">
        <f t="shared" ref="AO627:AO676" si="558">AK627*AL627/(AL627^2+AM627^2)-AJ627*AM627/(AL627^2+AM627^2)</f>
        <v>-18.510179792010895</v>
      </c>
      <c r="AQ627">
        <f t="shared" ref="AQ627:AQ676" si="559">Eadcg/(1+(Eadcg*A627/GBP)^2)</f>
        <v>9.6116877199953123E-5</v>
      </c>
      <c r="AR627">
        <f t="shared" ref="AR627:AR676" si="560">-(A627*Eadcg*Eadcg/GBP)/(1+(Eadcg*A627/GBP)^2)</f>
        <v>-0.98039214743952185</v>
      </c>
      <c r="AT627">
        <f t="shared" ref="AT627:AT676" si="561">-AR627*AH627+AG627*AQ627</f>
        <v>-254.72162242060293</v>
      </c>
      <c r="AU627">
        <f t="shared" ref="AU627:AU676" si="562">AQ627*AH627+AG627*AR627</f>
        <v>-7.6740255030909106</v>
      </c>
      <c r="AV627">
        <f t="shared" si="511"/>
        <v>-3.1114746567884985</v>
      </c>
      <c r="AW627">
        <f t="shared" si="512"/>
        <v>823.52508980675327</v>
      </c>
      <c r="AX627">
        <f t="shared" si="513"/>
        <v>-1148.063429176261</v>
      </c>
      <c r="AY627">
        <f t="shared" si="521"/>
        <v>-0.94854270135515828</v>
      </c>
      <c r="BA627">
        <f t="shared" si="502"/>
        <v>0.18036658761426025</v>
      </c>
      <c r="BB627">
        <f t="shared" si="514"/>
        <v>-14.876878222656945</v>
      </c>
      <c r="BC627">
        <f t="shared" si="515"/>
        <v>-2.1629319554333404</v>
      </c>
      <c r="BD627">
        <f t="shared" si="503"/>
        <v>-303.92687256191579</v>
      </c>
      <c r="BF627">
        <f t="shared" si="504"/>
        <v>-78.953847292882728</v>
      </c>
      <c r="BG627">
        <f t="shared" si="505"/>
        <v>-215.26183395446159</v>
      </c>
      <c r="BH627">
        <f t="shared" si="516"/>
        <v>-35.261833954461594</v>
      </c>
      <c r="BI627">
        <f t="shared" si="517"/>
        <v>-35.261833954461594</v>
      </c>
      <c r="BJ627">
        <f t="shared" si="506"/>
        <v>0</v>
      </c>
      <c r="BK627">
        <f t="shared" si="518"/>
        <v>0</v>
      </c>
      <c r="BM627">
        <f t="shared" si="519"/>
        <v>-64.076969070225772</v>
      </c>
      <c r="BN627">
        <f t="shared" si="507"/>
        <v>-91.334961392545836</v>
      </c>
      <c r="BQ627" s="56">
        <f t="shared" si="520"/>
        <v>2.025082577628194</v>
      </c>
    </row>
    <row r="628" spans="1:69" x14ac:dyDescent="0.25">
      <c r="A628">
        <f t="shared" ref="A628:A676" si="563">A627+100000</f>
        <v>5200000</v>
      </c>
      <c r="B628">
        <f t="shared" si="508"/>
        <v>5200</v>
      </c>
      <c r="C628">
        <f t="shared" si="539"/>
        <v>43.139375795856104</v>
      </c>
      <c r="D628">
        <f t="shared" si="540"/>
        <v>1.5476135718170769</v>
      </c>
      <c r="F628">
        <f t="shared" si="541"/>
        <v>9.4786967029153323E-7</v>
      </c>
      <c r="G628">
        <f t="shared" si="542"/>
        <v>3.311838636166949E-4</v>
      </c>
      <c r="H628">
        <f t="shared" si="481"/>
        <v>-3.1412614661363834</v>
      </c>
      <c r="J628">
        <f t="shared" si="482"/>
        <v>15</v>
      </c>
      <c r="M628">
        <f t="shared" si="543"/>
        <v>2.8732768686597852E-4</v>
      </c>
      <c r="N628">
        <f t="shared" si="484"/>
        <v>-1.5707963250000001</v>
      </c>
      <c r="O628">
        <f t="shared" si="544"/>
        <v>1329.8390580045202</v>
      </c>
      <c r="P628">
        <f t="shared" si="486"/>
        <v>1.5700443560295441</v>
      </c>
      <c r="Q628">
        <f t="shared" si="545"/>
        <v>1125.537586310694</v>
      </c>
      <c r="R628">
        <f t="shared" si="488"/>
        <v>1.5699078623457978</v>
      </c>
      <c r="S628">
        <f t="shared" si="546"/>
        <v>2.3555217582245196E-2</v>
      </c>
      <c r="T628">
        <f t="shared" si="490"/>
        <v>-1.5472389304066243</v>
      </c>
      <c r="U628">
        <f t="shared" si="547"/>
        <v>3.0190396685301237E-2</v>
      </c>
      <c r="V628">
        <f t="shared" si="492"/>
        <v>-1.5406013420040803</v>
      </c>
      <c r="X628">
        <f t="shared" si="548"/>
        <v>-74.535875083332016</v>
      </c>
      <c r="Y628">
        <f t="shared" si="549"/>
        <v>-178.32350390934369</v>
      </c>
      <c r="Z628">
        <f t="shared" si="510"/>
        <v>1.6764960906563147</v>
      </c>
      <c r="AC628">
        <v>1</v>
      </c>
      <c r="AD628">
        <f t="shared" si="550"/>
        <v>1329.8386820191201</v>
      </c>
      <c r="AE628">
        <f t="shared" si="551"/>
        <v>-5.2139086635379597</v>
      </c>
      <c r="AF628">
        <f t="shared" si="552"/>
        <v>0.15748175635919998</v>
      </c>
      <c r="AG628">
        <f t="shared" si="553"/>
        <v>7.5051118728413995</v>
      </c>
      <c r="AH628">
        <f t="shared" si="554"/>
        <v>-254.82931320053791</v>
      </c>
      <c r="AJ628">
        <f t="shared" si="497"/>
        <v>22100</v>
      </c>
      <c r="AK628">
        <f t="shared" si="555"/>
        <v>937960.68742412422</v>
      </c>
      <c r="AL628">
        <v>3</v>
      </c>
      <c r="AM628">
        <f t="shared" si="556"/>
        <v>1125.5371420784402</v>
      </c>
      <c r="AN628">
        <f t="shared" si="557"/>
        <v>833.39135921479908</v>
      </c>
      <c r="AO628">
        <f t="shared" si="558"/>
        <v>-17.413753122497727</v>
      </c>
      <c r="AQ628">
        <f t="shared" si="559"/>
        <v>9.2455620446970963E-5</v>
      </c>
      <c r="AR628">
        <f t="shared" si="560"/>
        <v>-0.96153845264849802</v>
      </c>
      <c r="AT628">
        <f t="shared" si="561"/>
        <v>-245.02748961454995</v>
      </c>
      <c r="AU628">
        <f t="shared" si="562"/>
        <v>-7.240014059425822</v>
      </c>
      <c r="AV628">
        <f t="shared" si="511"/>
        <v>-3.1120534857184716</v>
      </c>
      <c r="AW628">
        <f t="shared" si="512"/>
        <v>824.67148606022431</v>
      </c>
      <c r="AX628">
        <f t="shared" si="513"/>
        <v>-1125.2659945954151</v>
      </c>
      <c r="AY628">
        <f t="shared" si="521"/>
        <v>-0.93835013285371571</v>
      </c>
      <c r="BA628">
        <f t="shared" si="502"/>
        <v>0.17571089177601315</v>
      </c>
      <c r="BB628">
        <f t="shared" si="514"/>
        <v>-15.104026341908423</v>
      </c>
      <c r="BC628">
        <f t="shared" si="515"/>
        <v>-2.1737033528647558</v>
      </c>
      <c r="BD628">
        <f t="shared" si="503"/>
        <v>-304.54402817489915</v>
      </c>
      <c r="BF628">
        <f t="shared" si="504"/>
        <v>-79.349751484059809</v>
      </c>
      <c r="BG628">
        <f t="shared" si="505"/>
        <v>-215.85332665364211</v>
      </c>
      <c r="BH628">
        <f t="shared" si="516"/>
        <v>-35.853326653642114</v>
      </c>
      <c r="BI628">
        <f t="shared" si="517"/>
        <v>-35.853326653642114</v>
      </c>
      <c r="BJ628">
        <f t="shared" si="506"/>
        <v>0</v>
      </c>
      <c r="BK628">
        <f t="shared" si="518"/>
        <v>0</v>
      </c>
      <c r="BM628">
        <f t="shared" si="519"/>
        <v>-64.2457251421514</v>
      </c>
      <c r="BN628">
        <f t="shared" si="507"/>
        <v>-91.309298478742974</v>
      </c>
      <c r="BQ628" s="56">
        <f t="shared" si="520"/>
        <v>1.7979344583767134</v>
      </c>
    </row>
    <row r="629" spans="1:69" x14ac:dyDescent="0.25">
      <c r="A629">
        <f t="shared" si="563"/>
        <v>5300000</v>
      </c>
      <c r="B629">
        <f t="shared" si="508"/>
        <v>5300</v>
      </c>
      <c r="C629">
        <f t="shared" si="539"/>
        <v>43.968537597543062</v>
      </c>
      <c r="D629">
        <f t="shared" si="540"/>
        <v>1.5480508299892111</v>
      </c>
      <c r="F629">
        <f t="shared" si="541"/>
        <v>9.1243841309242013E-7</v>
      </c>
      <c r="G629">
        <f t="shared" si="542"/>
        <v>3.2493510033647978E-4</v>
      </c>
      <c r="H629">
        <f t="shared" si="481"/>
        <v>-3.1412677148996639</v>
      </c>
      <c r="J629">
        <f t="shared" si="482"/>
        <v>15</v>
      </c>
      <c r="M629">
        <f t="shared" si="543"/>
        <v>2.8190640975529969E-4</v>
      </c>
      <c r="N629">
        <f t="shared" si="484"/>
        <v>-1.5707963250000001</v>
      </c>
      <c r="O629">
        <f t="shared" si="544"/>
        <v>1355.4128717185181</v>
      </c>
      <c r="P629">
        <f t="shared" si="486"/>
        <v>1.5700585441519941</v>
      </c>
      <c r="Q629">
        <f t="shared" si="545"/>
        <v>1147.1825229689266</v>
      </c>
      <c r="R629">
        <f t="shared" si="488"/>
        <v>1.5699246258173958</v>
      </c>
      <c r="S629">
        <f t="shared" si="546"/>
        <v>2.311101917884938E-2</v>
      </c>
      <c r="T629">
        <f t="shared" si="490"/>
        <v>-1.5476832497815263</v>
      </c>
      <c r="U629">
        <f t="shared" si="547"/>
        <v>2.9621271165377255E-2</v>
      </c>
      <c r="V629">
        <f t="shared" si="492"/>
        <v>-1.5411707222037929</v>
      </c>
      <c r="X629">
        <f t="shared" si="548"/>
        <v>-74.866625824272347</v>
      </c>
      <c r="Y629">
        <f t="shared" si="549"/>
        <v>-178.35511620093357</v>
      </c>
      <c r="Z629">
        <f t="shared" si="510"/>
        <v>1.6448837990664344</v>
      </c>
      <c r="AC629">
        <v>1</v>
      </c>
      <c r="AD629">
        <f t="shared" si="550"/>
        <v>1355.4125028271801</v>
      </c>
      <c r="AE629">
        <f t="shared" si="551"/>
        <v>-5.4163718327951669</v>
      </c>
      <c r="AF629">
        <f t="shared" si="552"/>
        <v>0.16051025167379998</v>
      </c>
      <c r="AG629">
        <f t="shared" si="553"/>
        <v>7.2248180644831841</v>
      </c>
      <c r="AH629">
        <f t="shared" si="554"/>
        <v>-250.02951925523146</v>
      </c>
      <c r="AJ629">
        <f t="shared" si="497"/>
        <v>22100</v>
      </c>
      <c r="AK629">
        <f t="shared" si="555"/>
        <v>955998.39295151108</v>
      </c>
      <c r="AL629">
        <v>4</v>
      </c>
      <c r="AM629">
        <f t="shared" si="556"/>
        <v>1147.18208711841</v>
      </c>
      <c r="AN629">
        <f t="shared" si="557"/>
        <v>833.40198424718233</v>
      </c>
      <c r="AO629">
        <f t="shared" si="558"/>
        <v>-16.358686448940549</v>
      </c>
      <c r="AQ629">
        <f t="shared" si="559"/>
        <v>8.8999643209330341E-5</v>
      </c>
      <c r="AR629">
        <f t="shared" si="560"/>
        <v>-0.94339621801890161</v>
      </c>
      <c r="AT629">
        <f t="shared" si="561"/>
        <v>-235.87625985223951</v>
      </c>
      <c r="AU629">
        <f t="shared" si="562"/>
        <v>-6.8381185759135921</v>
      </c>
      <c r="AV629">
        <f t="shared" si="511"/>
        <v>-3.1126104920192303</v>
      </c>
      <c r="AW629">
        <f t="shared" si="512"/>
        <v>825.73790117147507</v>
      </c>
      <c r="AX629">
        <f t="shared" si="513"/>
        <v>-1103.3261503490189</v>
      </c>
      <c r="AY629">
        <f t="shared" si="521"/>
        <v>-0.92831500252497212</v>
      </c>
      <c r="BA629">
        <f t="shared" si="502"/>
        <v>0.17123184742647277</v>
      </c>
      <c r="BB629">
        <f t="shared" si="514"/>
        <v>-15.328309153542882</v>
      </c>
      <c r="BC629">
        <f t="shared" si="515"/>
        <v>-2.1842954894942581</v>
      </c>
      <c r="BD629">
        <f t="shared" si="503"/>
        <v>-305.150912900489</v>
      </c>
      <c r="BF629">
        <f t="shared" si="504"/>
        <v>-79.739572339310584</v>
      </c>
      <c r="BG629">
        <f t="shared" si="505"/>
        <v>-216.43551635914602</v>
      </c>
      <c r="BH629">
        <f t="shared" si="516"/>
        <v>-36.435516359146021</v>
      </c>
      <c r="BI629">
        <f t="shared" si="517"/>
        <v>-36.435516359146021</v>
      </c>
      <c r="BJ629">
        <f t="shared" si="506"/>
        <v>0</v>
      </c>
      <c r="BK629">
        <f t="shared" si="518"/>
        <v>0</v>
      </c>
      <c r="BM629">
        <f t="shared" si="519"/>
        <v>-64.411263185767694</v>
      </c>
      <c r="BN629">
        <f t="shared" si="507"/>
        <v>-91.284603458657017</v>
      </c>
      <c r="BQ629" s="56">
        <f t="shared" si="520"/>
        <v>1.5736516467422543</v>
      </c>
    </row>
    <row r="630" spans="1:69" x14ac:dyDescent="0.25">
      <c r="A630">
        <f t="shared" si="563"/>
        <v>5400000</v>
      </c>
      <c r="B630">
        <f t="shared" si="508"/>
        <v>5400</v>
      </c>
      <c r="C630">
        <f t="shared" si="539"/>
        <v>44.797707494586732</v>
      </c>
      <c r="D630">
        <f t="shared" si="540"/>
        <v>1.5484719016381585</v>
      </c>
      <c r="F630">
        <f t="shared" si="541"/>
        <v>8.7895727744285371E-7</v>
      </c>
      <c r="G630">
        <f t="shared" si="542"/>
        <v>3.1891777333490712E-4</v>
      </c>
      <c r="H630">
        <f t="shared" si="481"/>
        <v>-3.1412737322266655</v>
      </c>
      <c r="J630">
        <f t="shared" si="482"/>
        <v>15</v>
      </c>
      <c r="M630">
        <f t="shared" si="543"/>
        <v>2.7668592068575711E-4</v>
      </c>
      <c r="N630">
        <f t="shared" si="484"/>
        <v>-1.5707963250000001</v>
      </c>
      <c r="O630">
        <f t="shared" si="544"/>
        <v>1380.9866856952588</v>
      </c>
      <c r="P630">
        <f t="shared" si="486"/>
        <v>1.5700722067887083</v>
      </c>
      <c r="Q630">
        <f t="shared" si="545"/>
        <v>1168.8274599375939</v>
      </c>
      <c r="R630">
        <f t="shared" si="488"/>
        <v>1.5699407684201387</v>
      </c>
      <c r="S630">
        <f t="shared" si="546"/>
        <v>2.2683259628172834E-2</v>
      </c>
      <c r="T630">
        <f t="shared" si="490"/>
        <v>-1.5481111215122558</v>
      </c>
      <c r="U630">
        <f t="shared" si="547"/>
        <v>2.907319713271066E-2</v>
      </c>
      <c r="V630">
        <f t="shared" si="492"/>
        <v>-1.5417190324130718</v>
      </c>
      <c r="X630">
        <f t="shared" si="548"/>
        <v>-75.191199403033821</v>
      </c>
      <c r="Y630">
        <f t="shared" si="549"/>
        <v>-178.38555873082325</v>
      </c>
      <c r="Z630">
        <f t="shared" si="510"/>
        <v>1.6144412691767513</v>
      </c>
      <c r="AC630">
        <v>1</v>
      </c>
      <c r="AD630">
        <f t="shared" si="550"/>
        <v>1380.9863236352401</v>
      </c>
      <c r="AE630">
        <f t="shared" si="551"/>
        <v>-5.6226914433715587</v>
      </c>
      <c r="AF630">
        <f t="shared" si="552"/>
        <v>0.16353874698839999</v>
      </c>
      <c r="AG630">
        <f t="shared" si="553"/>
        <v>6.9599339399637623</v>
      </c>
      <c r="AH630">
        <f t="shared" si="554"/>
        <v>-245.40704725781148</v>
      </c>
      <c r="AJ630">
        <f t="shared" si="497"/>
        <v>22100</v>
      </c>
      <c r="AK630">
        <f t="shared" si="555"/>
        <v>974036.09847889806</v>
      </c>
      <c r="AL630">
        <v>5</v>
      </c>
      <c r="AM630">
        <f t="shared" si="556"/>
        <v>1168.8270321583802</v>
      </c>
      <c r="AN630">
        <f t="shared" si="557"/>
        <v>833.41057753791756</v>
      </c>
      <c r="AO630">
        <f t="shared" si="558"/>
        <v>-15.342686829543171</v>
      </c>
      <c r="AQ630">
        <f t="shared" si="559"/>
        <v>8.5733881295148485E-5</v>
      </c>
      <c r="AR630">
        <f t="shared" si="560"/>
        <v>-0.9259259179876036</v>
      </c>
      <c r="AT630">
        <f t="shared" si="561"/>
        <v>-227.22814881066608</v>
      </c>
      <c r="AU630">
        <f t="shared" si="562"/>
        <v>-6.4654229211526193</v>
      </c>
      <c r="AV630">
        <f t="shared" si="511"/>
        <v>-3.1131468866218288</v>
      </c>
      <c r="AW630">
        <f t="shared" si="512"/>
        <v>826.73077727604903</v>
      </c>
      <c r="AX630">
        <f t="shared" si="513"/>
        <v>-1082.1965044600922</v>
      </c>
      <c r="AY630">
        <f t="shared" si="521"/>
        <v>-0.91843456172361693</v>
      </c>
      <c r="BA630">
        <f t="shared" si="502"/>
        <v>0.16692018740771114</v>
      </c>
      <c r="BB630">
        <f t="shared" si="514"/>
        <v>-15.549822727218903</v>
      </c>
      <c r="BC630">
        <f t="shared" si="515"/>
        <v>-2.1947123248982119</v>
      </c>
      <c r="BD630">
        <f t="shared" si="503"/>
        <v>-305.74775360569998</v>
      </c>
      <c r="BF630">
        <f t="shared" si="504"/>
        <v>-80.123526426041678</v>
      </c>
      <c r="BG630">
        <f t="shared" si="505"/>
        <v>-217.00857620341367</v>
      </c>
      <c r="BH630">
        <f t="shared" si="516"/>
        <v>-37.008576203413668</v>
      </c>
      <c r="BI630">
        <f t="shared" si="517"/>
        <v>-37.008576203413668</v>
      </c>
      <c r="BJ630">
        <f t="shared" si="506"/>
        <v>0</v>
      </c>
      <c r="BK630">
        <f t="shared" si="518"/>
        <v>0</v>
      </c>
      <c r="BM630">
        <f t="shared" si="519"/>
        <v>-64.573703698822769</v>
      </c>
      <c r="BN630">
        <f t="shared" si="507"/>
        <v>-91.260822597713684</v>
      </c>
      <c r="BQ630" s="56">
        <f t="shared" si="520"/>
        <v>1.3521380730662356</v>
      </c>
    </row>
    <row r="631" spans="1:69" x14ac:dyDescent="0.25">
      <c r="A631">
        <f t="shared" si="563"/>
        <v>5500000</v>
      </c>
      <c r="B631">
        <f t="shared" si="508"/>
        <v>5500</v>
      </c>
      <c r="C631">
        <f t="shared" si="539"/>
        <v>45.626885045640364</v>
      </c>
      <c r="D631">
        <f t="shared" si="540"/>
        <v>1.5488776690836119</v>
      </c>
      <c r="F631">
        <f t="shared" si="541"/>
        <v>8.4728573357590166E-7</v>
      </c>
      <c r="G631">
        <f t="shared" si="542"/>
        <v>3.1311925877239614E-4</v>
      </c>
      <c r="H631">
        <f t="shared" si="481"/>
        <v>-3.1412795307412278</v>
      </c>
      <c r="J631">
        <f t="shared" si="482"/>
        <v>15</v>
      </c>
      <c r="M631">
        <f t="shared" si="543"/>
        <v>2.7165526758237969E-4</v>
      </c>
      <c r="N631">
        <f t="shared" si="484"/>
        <v>-1.5707963250000001</v>
      </c>
      <c r="O631">
        <f t="shared" si="544"/>
        <v>1406.5604999204108</v>
      </c>
      <c r="P631">
        <f t="shared" si="486"/>
        <v>1.570085372602525</v>
      </c>
      <c r="Q631">
        <f t="shared" si="545"/>
        <v>1190.4723971997626</v>
      </c>
      <c r="R631">
        <f t="shared" si="488"/>
        <v>1.5699563240195673</v>
      </c>
      <c r="S631">
        <f t="shared" si="546"/>
        <v>2.227104318047082E-2</v>
      </c>
      <c r="T631">
        <f t="shared" si="490"/>
        <v>-1.5485234421328344</v>
      </c>
      <c r="U631">
        <f t="shared" si="547"/>
        <v>2.8545028249333578E-2</v>
      </c>
      <c r="V631">
        <f t="shared" si="492"/>
        <v>-1.5422474206199766</v>
      </c>
      <c r="X631">
        <f t="shared" si="548"/>
        <v>-75.509822231970233</v>
      </c>
      <c r="Y631">
        <f t="shared" si="549"/>
        <v>-178.41489522898527</v>
      </c>
      <c r="Z631">
        <f t="shared" si="510"/>
        <v>1.585104771014727</v>
      </c>
      <c r="AC631">
        <v>1</v>
      </c>
      <c r="AD631">
        <f t="shared" si="550"/>
        <v>1406.5601444433</v>
      </c>
      <c r="AE631">
        <f t="shared" si="551"/>
        <v>-5.8328674952671351</v>
      </c>
      <c r="AF631">
        <f t="shared" si="552"/>
        <v>0.16656724230299999</v>
      </c>
      <c r="AG631">
        <f t="shared" si="553"/>
        <v>6.7093505841581953</v>
      </c>
      <c r="AH631">
        <f t="shared" si="554"/>
        <v>-240.95225676894722</v>
      </c>
      <c r="AJ631">
        <f t="shared" si="497"/>
        <v>22100</v>
      </c>
      <c r="AK631">
        <f t="shared" si="555"/>
        <v>992073.80400628515</v>
      </c>
      <c r="AL631">
        <v>6</v>
      </c>
      <c r="AM631">
        <f t="shared" si="556"/>
        <v>1190.4719771983503</v>
      </c>
      <c r="AN631">
        <f t="shared" si="557"/>
        <v>833.41733763943682</v>
      </c>
      <c r="AO631">
        <f t="shared" si="558"/>
        <v>-14.363627453377971</v>
      </c>
      <c r="AQ631">
        <f t="shared" si="559"/>
        <v>8.26446274161601E-5</v>
      </c>
      <c r="AR631">
        <f t="shared" si="560"/>
        <v>-0.90909090157776118</v>
      </c>
      <c r="AT631">
        <f t="shared" si="561"/>
        <v>-219.04694985149919</v>
      </c>
      <c r="AU631">
        <f t="shared" si="562"/>
        <v>-6.1193229810394048</v>
      </c>
      <c r="AV631">
        <f t="shared" si="511"/>
        <v>-3.113663792516586</v>
      </c>
      <c r="AW631">
        <f t="shared" si="512"/>
        <v>827.65594577952595</v>
      </c>
      <c r="AX631">
        <f t="shared" si="513"/>
        <v>-1061.8330862880848</v>
      </c>
      <c r="AY631">
        <f t="shared" si="521"/>
        <v>-0.90870613458750904</v>
      </c>
      <c r="BA631">
        <f t="shared" si="502"/>
        <v>0.16276729296927081</v>
      </c>
      <c r="BB631">
        <f t="shared" si="514"/>
        <v>-15.768657186727367</v>
      </c>
      <c r="BC631">
        <f t="shared" si="515"/>
        <v>-2.2049576579290768</v>
      </c>
      <c r="BD631">
        <f t="shared" si="503"/>
        <v>-306.33476794874531</v>
      </c>
      <c r="BF631">
        <f t="shared" si="504"/>
        <v>-80.501817718788715</v>
      </c>
      <c r="BG631">
        <f t="shared" si="505"/>
        <v>-217.57267401475639</v>
      </c>
      <c r="BH631">
        <f t="shared" si="516"/>
        <v>-37.572674014756387</v>
      </c>
      <c r="BI631">
        <f t="shared" si="517"/>
        <v>-37.572674014756387</v>
      </c>
      <c r="BJ631">
        <f t="shared" si="506"/>
        <v>0</v>
      </c>
      <c r="BK631">
        <f t="shared" si="518"/>
        <v>0</v>
      </c>
      <c r="BM631">
        <f t="shared" si="519"/>
        <v>-64.733160532061348</v>
      </c>
      <c r="BN631">
        <f t="shared" si="507"/>
        <v>-91.237906066011078</v>
      </c>
      <c r="BQ631" s="56">
        <f t="shared" si="520"/>
        <v>1.1333036135577714</v>
      </c>
    </row>
    <row r="632" spans="1:69" x14ac:dyDescent="0.25">
      <c r="A632">
        <f t="shared" si="563"/>
        <v>5600000</v>
      </c>
      <c r="B632">
        <f t="shared" si="508"/>
        <v>5600</v>
      </c>
      <c r="C632">
        <f t="shared" si="539"/>
        <v>46.456069840862988</v>
      </c>
      <c r="D632">
        <f t="shared" si="540"/>
        <v>1.5492689516729385</v>
      </c>
      <c r="F632">
        <f t="shared" si="541"/>
        <v>8.1729568596829822E-7</v>
      </c>
      <c r="G632">
        <f t="shared" si="542"/>
        <v>3.0752783451589187E-4</v>
      </c>
      <c r="H632">
        <f t="shared" si="481"/>
        <v>-3.1412851221654843</v>
      </c>
      <c r="J632">
        <f t="shared" si="482"/>
        <v>15</v>
      </c>
      <c r="M632">
        <f t="shared" si="543"/>
        <v>2.6680428066126581E-4</v>
      </c>
      <c r="N632">
        <f t="shared" si="484"/>
        <v>-1.5707963250000001</v>
      </c>
      <c r="O632">
        <f t="shared" si="544"/>
        <v>1432.1343143806669</v>
      </c>
      <c r="P632">
        <f t="shared" si="486"/>
        <v>1.5700980682089389</v>
      </c>
      <c r="Q632">
        <f t="shared" si="545"/>
        <v>1212.11733473971</v>
      </c>
      <c r="R632">
        <f t="shared" si="488"/>
        <v>1.5699713240622586</v>
      </c>
      <c r="S632">
        <f t="shared" si="546"/>
        <v>2.1873537988671879E-2</v>
      </c>
      <c r="T632">
        <f t="shared" si="490"/>
        <v>-1.5489210441921357</v>
      </c>
      <c r="U632">
        <f t="shared" si="547"/>
        <v>2.8035699891482153E-2</v>
      </c>
      <c r="V632">
        <f t="shared" si="492"/>
        <v>-1.5427569529249046</v>
      </c>
      <c r="X632">
        <f t="shared" si="548"/>
        <v>-75.822708504018053</v>
      </c>
      <c r="Y632">
        <f t="shared" si="549"/>
        <v>-178.4431848797806</v>
      </c>
      <c r="Z632">
        <f t="shared" si="510"/>
        <v>1.5568151202193974</v>
      </c>
      <c r="AC632">
        <v>1</v>
      </c>
      <c r="AD632">
        <f t="shared" si="550"/>
        <v>1432.13396525136</v>
      </c>
      <c r="AE632">
        <f t="shared" si="551"/>
        <v>-6.0468999884818935</v>
      </c>
      <c r="AF632">
        <f t="shared" si="552"/>
        <v>0.1695957376176</v>
      </c>
      <c r="AG632">
        <f t="shared" si="553"/>
        <v>6.4720570412718299</v>
      </c>
      <c r="AH632">
        <f t="shared" si="554"/>
        <v>-236.65619320467897</v>
      </c>
      <c r="AJ632">
        <f t="shared" si="497"/>
        <v>22100</v>
      </c>
      <c r="AK632">
        <f t="shared" si="555"/>
        <v>1010111.5095336722</v>
      </c>
      <c r="AL632">
        <v>7</v>
      </c>
      <c r="AM632">
        <f t="shared" si="556"/>
        <v>1212.1169222383201</v>
      </c>
      <c r="AN632">
        <f t="shared" si="557"/>
        <v>833.42244277756072</v>
      </c>
      <c r="AO632">
        <f t="shared" si="558"/>
        <v>-13.41953288674484</v>
      </c>
      <c r="AQ632">
        <f t="shared" si="559"/>
        <v>7.9719387119583961E-5</v>
      </c>
      <c r="AR632">
        <f t="shared" si="560"/>
        <v>-0.89285713573934045</v>
      </c>
      <c r="AT632">
        <f t="shared" si="561"/>
        <v>-211.2996548712849</v>
      </c>
      <c r="AU632">
        <f t="shared" si="562"/>
        <v>-5.797488398891927</v>
      </c>
      <c r="AV632">
        <f t="shared" si="511"/>
        <v>-3.1141622525917101</v>
      </c>
      <c r="AW632">
        <f t="shared" si="512"/>
        <v>828.51869429176645</v>
      </c>
      <c r="AX632">
        <f t="shared" si="513"/>
        <v>-1042.1950439076174</v>
      </c>
      <c r="AY632">
        <f t="shared" si="521"/>
        <v>-0.89912711105038234</v>
      </c>
      <c r="BA632">
        <f t="shared" si="502"/>
        <v>0.1587651362404372</v>
      </c>
      <c r="BB632">
        <f t="shared" si="514"/>
        <v>-15.984897191921661</v>
      </c>
      <c r="BC632">
        <f t="shared" si="515"/>
        <v>-2.2150351415413279</v>
      </c>
      <c r="BD632">
        <f t="shared" si="503"/>
        <v>-306.9121652284993</v>
      </c>
      <c r="BF632">
        <f t="shared" si="504"/>
        <v>-80.87463856144511</v>
      </c>
      <c r="BG632">
        <f t="shared" si="505"/>
        <v>-218.12797281853113</v>
      </c>
      <c r="BH632">
        <f t="shared" si="516"/>
        <v>-38.127972818531134</v>
      </c>
      <c r="BI632">
        <f t="shared" si="517"/>
        <v>-38.127972818531134</v>
      </c>
      <c r="BJ632">
        <f t="shared" si="506"/>
        <v>0</v>
      </c>
      <c r="BK632">
        <f t="shared" si="518"/>
        <v>0</v>
      </c>
      <c r="BM632">
        <f t="shared" si="519"/>
        <v>-64.889741369523449</v>
      </c>
      <c r="BN632">
        <f t="shared" si="507"/>
        <v>-91.215807590031829</v>
      </c>
      <c r="BQ632" s="56">
        <f t="shared" si="520"/>
        <v>0.91706360836347478</v>
      </c>
    </row>
    <row r="633" spans="1:69" x14ac:dyDescent="0.25">
      <c r="A633">
        <f t="shared" si="563"/>
        <v>5700000</v>
      </c>
      <c r="B633">
        <f t="shared" si="508"/>
        <v>5700</v>
      </c>
      <c r="C633">
        <f t="shared" si="539"/>
        <v>47.285261499157777</v>
      </c>
      <c r="D633">
        <f t="shared" si="540"/>
        <v>1.5496465112998954</v>
      </c>
      <c r="F633">
        <f t="shared" si="541"/>
        <v>7.8887017609344817E-7</v>
      </c>
      <c r="G633">
        <f t="shared" si="542"/>
        <v>3.0213260104142262E-4</v>
      </c>
      <c r="H633">
        <f t="shared" si="481"/>
        <v>-3.1412905173989589</v>
      </c>
      <c r="J633">
        <f t="shared" si="482"/>
        <v>15</v>
      </c>
      <c r="M633">
        <f t="shared" si="543"/>
        <v>2.6212350380755938E-4</v>
      </c>
      <c r="N633">
        <f t="shared" si="484"/>
        <v>-1.5707963250000001</v>
      </c>
      <c r="O633">
        <f t="shared" si="544"/>
        <v>1457.7081290636529</v>
      </c>
      <c r="P633">
        <f t="shared" si="486"/>
        <v>1.5701103183556921</v>
      </c>
      <c r="Q633">
        <f t="shared" si="545"/>
        <v>1233.7622725428159</v>
      </c>
      <c r="R633">
        <f t="shared" si="488"/>
        <v>1.5699857977880145</v>
      </c>
      <c r="S633">
        <f t="shared" si="546"/>
        <v>2.1489970511016945E-2</v>
      </c>
      <c r="T633">
        <f t="shared" si="490"/>
        <v>-1.5493047018611881</v>
      </c>
      <c r="U633">
        <f t="shared" si="547"/>
        <v>2.7544221998785652E-2</v>
      </c>
      <c r="V633">
        <f t="shared" si="492"/>
        <v>-1.543248620712306</v>
      </c>
      <c r="X633">
        <f t="shared" si="548"/>
        <v>-76.13006105614555</v>
      </c>
      <c r="Y633">
        <f t="shared" si="549"/>
        <v>-178.47048272002837</v>
      </c>
      <c r="Z633">
        <f t="shared" si="510"/>
        <v>1.5295172799716283</v>
      </c>
      <c r="AC633">
        <v>1</v>
      </c>
      <c r="AD633">
        <f t="shared" si="550"/>
        <v>1457.70778605942</v>
      </c>
      <c r="AE633">
        <f t="shared" si="551"/>
        <v>-6.26478892301584</v>
      </c>
      <c r="AF633">
        <f t="shared" si="552"/>
        <v>0.1726242329322</v>
      </c>
      <c r="AG633">
        <f t="shared" si="553"/>
        <v>6.2471301136846895</v>
      </c>
      <c r="AH633">
        <f t="shared" si="554"/>
        <v>-232.51052795475559</v>
      </c>
      <c r="AJ633">
        <f t="shared" si="497"/>
        <v>22100</v>
      </c>
      <c r="AK633">
        <f t="shared" si="555"/>
        <v>1028149.2150610591</v>
      </c>
      <c r="AL633">
        <v>8</v>
      </c>
      <c r="AM633">
        <f t="shared" si="556"/>
        <v>1233.7618672782903</v>
      </c>
      <c r="AN633">
        <f t="shared" si="557"/>
        <v>833.4260531623479</v>
      </c>
      <c r="AO633">
        <f t="shared" si="558"/>
        <v>-12.50856586185947</v>
      </c>
      <c r="AQ633">
        <f t="shared" si="559"/>
        <v>7.694675225494958E-5</v>
      </c>
      <c r="AR633">
        <f t="shared" si="560"/>
        <v>-0.87719297570642529</v>
      </c>
      <c r="AT633">
        <f t="shared" si="561"/>
        <v>-203.95612120333087</v>
      </c>
      <c r="AU633">
        <f t="shared" si="562"/>
        <v>-5.4978295840394935</v>
      </c>
      <c r="AV633">
        <f t="shared" si="511"/>
        <v>-3.1146432366483863</v>
      </c>
      <c r="AW633">
        <f t="shared" si="512"/>
        <v>829.32382524147943</v>
      </c>
      <c r="AX633">
        <f t="shared" si="513"/>
        <v>-1023.2443729829264</v>
      </c>
      <c r="AY633">
        <f t="shared" si="521"/>
        <v>-0.88969494089679269</v>
      </c>
      <c r="BA633">
        <f t="shared" si="502"/>
        <v>0.15490622882255434</v>
      </c>
      <c r="BB633">
        <f t="shared" si="514"/>
        <v>-16.198622375755054</v>
      </c>
      <c r="BC633">
        <f t="shared" si="515"/>
        <v>-2.2249482957515934</v>
      </c>
      <c r="BD633">
        <f t="shared" si="503"/>
        <v>-307.4801471270589</v>
      </c>
      <c r="BF633">
        <f t="shared" si="504"/>
        <v>-81.242170541966047</v>
      </c>
      <c r="BG633">
        <f t="shared" si="505"/>
        <v>-218.67463126803474</v>
      </c>
      <c r="BH633">
        <f t="shared" si="516"/>
        <v>-38.674631268034744</v>
      </c>
      <c r="BI633">
        <f t="shared" si="517"/>
        <v>-38.674631268034744</v>
      </c>
      <c r="BJ633">
        <f t="shared" si="506"/>
        <v>0</v>
      </c>
      <c r="BK633">
        <f t="shared" si="518"/>
        <v>0</v>
      </c>
      <c r="BM633">
        <f t="shared" si="519"/>
        <v>-65.043548166210996</v>
      </c>
      <c r="BN633">
        <f t="shared" si="507"/>
        <v>-91.194484140975902</v>
      </c>
      <c r="BQ633" s="56">
        <f t="shared" si="520"/>
        <v>0.70333842453008288</v>
      </c>
    </row>
    <row r="634" spans="1:69" x14ac:dyDescent="0.25">
      <c r="A634">
        <f t="shared" si="563"/>
        <v>5800000</v>
      </c>
      <c r="B634">
        <f t="shared" si="508"/>
        <v>5800</v>
      </c>
      <c r="C634">
        <f t="shared" si="539"/>
        <v>48.114459665695698</v>
      </c>
      <c r="D634">
        <f t="shared" si="540"/>
        <v>1.5500110573530492</v>
      </c>
      <c r="F634">
        <f t="shared" si="541"/>
        <v>7.6190224036869538E-7</v>
      </c>
      <c r="G634">
        <f t="shared" si="542"/>
        <v>2.9692341051919577E-4</v>
      </c>
      <c r="H634">
        <f t="shared" si="481"/>
        <v>-3.141295726589481</v>
      </c>
      <c r="J634">
        <f t="shared" si="482"/>
        <v>15</v>
      </c>
      <c r="M634">
        <f t="shared" si="543"/>
        <v>2.5760413305225659E-4</v>
      </c>
      <c r="N634">
        <f t="shared" si="484"/>
        <v>-1.5707963250000001</v>
      </c>
      <c r="O634">
        <f t="shared" si="544"/>
        <v>1483.2819439578482</v>
      </c>
      <c r="P634">
        <f t="shared" si="486"/>
        <v>1.5701221460837871</v>
      </c>
      <c r="Q634">
        <f t="shared" si="545"/>
        <v>1255.4072105954685</v>
      </c>
      <c r="R634">
        <f t="shared" si="488"/>
        <v>1.5699997724201009</v>
      </c>
      <c r="S634">
        <f t="shared" si="546"/>
        <v>2.111962049178006E-2</v>
      </c>
      <c r="T634">
        <f t="shared" si="490"/>
        <v>-1.5496751359610526</v>
      </c>
      <c r="U634">
        <f t="shared" si="547"/>
        <v>2.7069672661187035E-2</v>
      </c>
      <c r="V634">
        <f t="shared" si="492"/>
        <v>-1.5437233470818348</v>
      </c>
      <c r="X634">
        <f t="shared" si="548"/>
        <v>-76.432072157886196</v>
      </c>
      <c r="Y634">
        <f t="shared" si="549"/>
        <v>-178.49683999597386</v>
      </c>
      <c r="Z634">
        <f t="shared" si="510"/>
        <v>1.5031600040261424</v>
      </c>
      <c r="AC634">
        <v>1</v>
      </c>
      <c r="AD634">
        <f t="shared" si="550"/>
        <v>1483.2816068674799</v>
      </c>
      <c r="AE634">
        <f t="shared" si="551"/>
        <v>-6.4865342988689711</v>
      </c>
      <c r="AF634">
        <f t="shared" si="552"/>
        <v>0.17565272824680001</v>
      </c>
      <c r="AG634">
        <f t="shared" si="553"/>
        <v>6.0337253786951548</v>
      </c>
      <c r="AH634">
        <f t="shared" si="554"/>
        <v>-228.50750466264682</v>
      </c>
      <c r="AJ634">
        <f t="shared" si="497"/>
        <v>22100</v>
      </c>
      <c r="AK634">
        <f t="shared" si="555"/>
        <v>1046186.9205884461</v>
      </c>
      <c r="AL634">
        <v>9</v>
      </c>
      <c r="AM634">
        <f t="shared" si="556"/>
        <v>1255.4068123182601</v>
      </c>
      <c r="AN634">
        <f t="shared" si="557"/>
        <v>833.42831300648447</v>
      </c>
      <c r="AO634">
        <f t="shared" si="558"/>
        <v>-11.629015423281444</v>
      </c>
      <c r="AQ634">
        <f t="shared" si="559"/>
        <v>7.4316289578505582E-5</v>
      </c>
      <c r="AR634">
        <f t="shared" si="560"/>
        <v>-0.86206895911066472</v>
      </c>
      <c r="AT634">
        <f t="shared" si="561"/>
        <v>-196.98877828942085</v>
      </c>
      <c r="AU634">
        <f t="shared" si="562"/>
        <v>-5.2184691866587043</v>
      </c>
      <c r="AV634">
        <f t="shared" si="511"/>
        <v>-3.1151076476915027</v>
      </c>
      <c r="AW634">
        <f t="shared" si="512"/>
        <v>830.07570732502984</v>
      </c>
      <c r="AX634">
        <f t="shared" si="513"/>
        <v>-1004.9456733868042</v>
      </c>
      <c r="AY634">
        <f t="shared" si="521"/>
        <v>-0.88040712871033167</v>
      </c>
      <c r="BA634">
        <f t="shared" si="502"/>
        <v>0.1511835757533814</v>
      </c>
      <c r="BB634">
        <f t="shared" si="514"/>
        <v>-16.409907741129615</v>
      </c>
      <c r="BC634">
        <f t="shared" si="515"/>
        <v>-2.2347005189811711</v>
      </c>
      <c r="BD634">
        <f t="shared" si="503"/>
        <v>-308.03890835962159</v>
      </c>
      <c r="BF634">
        <f t="shared" si="504"/>
        <v>-81.604585288715867</v>
      </c>
      <c r="BG634">
        <f t="shared" si="505"/>
        <v>-219.21280401492166</v>
      </c>
      <c r="BH634">
        <f t="shared" si="516"/>
        <v>-39.212804014921659</v>
      </c>
      <c r="BI634">
        <f t="shared" si="517"/>
        <v>-39.212804014921659</v>
      </c>
      <c r="BJ634">
        <f t="shared" si="506"/>
        <v>0</v>
      </c>
      <c r="BK634">
        <f t="shared" si="518"/>
        <v>0</v>
      </c>
      <c r="BM634">
        <f t="shared" si="519"/>
        <v>-65.194677547586252</v>
      </c>
      <c r="BN634">
        <f t="shared" si="507"/>
        <v>-91.173895655300086</v>
      </c>
      <c r="BQ634" s="56">
        <f t="shared" si="520"/>
        <v>0.49205305915552217</v>
      </c>
    </row>
    <row r="635" spans="1:69" x14ac:dyDescent="0.25">
      <c r="A635">
        <f t="shared" si="563"/>
        <v>5900000</v>
      </c>
      <c r="B635">
        <f t="shared" si="508"/>
        <v>5900</v>
      </c>
      <c r="C635">
        <f t="shared" si="539"/>
        <v>48.943664009690934</v>
      </c>
      <c r="D635">
        <f t="shared" si="540"/>
        <v>1.550363251161486</v>
      </c>
      <c r="F635">
        <f t="shared" si="541"/>
        <v>7.3629390243509092E-7</v>
      </c>
      <c r="G635">
        <f t="shared" si="542"/>
        <v>2.9189080311041709E-4</v>
      </c>
      <c r="H635">
        <f t="shared" si="481"/>
        <v>-3.14130075919689</v>
      </c>
      <c r="J635">
        <f t="shared" si="482"/>
        <v>15</v>
      </c>
      <c r="M635">
        <f t="shared" si="543"/>
        <v>2.5323796130560821E-4</v>
      </c>
      <c r="N635">
        <f t="shared" si="484"/>
        <v>-1.5707963250000001</v>
      </c>
      <c r="O635">
        <f t="shared" si="544"/>
        <v>1508.8557590525133</v>
      </c>
      <c r="P635">
        <f t="shared" si="486"/>
        <v>1.570133572872126</v>
      </c>
      <c r="Q635">
        <f t="shared" si="545"/>
        <v>1277.0521488849795</v>
      </c>
      <c r="R635">
        <f t="shared" si="488"/>
        <v>1.5700132733361412</v>
      </c>
      <c r="S635">
        <f t="shared" si="546"/>
        <v>2.0761816451610862E-2</v>
      </c>
      <c r="T635">
        <f t="shared" si="490"/>
        <v>-1.55003301847993</v>
      </c>
      <c r="U635">
        <f t="shared" si="547"/>
        <v>2.6611192356332379E-2</v>
      </c>
      <c r="V635">
        <f t="shared" si="492"/>
        <v>-1.5441819926266285</v>
      </c>
      <c r="X635">
        <f t="shared" si="548"/>
        <v>-76.728924232620457</v>
      </c>
      <c r="Y635">
        <f t="shared" si="549"/>
        <v>-178.52230448402187</v>
      </c>
      <c r="Z635">
        <f t="shared" si="510"/>
        <v>1.4776955159781267</v>
      </c>
      <c r="AC635">
        <v>1</v>
      </c>
      <c r="AD635">
        <f t="shared" si="550"/>
        <v>1508.8554276755401</v>
      </c>
      <c r="AE635">
        <f t="shared" si="551"/>
        <v>-6.712136116041286</v>
      </c>
      <c r="AF635">
        <f t="shared" si="552"/>
        <v>0.17868122356140001</v>
      </c>
      <c r="AG635">
        <f t="shared" si="553"/>
        <v>5.8310692598167053</v>
      </c>
      <c r="AH635">
        <f t="shared" si="554"/>
        <v>-224.63989094053264</v>
      </c>
      <c r="AJ635">
        <f t="shared" si="497"/>
        <v>22100</v>
      </c>
      <c r="AK635">
        <f t="shared" si="555"/>
        <v>1064224.6261158332</v>
      </c>
      <c r="AL635">
        <v>10</v>
      </c>
      <c r="AM635">
        <f t="shared" si="556"/>
        <v>1277.0517573582301</v>
      </c>
      <c r="AN635">
        <f t="shared" si="557"/>
        <v>833.42935229209866</v>
      </c>
      <c r="AO635">
        <f t="shared" si="558"/>
        <v>-10.779286272277178</v>
      </c>
      <c r="AQ635">
        <f t="shared" si="559"/>
        <v>7.1818442460367399E-5</v>
      </c>
      <c r="AR635">
        <f t="shared" si="560"/>
        <v>-0.84745762103233535</v>
      </c>
      <c r="AT635">
        <f t="shared" si="561"/>
        <v>-190.37236878711494</v>
      </c>
      <c r="AU635">
        <f t="shared" si="562"/>
        <v>-4.9577173700808617</v>
      </c>
      <c r="AV635">
        <f t="shared" si="511"/>
        <v>-3.1155563275817868</v>
      </c>
      <c r="AW635">
        <f t="shared" si="512"/>
        <v>830.77832076716265</v>
      </c>
      <c r="AX635">
        <f t="shared" si="513"/>
        <v>-987.26593031384004</v>
      </c>
      <c r="AY635">
        <f t="shared" si="521"/>
        <v>-0.87126122958709795</v>
      </c>
      <c r="BA635">
        <f t="shared" si="502"/>
        <v>0.14759063419783017</v>
      </c>
      <c r="BB635">
        <f t="shared" si="514"/>
        <v>-16.618824021703499</v>
      </c>
      <c r="BC635">
        <f t="shared" si="515"/>
        <v>-2.244295097994689</v>
      </c>
      <c r="BD635">
        <f t="shared" si="503"/>
        <v>-308.58863724392916</v>
      </c>
      <c r="BF635">
        <f t="shared" si="504"/>
        <v>-81.962045196533055</v>
      </c>
      <c r="BG635">
        <f t="shared" si="505"/>
        <v>-219.74264202757689</v>
      </c>
      <c r="BH635">
        <f t="shared" si="516"/>
        <v>-39.742642027576892</v>
      </c>
      <c r="BI635">
        <f t="shared" si="517"/>
        <v>-39.742642027576892</v>
      </c>
      <c r="BJ635">
        <f t="shared" si="506"/>
        <v>0</v>
      </c>
      <c r="BK635">
        <f t="shared" si="518"/>
        <v>0</v>
      </c>
      <c r="BM635">
        <f t="shared" si="519"/>
        <v>-65.343221174829552</v>
      </c>
      <c r="BN635">
        <f t="shared" si="507"/>
        <v>-91.154004783647778</v>
      </c>
      <c r="BQ635" s="56">
        <f t="shared" si="520"/>
        <v>0.28313677858163699</v>
      </c>
    </row>
    <row r="636" spans="1:69" x14ac:dyDescent="0.25">
      <c r="A636">
        <f t="shared" si="563"/>
        <v>6000000</v>
      </c>
      <c r="B636">
        <f t="shared" si="508"/>
        <v>6000</v>
      </c>
      <c r="C636">
        <f t="shared" si="539"/>
        <v>49.772874222398556</v>
      </c>
      <c r="D636">
        <f t="shared" si="540"/>
        <v>1.5507037099963903</v>
      </c>
      <c r="F636">
        <f t="shared" si="541"/>
        <v>7.1195528201055585E-7</v>
      </c>
      <c r="G636">
        <f t="shared" si="542"/>
        <v>2.8702594963445934E-4</v>
      </c>
      <c r="H636">
        <f t="shared" si="481"/>
        <v>-3.1413056240503656</v>
      </c>
      <c r="J636">
        <f t="shared" si="482"/>
        <v>15</v>
      </c>
      <c r="M636">
        <f t="shared" si="543"/>
        <v>2.490173286171814E-4</v>
      </c>
      <c r="N636">
        <f t="shared" si="484"/>
        <v>-1.5707963250000001</v>
      </c>
      <c r="O636">
        <f t="shared" si="544"/>
        <v>1534.4295743376251</v>
      </c>
      <c r="P636">
        <f t="shared" si="486"/>
        <v>1.5701446187676846</v>
      </c>
      <c r="Q636">
        <f t="shared" si="545"/>
        <v>1298.6970873995056</v>
      </c>
      <c r="R636">
        <f t="shared" si="488"/>
        <v>1.5700263242219181</v>
      </c>
      <c r="S636">
        <f t="shared" si="546"/>
        <v>2.0415931628148653E-2</v>
      </c>
      <c r="T636">
        <f t="shared" si="490"/>
        <v>-1.5503789766390235</v>
      </c>
      <c r="U636">
        <f t="shared" si="547"/>
        <v>2.6167978761762911E-2</v>
      </c>
      <c r="V636">
        <f t="shared" si="492"/>
        <v>-1.5446253606347311</v>
      </c>
      <c r="X636">
        <f t="shared" si="548"/>
        <v>-77.020790518370944</v>
      </c>
      <c r="Y636">
        <f t="shared" si="549"/>
        <v>-178.54692077945333</v>
      </c>
      <c r="Z636">
        <f t="shared" si="510"/>
        <v>1.4530792205466696</v>
      </c>
      <c r="AC636">
        <v>1</v>
      </c>
      <c r="AD636">
        <f t="shared" si="550"/>
        <v>1534.4292484836001</v>
      </c>
      <c r="AE636">
        <f t="shared" si="551"/>
        <v>-6.9415943745327873</v>
      </c>
      <c r="AF636">
        <f t="shared" si="552"/>
        <v>0.18170971887599999</v>
      </c>
      <c r="AG636">
        <f t="shared" si="553"/>
        <v>5.6384520135158489</v>
      </c>
      <c r="AH636">
        <f t="shared" si="554"/>
        <v>-220.90093488882891</v>
      </c>
      <c r="AJ636">
        <f t="shared" si="497"/>
        <v>22100</v>
      </c>
      <c r="AK636">
        <f t="shared" si="555"/>
        <v>1082262.3316432203</v>
      </c>
      <c r="AL636">
        <v>11</v>
      </c>
      <c r="AM636">
        <f t="shared" si="556"/>
        <v>1298.6967023982002</v>
      </c>
      <c r="AN636">
        <f t="shared" si="557"/>
        <v>833.42928832064081</v>
      </c>
      <c r="AO636">
        <f t="shared" si="558"/>
        <v>-9.9578891704213461</v>
      </c>
      <c r="AQ636">
        <f t="shared" si="559"/>
        <v>6.9444443962191359E-5</v>
      </c>
      <c r="AR636">
        <f t="shared" si="560"/>
        <v>-0.8333333275462963</v>
      </c>
      <c r="AT636">
        <f t="shared" si="561"/>
        <v>-184.08371956983066</v>
      </c>
      <c r="AU636">
        <f t="shared" si="562"/>
        <v>-4.7140503212273597</v>
      </c>
      <c r="AV636">
        <f t="shared" si="511"/>
        <v>-3.1159900621236991</v>
      </c>
      <c r="AW636">
        <f t="shared" si="512"/>
        <v>831.43529722442304</v>
      </c>
      <c r="AX636">
        <f t="shared" si="513"/>
        <v>-970.17431706489413</v>
      </c>
      <c r="AY636">
        <f t="shared" si="521"/>
        <v>-0.86225484550429188</v>
      </c>
      <c r="BA636">
        <f t="shared" si="502"/>
        <v>0.14412127630631683</v>
      </c>
      <c r="BB636">
        <f t="shared" si="514"/>
        <v>-16.825438010321015</v>
      </c>
      <c r="BC636">
        <f t="shared" si="515"/>
        <v>-2.2537352166194071</v>
      </c>
      <c r="BD636">
        <f t="shared" si="503"/>
        <v>-309.12951619984636</v>
      </c>
      <c r="BF636">
        <f t="shared" si="504"/>
        <v>-82.314704089641083</v>
      </c>
      <c r="BG636">
        <f t="shared" si="505"/>
        <v>-220.26429286470631</v>
      </c>
      <c r="BH636">
        <f t="shared" si="516"/>
        <v>-40.264292864706306</v>
      </c>
      <c r="BI636">
        <f t="shared" si="517"/>
        <v>-40.264292864706306</v>
      </c>
      <c r="BJ636">
        <f t="shared" si="506"/>
        <v>0</v>
      </c>
      <c r="BK636">
        <f t="shared" si="518"/>
        <v>0</v>
      </c>
      <c r="BM636">
        <f t="shared" si="519"/>
        <v>-65.489266079320075</v>
      </c>
      <c r="BN636">
        <f t="shared" si="507"/>
        <v>-91.134776664859956</v>
      </c>
      <c r="BQ636" s="56">
        <f t="shared" si="520"/>
        <v>7.6522789964121818E-2</v>
      </c>
    </row>
    <row r="637" spans="1:69" x14ac:dyDescent="0.25">
      <c r="A637">
        <f t="shared" si="563"/>
        <v>6100000</v>
      </c>
      <c r="B637">
        <f t="shared" si="508"/>
        <v>6100</v>
      </c>
      <c r="C637">
        <f t="shared" si="539"/>
        <v>50.602090015308946</v>
      </c>
      <c r="D637">
        <f t="shared" si="540"/>
        <v>1.5510330106794032</v>
      </c>
      <c r="F637">
        <f t="shared" si="541"/>
        <v>6.8880380515560304E-7</v>
      </c>
      <c r="G637">
        <f t="shared" si="542"/>
        <v>2.8232059987535487E-4</v>
      </c>
      <c r="H637">
        <f t="shared" si="481"/>
        <v>-3.1413103294001248</v>
      </c>
      <c r="J637">
        <f t="shared" si="482"/>
        <v>15</v>
      </c>
      <c r="M637">
        <f t="shared" si="543"/>
        <v>2.4493507732837515E-4</v>
      </c>
      <c r="N637">
        <f t="shared" si="484"/>
        <v>-1.5707963250000001</v>
      </c>
      <c r="O637">
        <f t="shared" si="544"/>
        <v>1560.0033898038168</v>
      </c>
      <c r="P637">
        <f t="shared" si="486"/>
        <v>1.5701553025028845</v>
      </c>
      <c r="Q637">
        <f t="shared" si="545"/>
        <v>1320.3420261279807</v>
      </c>
      <c r="R637">
        <f t="shared" si="488"/>
        <v>1.5700389472100502</v>
      </c>
      <c r="S637">
        <f t="shared" si="546"/>
        <v>2.0081380315326212E-2</v>
      </c>
      <c r="T637">
        <f t="shared" si="490"/>
        <v>-1.5507135965588752</v>
      </c>
      <c r="U637">
        <f t="shared" si="547"/>
        <v>2.5739282076134993E-2</v>
      </c>
      <c r="V637">
        <f t="shared" si="492"/>
        <v>-1.545054201779734</v>
      </c>
      <c r="X637">
        <f t="shared" si="548"/>
        <v>-77.307835674095841</v>
      </c>
      <c r="Y637">
        <f t="shared" si="549"/>
        <v>-178.57073055679297</v>
      </c>
      <c r="Z637">
        <f t="shared" si="510"/>
        <v>1.4292694432070334</v>
      </c>
      <c r="AC637">
        <v>1</v>
      </c>
      <c r="AD637">
        <f t="shared" si="550"/>
        <v>1560.00306929166</v>
      </c>
      <c r="AE637">
        <f t="shared" si="551"/>
        <v>-7.1749090743434731</v>
      </c>
      <c r="AF637">
        <f t="shared" si="552"/>
        <v>0.18473821419059999</v>
      </c>
      <c r="AG637">
        <f t="shared" si="553"/>
        <v>5.4552215125845143</v>
      </c>
      <c r="AH637">
        <f t="shared" si="554"/>
        <v>-217.28432587197125</v>
      </c>
      <c r="AJ637">
        <f t="shared" si="497"/>
        <v>22100</v>
      </c>
      <c r="AK637">
        <f t="shared" si="555"/>
        <v>1100300.0371706071</v>
      </c>
      <c r="AL637">
        <v>12</v>
      </c>
      <c r="AM637">
        <f t="shared" si="556"/>
        <v>1320.3416474381702</v>
      </c>
      <c r="AN637">
        <f t="shared" si="557"/>
        <v>833.4282270752343</v>
      </c>
      <c r="AO637">
        <f t="shared" si="558"/>
        <v>-9.1634322817676317</v>
      </c>
      <c r="AQ637">
        <f t="shared" si="559"/>
        <v>6.7186239806596079E-5</v>
      </c>
      <c r="AR637">
        <f t="shared" si="560"/>
        <v>-0.81967212564047209</v>
      </c>
      <c r="AT637">
        <f t="shared" si="561"/>
        <v>-178.10153874001497</v>
      </c>
      <c r="AU637">
        <f t="shared" si="562"/>
        <v>-4.4860915298840291</v>
      </c>
      <c r="AV637">
        <f t="shared" si="511"/>
        <v>-3.1164095856537113</v>
      </c>
      <c r="AW637">
        <f t="shared" si="512"/>
        <v>832.04995503916723</v>
      </c>
      <c r="AX637">
        <f t="shared" si="513"/>
        <v>-953.64201704485185</v>
      </c>
      <c r="AY637">
        <f t="shared" si="521"/>
        <v>-0.85338562224909731</v>
      </c>
      <c r="BA637">
        <f t="shared" si="502"/>
        <v>0.14076975575596803</v>
      </c>
      <c r="BB637">
        <f t="shared" si="514"/>
        <v>-17.029812858310301</v>
      </c>
      <c r="BC637">
        <f t="shared" si="515"/>
        <v>-2.2630239634046139</v>
      </c>
      <c r="BD637">
        <f t="shared" si="503"/>
        <v>-309.66172218821259</v>
      </c>
      <c r="BF637">
        <f t="shared" si="504"/>
        <v>-82.662707827711642</v>
      </c>
      <c r="BG637">
        <f t="shared" si="505"/>
        <v>-220.77790091040617</v>
      </c>
      <c r="BH637">
        <f t="shared" si="516"/>
        <v>-40.777900910406174</v>
      </c>
      <c r="BI637">
        <f t="shared" si="517"/>
        <v>-40.777900910406174</v>
      </c>
      <c r="BJ637">
        <f t="shared" si="506"/>
        <v>0</v>
      </c>
      <c r="BK637">
        <f t="shared" si="518"/>
        <v>0</v>
      </c>
      <c r="BM637">
        <f t="shared" si="519"/>
        <v>-65.632894969401335</v>
      </c>
      <c r="BN637">
        <f t="shared" si="507"/>
        <v>-91.116178722193609</v>
      </c>
      <c r="BQ637" s="56">
        <f t="shared" si="520"/>
        <v>-0.1278520580251635</v>
      </c>
    </row>
    <row r="638" spans="1:69" x14ac:dyDescent="0.25">
      <c r="A638">
        <f t="shared" si="563"/>
        <v>6200000</v>
      </c>
      <c r="B638">
        <f t="shared" si="508"/>
        <v>6200</v>
      </c>
      <c r="C638">
        <f t="shared" si="539"/>
        <v>51.431311118516952</v>
      </c>
      <c r="D638">
        <f t="shared" si="540"/>
        <v>1.5513516928421112</v>
      </c>
      <c r="F638">
        <f t="shared" si="541"/>
        <v>6.6676350297345375E-7</v>
      </c>
      <c r="G638">
        <f t="shared" si="542"/>
        <v>2.7776703589090857E-4</v>
      </c>
      <c r="H638">
        <f t="shared" si="481"/>
        <v>-3.1413148829641093</v>
      </c>
      <c r="J638">
        <f t="shared" si="482"/>
        <v>15</v>
      </c>
      <c r="M638">
        <f t="shared" si="543"/>
        <v>2.4098451156501425E-4</v>
      </c>
      <c r="N638">
        <f t="shared" si="484"/>
        <v>-1.5707963250000001</v>
      </c>
      <c r="O638">
        <f t="shared" si="544"/>
        <v>1585.5772054423269</v>
      </c>
      <c r="P638">
        <f t="shared" si="486"/>
        <v>1.5701656416016045</v>
      </c>
      <c r="Q638">
        <f t="shared" si="545"/>
        <v>1341.9869650600524</v>
      </c>
      <c r="R638">
        <f t="shared" si="488"/>
        <v>1.5700511630052467</v>
      </c>
      <c r="S638">
        <f t="shared" si="546"/>
        <v>1.9757614556424767E-2</v>
      </c>
      <c r="T638">
        <f t="shared" si="490"/>
        <v>-1.5510374265712359</v>
      </c>
      <c r="U638">
        <f t="shared" si="547"/>
        <v>2.5324400792153968E-2</v>
      </c>
      <c r="V638">
        <f t="shared" si="492"/>
        <v>-1.5454692183582011</v>
      </c>
      <c r="X638">
        <f t="shared" si="548"/>
        <v>-77.59021633678536</v>
      </c>
      <c r="Y638">
        <f t="shared" si="549"/>
        <v>-178.59377280502136</v>
      </c>
      <c r="Z638">
        <f t="shared" si="510"/>
        <v>1.4062271949786407</v>
      </c>
      <c r="AC638">
        <v>1</v>
      </c>
      <c r="AD638">
        <f t="shared" si="550"/>
        <v>1585.57689009972</v>
      </c>
      <c r="AE638">
        <f t="shared" si="551"/>
        <v>-7.4120802154733409</v>
      </c>
      <c r="AF638">
        <f t="shared" si="552"/>
        <v>0.1877667095052</v>
      </c>
      <c r="AG638">
        <f t="shared" si="553"/>
        <v>5.2807777244053149</v>
      </c>
      <c r="AH638">
        <f t="shared" si="554"/>
        <v>-213.78415907248609</v>
      </c>
      <c r="AJ638">
        <f t="shared" si="497"/>
        <v>22100</v>
      </c>
      <c r="AK638">
        <f t="shared" si="555"/>
        <v>1118337.7426979942</v>
      </c>
      <c r="AL638">
        <v>13</v>
      </c>
      <c r="AM638">
        <f t="shared" si="556"/>
        <v>1341.98659247814</v>
      </c>
      <c r="AN638">
        <f t="shared" si="557"/>
        <v>833.42626442055268</v>
      </c>
      <c r="AO638">
        <f t="shared" si="558"/>
        <v>-8.3946133483567724</v>
      </c>
      <c r="AQ638">
        <f t="shared" si="559"/>
        <v>6.5036419972447842E-5</v>
      </c>
      <c r="AR638">
        <f t="shared" si="560"/>
        <v>-0.80645160765835322</v>
      </c>
      <c r="AT638">
        <f t="shared" si="561"/>
        <v>-172.40623533301766</v>
      </c>
      <c r="AU638">
        <f t="shared" si="562"/>
        <v>-4.2725954418859811</v>
      </c>
      <c r="AV638">
        <f t="shared" si="511"/>
        <v>-3.1168155851852744</v>
      </c>
      <c r="AW638">
        <f t="shared" si="512"/>
        <v>832.62533044901807</v>
      </c>
      <c r="AX638">
        <f t="shared" si="513"/>
        <v>-937.64206282865575</v>
      </c>
      <c r="AY638">
        <f t="shared" si="521"/>
        <v>-0.84465124682610837</v>
      </c>
      <c r="BA638">
        <f t="shared" si="502"/>
        <v>0.13753067755310805</v>
      </c>
      <c r="BB638">
        <f t="shared" si="514"/>
        <v>-17.2320083485289</v>
      </c>
      <c r="BC638">
        <f t="shared" si="515"/>
        <v>-2.2721643383591661</v>
      </c>
      <c r="BD638">
        <f t="shared" si="503"/>
        <v>-310.18542709687392</v>
      </c>
      <c r="BF638">
        <f t="shared" si="504"/>
        <v>-83.00619486067221</v>
      </c>
      <c r="BG638">
        <f t="shared" si="505"/>
        <v>-221.28360757611571</v>
      </c>
      <c r="BH638">
        <f t="shared" si="516"/>
        <v>-41.283607576115713</v>
      </c>
      <c r="BI638">
        <f t="shared" si="517"/>
        <v>-41.283607576115713</v>
      </c>
      <c r="BJ638">
        <f t="shared" si="506"/>
        <v>0</v>
      </c>
      <c r="BK638">
        <f t="shared" si="518"/>
        <v>0</v>
      </c>
      <c r="BM638">
        <f t="shared" si="519"/>
        <v>-65.774186512143316</v>
      </c>
      <c r="BN638">
        <f t="shared" si="507"/>
        <v>-91.098180479241847</v>
      </c>
      <c r="BQ638" s="56">
        <f t="shared" si="520"/>
        <v>-0.33004754824376481</v>
      </c>
    </row>
    <row r="639" spans="1:69" x14ac:dyDescent="0.25">
      <c r="A639">
        <f t="shared" si="563"/>
        <v>6300000</v>
      </c>
      <c r="B639">
        <f t="shared" si="508"/>
        <v>6300</v>
      </c>
      <c r="C639">
        <f t="shared" si="539"/>
        <v>52.26053727924613</v>
      </c>
      <c r="D639">
        <f t="shared" si="540"/>
        <v>1.5516602618753841</v>
      </c>
      <c r="F639">
        <f t="shared" si="541"/>
        <v>6.45764387605395E-7</v>
      </c>
      <c r="G639">
        <f t="shared" si="542"/>
        <v>2.733580297685828E-4</v>
      </c>
      <c r="H639">
        <f t="shared" si="481"/>
        <v>-3.1413192919702317</v>
      </c>
      <c r="J639">
        <f t="shared" si="482"/>
        <v>15</v>
      </c>
      <c r="M639">
        <f t="shared" si="543"/>
        <v>2.371593605877918E-4</v>
      </c>
      <c r="N639">
        <f t="shared" si="484"/>
        <v>-1.5707963250000001</v>
      </c>
      <c r="O639">
        <f t="shared" si="544"/>
        <v>1611.1510212449496</v>
      </c>
      <c r="P639">
        <f t="shared" si="486"/>
        <v>1.5701756524750967</v>
      </c>
      <c r="Q639">
        <f t="shared" si="545"/>
        <v>1363.6319041860254</v>
      </c>
      <c r="R639">
        <f t="shared" si="488"/>
        <v>1.5700629909976331</v>
      </c>
      <c r="S639">
        <f t="shared" si="546"/>
        <v>1.9444121151637545E-2</v>
      </c>
      <c r="T639">
        <f t="shared" si="490"/>
        <v>-1.551350980215813</v>
      </c>
      <c r="U639">
        <f t="shared" si="547"/>
        <v>2.4922677871164263E-2</v>
      </c>
      <c r="V639">
        <f t="shared" si="492"/>
        <v>-1.5458710681241421</v>
      </c>
      <c r="X639">
        <f t="shared" si="548"/>
        <v>-77.868081634074031</v>
      </c>
      <c r="Y639">
        <f t="shared" si="549"/>
        <v>-178.61608404042232</v>
      </c>
      <c r="Z639">
        <f t="shared" si="510"/>
        <v>1.3839159595776778</v>
      </c>
      <c r="AC639">
        <v>1</v>
      </c>
      <c r="AD639">
        <f t="shared" si="550"/>
        <v>1611.15071090778</v>
      </c>
      <c r="AE639">
        <f t="shared" si="551"/>
        <v>-7.6531077979223969</v>
      </c>
      <c r="AF639">
        <f t="shared" si="552"/>
        <v>0.1907952048198</v>
      </c>
      <c r="AG639">
        <f t="shared" si="553"/>
        <v>5.1145677967533842</v>
      </c>
      <c r="AH639">
        <f t="shared" si="554"/>
        <v>-210.39490340571848</v>
      </c>
      <c r="AJ639">
        <f t="shared" si="497"/>
        <v>22100</v>
      </c>
      <c r="AK639">
        <f t="shared" si="555"/>
        <v>1136375.4482253811</v>
      </c>
      <c r="AL639">
        <v>14</v>
      </c>
      <c r="AM639">
        <f t="shared" si="556"/>
        <v>1363.6315375181102</v>
      </c>
      <c r="AN639">
        <f t="shared" si="557"/>
        <v>833.423487161602</v>
      </c>
      <c r="AO639">
        <f t="shared" si="558"/>
        <v>-7.6502126070834038</v>
      </c>
      <c r="AQ639">
        <f t="shared" si="559"/>
        <v>6.2988157829502655E-5</v>
      </c>
      <c r="AR639">
        <f t="shared" si="560"/>
        <v>-0.79365078865173355</v>
      </c>
      <c r="AT639">
        <f t="shared" si="561"/>
        <v>-166.97975885905015</v>
      </c>
      <c r="AU639">
        <f t="shared" si="562"/>
        <v>-4.0724331528883253</v>
      </c>
      <c r="AV639">
        <f t="shared" si="511"/>
        <v>-3.1172087041596401</v>
      </c>
      <c r="AW639">
        <f t="shared" si="512"/>
        <v>833.16420526988759</v>
      </c>
      <c r="AX639">
        <f t="shared" si="513"/>
        <v>-922.14919041950054</v>
      </c>
      <c r="AY639">
        <f t="shared" si="521"/>
        <v>-0.8360494452728261</v>
      </c>
      <c r="BA639">
        <f t="shared" si="502"/>
        <v>0.13439897072956555</v>
      </c>
      <c r="BB639">
        <f t="shared" si="514"/>
        <v>-17.432081144718531</v>
      </c>
      <c r="BC639">
        <f t="shared" si="515"/>
        <v>-2.2811592588868139</v>
      </c>
      <c r="BD639">
        <f t="shared" si="503"/>
        <v>-310.70079808075263</v>
      </c>
      <c r="BF639">
        <f t="shared" si="504"/>
        <v>-83.345296737227073</v>
      </c>
      <c r="BG639">
        <f t="shared" si="505"/>
        <v>-221.78155147412221</v>
      </c>
      <c r="BH639">
        <f t="shared" si="516"/>
        <v>-41.78155147412221</v>
      </c>
      <c r="BI639">
        <f t="shared" si="517"/>
        <v>-41.78155147412221</v>
      </c>
      <c r="BJ639">
        <f t="shared" si="506"/>
        <v>0</v>
      </c>
      <c r="BK639">
        <f t="shared" si="518"/>
        <v>0</v>
      </c>
      <c r="BM639">
        <f t="shared" si="519"/>
        <v>-65.913215592508536</v>
      </c>
      <c r="BN639">
        <f t="shared" si="507"/>
        <v>-91.080753393369633</v>
      </c>
      <c r="BQ639" s="56">
        <f t="shared" si="520"/>
        <v>-0.53012034443339529</v>
      </c>
    </row>
    <row r="640" spans="1:69" x14ac:dyDescent="0.25">
      <c r="A640">
        <f t="shared" si="563"/>
        <v>6400000</v>
      </c>
      <c r="B640">
        <f t="shared" si="508"/>
        <v>6400</v>
      </c>
      <c r="C640">
        <f t="shared" si="539"/>
        <v>53.08976826051132</v>
      </c>
      <c r="D640">
        <f t="shared" si="540"/>
        <v>1.5519591916024538</v>
      </c>
      <c r="F640">
        <f t="shared" si="541"/>
        <v>6.2574189593620416E-7</v>
      </c>
      <c r="G640">
        <f t="shared" si="542"/>
        <v>2.6908680534178564E-4</v>
      </c>
      <c r="H640">
        <f t="shared" si="481"/>
        <v>-3.1413235631946583</v>
      </c>
      <c r="J640">
        <f t="shared" si="482"/>
        <v>15</v>
      </c>
      <c r="M640">
        <f t="shared" si="543"/>
        <v>2.3345374557860756E-4</v>
      </c>
      <c r="N640">
        <f t="shared" si="484"/>
        <v>-1.5707963250000001</v>
      </c>
      <c r="O640">
        <f t="shared" si="544"/>
        <v>1636.7248372039924</v>
      </c>
      <c r="P640">
        <f t="shared" si="486"/>
        <v>1.5701853505089109</v>
      </c>
      <c r="Q640">
        <f t="shared" si="545"/>
        <v>1385.2768434968107</v>
      </c>
      <c r="R640">
        <f t="shared" si="488"/>
        <v>1.570074449365453</v>
      </c>
      <c r="S640">
        <f t="shared" si="546"/>
        <v>1.9140418945796024E-2</v>
      </c>
      <c r="T640">
        <f t="shared" si="490"/>
        <v>-1.5516547389563227</v>
      </c>
      <c r="U640">
        <f t="shared" si="547"/>
        <v>2.4533497275576664E-2</v>
      </c>
      <c r="V640">
        <f t="shared" si="492"/>
        <v>-1.5462603677645366</v>
      </c>
      <c r="X640">
        <f t="shared" si="548"/>
        <v>-78.141573656562798</v>
      </c>
      <c r="Y640">
        <f t="shared" si="549"/>
        <v>-178.6376984995066</v>
      </c>
      <c r="Z640">
        <f t="shared" si="510"/>
        <v>1.3623015004934018</v>
      </c>
      <c r="AC640">
        <v>1</v>
      </c>
      <c r="AD640">
        <f t="shared" si="550"/>
        <v>1636.7245317158399</v>
      </c>
      <c r="AE640">
        <f t="shared" si="551"/>
        <v>-7.8979918216906375</v>
      </c>
      <c r="AF640">
        <f t="shared" si="552"/>
        <v>0.19382370013440001</v>
      </c>
      <c r="AG640">
        <f t="shared" si="553"/>
        <v>4.9560816759390747</v>
      </c>
      <c r="AH640">
        <f t="shared" si="554"/>
        <v>-207.11137242949067</v>
      </c>
      <c r="AJ640">
        <f t="shared" si="497"/>
        <v>22100</v>
      </c>
      <c r="AK640">
        <f t="shared" si="555"/>
        <v>1154413.1537527679</v>
      </c>
      <c r="AL640">
        <v>15</v>
      </c>
      <c r="AM640">
        <f t="shared" si="556"/>
        <v>1385.27648255808</v>
      </c>
      <c r="AN640">
        <f t="shared" si="557"/>
        <v>833.41997397972364</v>
      </c>
      <c r="AO640">
        <f t="shared" si="558"/>
        <v>-6.9290863673502816</v>
      </c>
      <c r="AQ640">
        <f t="shared" si="559"/>
        <v>6.1035155877470973E-5</v>
      </c>
      <c r="AR640">
        <f t="shared" si="560"/>
        <v>-0.78124999523162841</v>
      </c>
      <c r="AT640">
        <f t="shared" si="561"/>
        <v>-161.80545622773798</v>
      </c>
      <c r="AU640">
        <f t="shared" si="562"/>
        <v>-3.8845798605951938</v>
      </c>
      <c r="AV640">
        <f t="shared" si="511"/>
        <v>-3.1175895458455778</v>
      </c>
      <c r="AW640">
        <f t="shared" si="512"/>
        <v>833.66913149756022</v>
      </c>
      <c r="AX640">
        <f t="shared" si="513"/>
        <v>-907.13970705473059</v>
      </c>
      <c r="AY640">
        <f t="shared" si="521"/>
        <v>-0.8275779808224214</v>
      </c>
      <c r="BA640">
        <f t="shared" si="502"/>
        <v>0.13136986361178712</v>
      </c>
      <c r="BB640">
        <f t="shared" si="514"/>
        <v>-17.630085019451535</v>
      </c>
      <c r="BC640">
        <f t="shared" si="515"/>
        <v>-2.2900115650231565</v>
      </c>
      <c r="BD640">
        <f t="shared" si="503"/>
        <v>-311.20799786190236</v>
      </c>
      <c r="BF640">
        <f t="shared" si="504"/>
        <v>-83.680138571514377</v>
      </c>
      <c r="BG640">
        <f t="shared" si="505"/>
        <v>-222.27186856665355</v>
      </c>
      <c r="BH640">
        <f t="shared" si="516"/>
        <v>-42.271868566653552</v>
      </c>
      <c r="BI640">
        <f t="shared" si="517"/>
        <v>-42.271868566653552</v>
      </c>
      <c r="BJ640">
        <f t="shared" si="506"/>
        <v>0</v>
      </c>
      <c r="BK640">
        <f t="shared" si="518"/>
        <v>0</v>
      </c>
      <c r="BM640">
        <f t="shared" si="519"/>
        <v>-66.050053552062835</v>
      </c>
      <c r="BN640">
        <f t="shared" si="507"/>
        <v>-91.063870704751238</v>
      </c>
      <c r="BQ640" s="56">
        <f t="shared" si="520"/>
        <v>-0.72812421916639936</v>
      </c>
    </row>
    <row r="641" spans="1:69" x14ac:dyDescent="0.25">
      <c r="A641">
        <f t="shared" si="563"/>
        <v>6500000</v>
      </c>
      <c r="B641">
        <f t="shared" si="508"/>
        <v>6500</v>
      </c>
      <c r="C641">
        <f t="shared" si="539"/>
        <v>53.919003839904619</v>
      </c>
      <c r="D641">
        <f t="shared" si="540"/>
        <v>1.5522489267054556</v>
      </c>
      <c r="F641">
        <f t="shared" si="541"/>
        <v>6.0663639274122892E-7</v>
      </c>
      <c r="G641">
        <f t="shared" si="542"/>
        <v>2.6494700344005496E-4</v>
      </c>
      <c r="H641">
        <f t="shared" si="481"/>
        <v>-3.1413277029965601</v>
      </c>
      <c r="J641">
        <f t="shared" si="482"/>
        <v>15</v>
      </c>
      <c r="M641">
        <f t="shared" si="543"/>
        <v>2.2986214949278279E-4</v>
      </c>
      <c r="N641">
        <f t="shared" si="484"/>
        <v>-1.5707963250000001</v>
      </c>
      <c r="O641">
        <f t="shared" si="544"/>
        <v>1662.2986533122355</v>
      </c>
      <c r="P641">
        <f t="shared" si="486"/>
        <v>1.5701947501417945</v>
      </c>
      <c r="Q641">
        <f t="shared" si="545"/>
        <v>1406.9217829838785</v>
      </c>
      <c r="R641">
        <f t="shared" si="488"/>
        <v>1.5700855551682902</v>
      </c>
      <c r="S641">
        <f t="shared" si="546"/>
        <v>1.8846056366132985E-2</v>
      </c>
      <c r="T641">
        <f t="shared" si="490"/>
        <v>-1.5519491546460511</v>
      </c>
      <c r="U641">
        <f t="shared" si="547"/>
        <v>2.4156280820692082E-2</v>
      </c>
      <c r="V641">
        <f t="shared" si="492"/>
        <v>-1.5466376960544979</v>
      </c>
      <c r="X641">
        <f t="shared" si="548"/>
        <v>-78.410827893591431</v>
      </c>
      <c r="Y641">
        <f t="shared" si="549"/>
        <v>-178.65864831415439</v>
      </c>
      <c r="Z641">
        <f t="shared" si="510"/>
        <v>1.3413516858456092</v>
      </c>
      <c r="AC641">
        <v>1</v>
      </c>
      <c r="AD641">
        <f t="shared" si="550"/>
        <v>1662.2983525239001</v>
      </c>
      <c r="AE641">
        <f t="shared" si="551"/>
        <v>-8.1467322867780627</v>
      </c>
      <c r="AF641">
        <f t="shared" si="552"/>
        <v>0.19685219544899998</v>
      </c>
      <c r="AG641">
        <f t="shared" si="553"/>
        <v>4.8048481924045108</v>
      </c>
      <c r="AH641">
        <f t="shared" si="554"/>
        <v>-203.92869792772726</v>
      </c>
      <c r="AJ641">
        <f t="shared" si="497"/>
        <v>22100</v>
      </c>
      <c r="AK641">
        <f t="shared" si="555"/>
        <v>1172450.859280155</v>
      </c>
      <c r="AL641">
        <v>16</v>
      </c>
      <c r="AM641">
        <f t="shared" si="556"/>
        <v>1406.9214275980503</v>
      </c>
      <c r="AN641">
        <f t="shared" si="557"/>
        <v>833.41579626151417</v>
      </c>
      <c r="AO641">
        <f t="shared" si="558"/>
        <v>-6.2301611787804703</v>
      </c>
      <c r="AQ641">
        <f t="shared" si="559"/>
        <v>5.9171597283008303E-5</v>
      </c>
      <c r="AR641">
        <f t="shared" si="560"/>
        <v>-0.76923076467910789</v>
      </c>
      <c r="AT641">
        <f t="shared" si="561"/>
        <v>-156.86794393641821</v>
      </c>
      <c r="AU641">
        <f t="shared" si="562"/>
        <v>-3.7081038359985792</v>
      </c>
      <c r="AV641">
        <f t="shared" si="511"/>
        <v>-3.117958676425725</v>
      </c>
      <c r="AW641">
        <f t="shared" si="512"/>
        <v>834.14245321090448</v>
      </c>
      <c r="AX641">
        <f t="shared" si="513"/>
        <v>-892.59137111495886</v>
      </c>
      <c r="AY641">
        <f t="shared" si="521"/>
        <v>-0.81923465236132187</v>
      </c>
      <c r="BA641">
        <f t="shared" si="502"/>
        <v>0.1284388613817212</v>
      </c>
      <c r="BB641">
        <f t="shared" si="514"/>
        <v>-17.826071062706674</v>
      </c>
      <c r="BC641">
        <f t="shared" si="515"/>
        <v>-2.2987240240644029</v>
      </c>
      <c r="BD641">
        <f t="shared" si="503"/>
        <v>-311.70718499471678</v>
      </c>
      <c r="BF641">
        <f t="shared" si="504"/>
        <v>-84.010839471845742</v>
      </c>
      <c r="BG641">
        <f t="shared" si="505"/>
        <v>-222.75469229404749</v>
      </c>
      <c r="BH641">
        <f t="shared" si="516"/>
        <v>-42.754692294047487</v>
      </c>
      <c r="BI641">
        <f t="shared" si="517"/>
        <v>-42.754692294047487</v>
      </c>
      <c r="BJ641">
        <f t="shared" si="506"/>
        <v>0</v>
      </c>
      <c r="BK641">
        <f t="shared" si="518"/>
        <v>0</v>
      </c>
      <c r="BM641">
        <f t="shared" si="519"/>
        <v>-66.184768409139068</v>
      </c>
      <c r="BN641">
        <f t="shared" si="507"/>
        <v>-91.047507299330732</v>
      </c>
      <c r="BQ641" s="56">
        <f t="shared" si="520"/>
        <v>-0.92411026242153893</v>
      </c>
    </row>
    <row r="642" spans="1:69" x14ac:dyDescent="0.25">
      <c r="A642">
        <f t="shared" si="563"/>
        <v>6600000</v>
      </c>
      <c r="B642">
        <f t="shared" si="508"/>
        <v>6600</v>
      </c>
      <c r="C642">
        <f t="shared" si="539"/>
        <v>54.748243808491559</v>
      </c>
      <c r="D642">
        <f t="shared" si="540"/>
        <v>1.5525298849315543</v>
      </c>
      <c r="F642">
        <f t="shared" si="541"/>
        <v>5.8839272612552862E-7</v>
      </c>
      <c r="G642">
        <f t="shared" si="542"/>
        <v>2.6093265029833099E-4</v>
      </c>
      <c r="H642">
        <f t="shared" si="481"/>
        <v>-3.141331717349702</v>
      </c>
      <c r="J642">
        <f t="shared" si="482"/>
        <v>15</v>
      </c>
      <c r="M642">
        <f t="shared" si="543"/>
        <v>2.2637938965198307E-4</v>
      </c>
      <c r="N642">
        <f t="shared" si="484"/>
        <v>-1.5707963250000001</v>
      </c>
      <c r="O642">
        <f t="shared" si="544"/>
        <v>1687.8724695628971</v>
      </c>
      <c r="P642">
        <f t="shared" si="486"/>
        <v>1.5702038649374195</v>
      </c>
      <c r="Q642">
        <f t="shared" si="545"/>
        <v>1428.5667226392161</v>
      </c>
      <c r="R642">
        <f t="shared" si="488"/>
        <v>1.5700963244318149</v>
      </c>
      <c r="S642">
        <f t="shared" si="546"/>
        <v>1.8560609183601924E-2</v>
      </c>
      <c r="T642">
        <f t="shared" si="490"/>
        <v>-1.5522346517694594</v>
      </c>
      <c r="U642">
        <f t="shared" si="547"/>
        <v>2.3790485312127695E-2</v>
      </c>
      <c r="V642">
        <f t="shared" si="492"/>
        <v>-1.5470035967260014</v>
      </c>
      <c r="X642">
        <f t="shared" si="548"/>
        <v>-78.675973635802293</v>
      </c>
      <c r="Y642">
        <f t="shared" si="549"/>
        <v>-178.67896367085888</v>
      </c>
      <c r="Z642">
        <f t="shared" si="510"/>
        <v>1.3210363291411227</v>
      </c>
      <c r="AC642">
        <v>1</v>
      </c>
      <c r="AD642">
        <f t="shared" si="550"/>
        <v>1687.8721733319601</v>
      </c>
      <c r="AE642">
        <f t="shared" si="551"/>
        <v>-8.3993291931846734</v>
      </c>
      <c r="AF642">
        <f t="shared" si="552"/>
        <v>0.19988069076360002</v>
      </c>
      <c r="AG642">
        <f t="shared" si="553"/>
        <v>4.660431557649436</v>
      </c>
      <c r="AH642">
        <f t="shared" si="554"/>
        <v>-200.84230588578035</v>
      </c>
      <c r="AJ642">
        <f t="shared" si="497"/>
        <v>22100</v>
      </c>
      <c r="AK642">
        <f t="shared" si="555"/>
        <v>1190488.5648075421</v>
      </c>
      <c r="AL642">
        <v>17</v>
      </c>
      <c r="AM642">
        <f t="shared" si="556"/>
        <v>1428.5663726380201</v>
      </c>
      <c r="AN642">
        <f t="shared" si="557"/>
        <v>833.4110188341773</v>
      </c>
      <c r="AO642">
        <f t="shared" si="558"/>
        <v>-5.5524285267695124</v>
      </c>
      <c r="AQ642">
        <f t="shared" si="559"/>
        <v>5.7392102517262957E-5</v>
      </c>
      <c r="AR642">
        <f t="shared" si="560"/>
        <v>-0.75757575322787107</v>
      </c>
      <c r="AT642">
        <f t="shared" si="561"/>
        <v>-152.1529936894768</v>
      </c>
      <c r="AU642">
        <f t="shared" si="562"/>
        <v>-3.5421567098624118</v>
      </c>
      <c r="AV642">
        <f t="shared" si="511"/>
        <v>-3.1183166278027623</v>
      </c>
      <c r="AW642">
        <f t="shared" si="512"/>
        <v>834.58632610730331</v>
      </c>
      <c r="AX642">
        <f t="shared" si="513"/>
        <v>-878.48328286502851</v>
      </c>
      <c r="AY642">
        <f t="shared" si="521"/>
        <v>-0.81101729313637683</v>
      </c>
      <c r="BA642">
        <f t="shared" si="502"/>
        <v>0.12560172568292005</v>
      </c>
      <c r="BB642">
        <f t="shared" si="514"/>
        <v>-18.020087872896649</v>
      </c>
      <c r="BC642">
        <f t="shared" si="515"/>
        <v>-2.3072993346663857</v>
      </c>
      <c r="BD642">
        <f t="shared" si="503"/>
        <v>-312.19851410078559</v>
      </c>
      <c r="BF642">
        <f t="shared" si="504"/>
        <v>-84.337512935053653</v>
      </c>
      <c r="BG642">
        <f t="shared" si="505"/>
        <v>-223.23015368501578</v>
      </c>
      <c r="BH642">
        <f t="shared" si="516"/>
        <v>-43.230153685015779</v>
      </c>
      <c r="BI642">
        <f t="shared" si="517"/>
        <v>-43.230153685015779</v>
      </c>
      <c r="BJ642">
        <f t="shared" si="506"/>
        <v>0</v>
      </c>
      <c r="BK642">
        <f t="shared" si="518"/>
        <v>0</v>
      </c>
      <c r="BM642">
        <f t="shared" si="519"/>
        <v>-66.317425062157</v>
      </c>
      <c r="BN642">
        <f t="shared" si="507"/>
        <v>-91.031639584230177</v>
      </c>
      <c r="BQ642" s="56">
        <f t="shared" si="520"/>
        <v>-1.1181270726115129</v>
      </c>
    </row>
    <row r="643" spans="1:69" x14ac:dyDescent="0.25">
      <c r="A643">
        <f t="shared" si="563"/>
        <v>6700000</v>
      </c>
      <c r="B643">
        <f t="shared" si="508"/>
        <v>6700</v>
      </c>
      <c r="C643">
        <f t="shared" si="539"/>
        <v>55.577487969806207</v>
      </c>
      <c r="D643">
        <f t="shared" si="540"/>
        <v>1.552802459101664</v>
      </c>
      <c r="F643">
        <f t="shared" si="541"/>
        <v>5.7095982905857433E-7</v>
      </c>
      <c r="G643">
        <f t="shared" si="542"/>
        <v>2.5703812879525957E-4</v>
      </c>
      <c r="H643">
        <f t="shared" si="481"/>
        <v>-3.141335611871205</v>
      </c>
      <c r="J643">
        <f t="shared" si="482"/>
        <v>15</v>
      </c>
      <c r="M643">
        <f t="shared" si="543"/>
        <v>2.2300059279150571E-4</v>
      </c>
      <c r="N643">
        <f t="shared" si="484"/>
        <v>-1.5707963250000001</v>
      </c>
      <c r="O643">
        <f t="shared" si="544"/>
        <v>1713.4462859496007</v>
      </c>
      <c r="P643">
        <f t="shared" si="486"/>
        <v>1.570212707649687</v>
      </c>
      <c r="Q643">
        <f t="shared" si="545"/>
        <v>1450.2116624552889</v>
      </c>
      <c r="R643">
        <f t="shared" si="488"/>
        <v>1.570106772224942</v>
      </c>
      <c r="S643">
        <f t="shared" si="546"/>
        <v>1.8283678474429375E-2</v>
      </c>
      <c r="T643">
        <f t="shared" si="490"/>
        <v>-1.5525116294832153</v>
      </c>
      <c r="U643">
        <f t="shared" si="547"/>
        <v>2.3435599939075714E-2</v>
      </c>
      <c r="V643">
        <f t="shared" si="492"/>
        <v>-1.5473585810800583</v>
      </c>
      <c r="X643">
        <f t="shared" si="548"/>
        <v>-78.937134347486207</v>
      </c>
      <c r="Y643">
        <f t="shared" si="549"/>
        <v>-178.69867295572942</v>
      </c>
      <c r="Z643">
        <f t="shared" si="510"/>
        <v>1.3013270442705789</v>
      </c>
      <c r="AC643">
        <v>1</v>
      </c>
      <c r="AD643">
        <f t="shared" si="550"/>
        <v>1713.44599414002</v>
      </c>
      <c r="AE643">
        <f t="shared" si="551"/>
        <v>-8.6557825409104669</v>
      </c>
      <c r="AF643">
        <f t="shared" si="552"/>
        <v>0.20290918607819999</v>
      </c>
      <c r="AG643">
        <f t="shared" si="553"/>
        <v>4.522428223829051</v>
      </c>
      <c r="AH643">
        <f t="shared" si="554"/>
        <v>-197.8478946087169</v>
      </c>
      <c r="AJ643">
        <f t="shared" si="497"/>
        <v>22100</v>
      </c>
      <c r="AK643">
        <f t="shared" si="555"/>
        <v>1208526.2703349292</v>
      </c>
      <c r="AL643">
        <v>18</v>
      </c>
      <c r="AM643">
        <f t="shared" si="556"/>
        <v>1450.2113176779901</v>
      </c>
      <c r="AN643">
        <f t="shared" si="557"/>
        <v>833.40570061894425</v>
      </c>
      <c r="AO643">
        <f t="shared" si="558"/>
        <v>-4.8949400010372948</v>
      </c>
      <c r="AQ643">
        <f t="shared" si="559"/>
        <v>5.5691690489576241E-5</v>
      </c>
      <c r="AR643">
        <f t="shared" si="560"/>
        <v>-0.7462686525603216</v>
      </c>
      <c r="AT643">
        <f t="shared" si="561"/>
        <v>-147.64742985987078</v>
      </c>
      <c r="AU643">
        <f t="shared" si="562"/>
        <v>-3.3859649006082373</v>
      </c>
      <c r="AV643">
        <f t="shared" si="511"/>
        <v>-3.1186639001546315</v>
      </c>
      <c r="AW643">
        <f t="shared" si="512"/>
        <v>835.00273495621377</v>
      </c>
      <c r="AX643">
        <f t="shared" si="513"/>
        <v>-864.79578490557719</v>
      </c>
      <c r="AY643">
        <f t="shared" si="521"/>
        <v>-0.80292376967259216</v>
      </c>
      <c r="BA643">
        <f t="shared" si="502"/>
        <v>0.12285445605512878</v>
      </c>
      <c r="BB643">
        <f t="shared" si="514"/>
        <v>-18.212181731979754</v>
      </c>
      <c r="BC643">
        <f t="shared" si="515"/>
        <v>-2.3157401304820393</v>
      </c>
      <c r="BD643">
        <f t="shared" si="503"/>
        <v>-312.68213607730684</v>
      </c>
      <c r="BF643">
        <f t="shared" si="504"/>
        <v>-84.660267209602665</v>
      </c>
      <c r="BG643">
        <f t="shared" si="505"/>
        <v>-223.69838145161322</v>
      </c>
      <c r="BH643">
        <f t="shared" si="516"/>
        <v>-43.698381451613216</v>
      </c>
      <c r="BI643">
        <f t="shared" si="517"/>
        <v>-43.698381451613216</v>
      </c>
      <c r="BJ643">
        <f t="shared" si="506"/>
        <v>0</v>
      </c>
      <c r="BK643">
        <f t="shared" si="518"/>
        <v>0</v>
      </c>
      <c r="BM643">
        <f t="shared" si="519"/>
        <v>-66.448085477622911</v>
      </c>
      <c r="BN643">
        <f t="shared" si="507"/>
        <v>-91.016245374306351</v>
      </c>
      <c r="BQ643" s="56">
        <f t="shared" si="520"/>
        <v>-1.3102209316946187</v>
      </c>
    </row>
    <row r="644" spans="1:69" x14ac:dyDescent="0.25">
      <c r="A644">
        <f t="shared" si="563"/>
        <v>6800000</v>
      </c>
      <c r="B644">
        <f t="shared" si="508"/>
        <v>6800</v>
      </c>
      <c r="C644">
        <f t="shared" si="539"/>
        <v>56.406736138934733</v>
      </c>
      <c r="D644">
        <f t="shared" si="540"/>
        <v>1.5530670189420634</v>
      </c>
      <c r="F644">
        <f t="shared" si="541"/>
        <v>5.542903616219888E-7</v>
      </c>
      <c r="G644">
        <f t="shared" si="542"/>
        <v>2.5325815222930297E-4</v>
      </c>
      <c r="H644">
        <f t="shared" si="481"/>
        <v>-3.141339391847771</v>
      </c>
      <c r="J644">
        <f t="shared" si="482"/>
        <v>15</v>
      </c>
      <c r="M644">
        <f t="shared" si="543"/>
        <v>2.1972117230927769E-4</v>
      </c>
      <c r="N644">
        <f t="shared" si="484"/>
        <v>-1.5707963250000001</v>
      </c>
      <c r="O644">
        <f t="shared" si="544"/>
        <v>1739.020102466344</v>
      </c>
      <c r="P644">
        <f t="shared" si="486"/>
        <v>1.5702212902822692</v>
      </c>
      <c r="Q644">
        <f t="shared" si="545"/>
        <v>1471.8566024250058</v>
      </c>
      <c r="R644">
        <f t="shared" si="488"/>
        <v>1.5701169127301797</v>
      </c>
      <c r="S644">
        <f t="shared" si="546"/>
        <v>1.8014888761316027E-2</v>
      </c>
      <c r="T644">
        <f t="shared" si="490"/>
        <v>-1.5527804634772735</v>
      </c>
      <c r="U644">
        <f t="shared" si="547"/>
        <v>2.3091143897118659E-2</v>
      </c>
      <c r="V644">
        <f t="shared" si="492"/>
        <v>-1.5477031303687019</v>
      </c>
      <c r="X644">
        <f t="shared" si="548"/>
        <v>-79.194428011391153</v>
      </c>
      <c r="Y644">
        <f t="shared" si="549"/>
        <v>-178.717802886718</v>
      </c>
      <c r="Z644">
        <f t="shared" si="510"/>
        <v>1.2821971132819954</v>
      </c>
      <c r="AC644">
        <v>1</v>
      </c>
      <c r="AD644">
        <f t="shared" si="550"/>
        <v>1739.01981494808</v>
      </c>
      <c r="AE644">
        <f t="shared" si="551"/>
        <v>-8.9160923299554469</v>
      </c>
      <c r="AF644">
        <f t="shared" si="552"/>
        <v>0.2059376813928</v>
      </c>
      <c r="AG644">
        <f t="shared" si="553"/>
        <v>4.3904640637462498</v>
      </c>
      <c r="AH644">
        <f t="shared" si="554"/>
        <v>-194.94141476294462</v>
      </c>
      <c r="AJ644">
        <f t="shared" si="497"/>
        <v>22100</v>
      </c>
      <c r="AK644">
        <f t="shared" si="555"/>
        <v>1226563.9758623161</v>
      </c>
      <c r="AL644">
        <v>19</v>
      </c>
      <c r="AM644">
        <f t="shared" si="556"/>
        <v>1471.8562627179601</v>
      </c>
      <c r="AN644">
        <f t="shared" si="557"/>
        <v>833.39989521263067</v>
      </c>
      <c r="AO644">
        <f t="shared" si="558"/>
        <v>-4.2568028887482505</v>
      </c>
      <c r="AQ644">
        <f t="shared" si="559"/>
        <v>5.4065743652326213E-5</v>
      </c>
      <c r="AR644">
        <f t="shared" si="560"/>
        <v>-0.73529411367163655</v>
      </c>
      <c r="AT644">
        <f t="shared" si="561"/>
        <v>-143.33903741230966</v>
      </c>
      <c r="AU644">
        <f t="shared" si="562"/>
        <v>-3.2388220349172654</v>
      </c>
      <c r="AV644">
        <f t="shared" si="511"/>
        <v>-3.1190009642645937</v>
      </c>
      <c r="AW644">
        <f t="shared" si="512"/>
        <v>835.39350921871448</v>
      </c>
      <c r="AX644">
        <f t="shared" si="513"/>
        <v>-851.51037134448018</v>
      </c>
      <c r="AY644">
        <f t="shared" si="521"/>
        <v>-0.79495198086781316</v>
      </c>
      <c r="BA644">
        <f t="shared" si="502"/>
        <v>0.120193273006467</v>
      </c>
      <c r="BB644">
        <f t="shared" si="514"/>
        <v>-18.40239676612066</v>
      </c>
      <c r="BC644">
        <f t="shared" si="515"/>
        <v>-2.3240489833967803</v>
      </c>
      <c r="BD644">
        <f t="shared" si="503"/>
        <v>-313.15819828246049</v>
      </c>
      <c r="BF644">
        <f t="shared" si="504"/>
        <v>-84.979205630294885</v>
      </c>
      <c r="BG644">
        <f t="shared" si="505"/>
        <v>-224.1595020711701</v>
      </c>
      <c r="BH644">
        <f t="shared" si="516"/>
        <v>-44.159502071170095</v>
      </c>
      <c r="BI644">
        <f t="shared" si="517"/>
        <v>-44.159502071170095</v>
      </c>
      <c r="BJ644">
        <f t="shared" si="506"/>
        <v>0</v>
      </c>
      <c r="BK644">
        <f t="shared" si="518"/>
        <v>0</v>
      </c>
      <c r="BM644">
        <f t="shared" si="519"/>
        <v>-66.576808864174225</v>
      </c>
      <c r="BN644">
        <f t="shared" si="507"/>
        <v>-91.001303788709635</v>
      </c>
      <c r="BQ644" s="56">
        <f t="shared" si="520"/>
        <v>-1.5004359658355246</v>
      </c>
    </row>
    <row r="645" spans="1:69" x14ac:dyDescent="0.25">
      <c r="A645">
        <f t="shared" si="563"/>
        <v>6900000</v>
      </c>
      <c r="B645">
        <f t="shared" si="508"/>
        <v>6900</v>
      </c>
      <c r="C645">
        <f t="shared" si="539"/>
        <v>57.235988141678739</v>
      </c>
      <c r="D645">
        <f t="shared" si="540"/>
        <v>1.5533239127568585</v>
      </c>
      <c r="F645">
        <f t="shared" si="541"/>
        <v>5.3834038928470034E-7</v>
      </c>
      <c r="G645">
        <f t="shared" si="542"/>
        <v>2.4958774037519681E-4</v>
      </c>
      <c r="H645">
        <f t="shared" si="481"/>
        <v>-3.141343062259625</v>
      </c>
      <c r="J645">
        <f t="shared" si="482"/>
        <v>15</v>
      </c>
      <c r="M645">
        <f t="shared" si="543"/>
        <v>2.1653680749320121E-4</v>
      </c>
      <c r="N645">
        <f t="shared" si="484"/>
        <v>-1.5707963250000001</v>
      </c>
      <c r="O645">
        <f t="shared" si="544"/>
        <v>1764.5939191074733</v>
      </c>
      <c r="P645">
        <f t="shared" si="486"/>
        <v>1.5702296241429736</v>
      </c>
      <c r="Q645">
        <f t="shared" si="545"/>
        <v>1493.5015425416861</v>
      </c>
      <c r="R645">
        <f t="shared" si="488"/>
        <v>1.5701267593078632</v>
      </c>
      <c r="S645">
        <f t="shared" si="546"/>
        <v>1.7753886316085876E-2</v>
      </c>
      <c r="T645">
        <f t="shared" si="490"/>
        <v>-1.5530415076742494</v>
      </c>
      <c r="U645">
        <f t="shared" si="547"/>
        <v>2.2756664217363661E-2</v>
      </c>
      <c r="V645">
        <f t="shared" si="492"/>
        <v>-1.5480376979701083</v>
      </c>
      <c r="X645">
        <f t="shared" si="548"/>
        <v>-79.447967448401585</v>
      </c>
      <c r="Y645">
        <f t="shared" si="549"/>
        <v>-178.73637863436295</v>
      </c>
      <c r="Z645">
        <f t="shared" si="510"/>
        <v>1.2636213656370501</v>
      </c>
      <c r="AC645">
        <v>1</v>
      </c>
      <c r="AD645">
        <f t="shared" si="550"/>
        <v>1764.59363575614</v>
      </c>
      <c r="AE645">
        <f t="shared" si="551"/>
        <v>-9.1802585603196096</v>
      </c>
      <c r="AF645">
        <f t="shared" si="552"/>
        <v>0.20896617670739998</v>
      </c>
      <c r="AG645">
        <f t="shared" si="553"/>
        <v>4.2641918344244285</v>
      </c>
      <c r="AH645">
        <f t="shared" si="554"/>
        <v>-192.11905114689384</v>
      </c>
      <c r="AJ645">
        <f t="shared" si="497"/>
        <v>22100</v>
      </c>
      <c r="AK645">
        <f t="shared" si="555"/>
        <v>1244601.6813897032</v>
      </c>
      <c r="AL645">
        <v>20</v>
      </c>
      <c r="AM645">
        <f t="shared" si="556"/>
        <v>1493.5012077579302</v>
      </c>
      <c r="AN645">
        <f t="shared" si="557"/>
        <v>833.39365140602524</v>
      </c>
      <c r="AO645">
        <f t="shared" si="558"/>
        <v>-3.6371761493479458</v>
      </c>
      <c r="AQ645">
        <f t="shared" si="559"/>
        <v>5.25099766198804E-5</v>
      </c>
      <c r="AR645">
        <f t="shared" si="560"/>
        <v>-0.72463767735434947</v>
      </c>
      <c r="AT645">
        <f t="shared" si="561"/>
        <v>-139.21647908599309</v>
      </c>
      <c r="AU645">
        <f t="shared" si="562"/>
        <v>-3.1000822335746574</v>
      </c>
      <c r="AV645">
        <f t="shared" si="511"/>
        <v>-3.1193282636489386</v>
      </c>
      <c r="AW645">
        <f t="shared" si="512"/>
        <v>835.76033704833162</v>
      </c>
      <c r="AX645">
        <f t="shared" si="513"/>
        <v>-838.60960481112727</v>
      </c>
      <c r="AY645">
        <f t="shared" si="521"/>
        <v>-0.78709985723540854</v>
      </c>
      <c r="BA645">
        <f t="shared" si="502"/>
        <v>0.11761460255475623</v>
      </c>
      <c r="BB645">
        <f t="shared" si="514"/>
        <v>-18.590775093216433</v>
      </c>
      <c r="BC645">
        <f t="shared" si="515"/>
        <v>-2.3322284064135301</v>
      </c>
      <c r="BD645">
        <f t="shared" si="503"/>
        <v>-313.62684470070792</v>
      </c>
      <c r="BF645">
        <f t="shared" si="504"/>
        <v>-85.294426927110706</v>
      </c>
      <c r="BG645">
        <f t="shared" si="505"/>
        <v>-224.61363985713848</v>
      </c>
      <c r="BH645">
        <f t="shared" si="516"/>
        <v>-44.61363985713848</v>
      </c>
      <c r="BI645">
        <f t="shared" si="517"/>
        <v>-44.61363985713848</v>
      </c>
      <c r="BJ645">
        <f t="shared" si="506"/>
        <v>0</v>
      </c>
      <c r="BK645">
        <f t="shared" si="518"/>
        <v>0</v>
      </c>
      <c r="BM645">
        <f t="shared" si="519"/>
        <v>-66.70365183389427</v>
      </c>
      <c r="BN645">
        <f t="shared" si="507"/>
        <v>-90.986795156430588</v>
      </c>
      <c r="BQ645" s="56">
        <f t="shared" si="520"/>
        <v>-1.6888142929312937</v>
      </c>
    </row>
    <row r="646" spans="1:69" x14ac:dyDescent="0.25">
      <c r="A646">
        <f t="shared" si="563"/>
        <v>7000000</v>
      </c>
      <c r="B646">
        <f t="shared" si="508"/>
        <v>7000</v>
      </c>
      <c r="C646">
        <f t="shared" si="539"/>
        <v>58.065243813790246</v>
      </c>
      <c r="D646">
        <f t="shared" si="540"/>
        <v>1.5535734689571972</v>
      </c>
      <c r="F646">
        <f t="shared" si="541"/>
        <v>5.2306909311793963E-7</v>
      </c>
      <c r="G646">
        <f t="shared" si="542"/>
        <v>2.460221975927193E-4</v>
      </c>
      <c r="H646">
        <f t="shared" si="481"/>
        <v>-3.1413466278024074</v>
      </c>
      <c r="J646">
        <f t="shared" si="482"/>
        <v>15</v>
      </c>
      <c r="M646">
        <f t="shared" si="543"/>
        <v>2.1344342452901265E-4</v>
      </c>
      <c r="N646">
        <f t="shared" si="484"/>
        <v>-1.5707963250000001</v>
      </c>
      <c r="O646">
        <f t="shared" si="544"/>
        <v>1790.1677358676577</v>
      </c>
      <c r="P646">
        <f t="shared" si="486"/>
        <v>1.5702377198934476</v>
      </c>
      <c r="Q646">
        <f t="shared" si="545"/>
        <v>1515.1464827990321</v>
      </c>
      <c r="R646">
        <f t="shared" si="488"/>
        <v>1.5701363245548801</v>
      </c>
      <c r="S646">
        <f t="shared" si="546"/>
        <v>1.7500337607659289E-2</v>
      </c>
      <c r="T646">
        <f t="shared" si="490"/>
        <v>-1.553295095783241</v>
      </c>
      <c r="U646">
        <f t="shared" si="547"/>
        <v>2.2431733781307833E-2</v>
      </c>
      <c r="V646">
        <f t="shared" si="492"/>
        <v>-1.5483627113775063</v>
      </c>
      <c r="X646">
        <f t="shared" si="548"/>
        <v>-79.697860614253827</v>
      </c>
      <c r="Y646">
        <f t="shared" si="549"/>
        <v>-178.75442393219669</v>
      </c>
      <c r="Z646">
        <f t="shared" si="510"/>
        <v>1.245576067803313</v>
      </c>
      <c r="AC646">
        <v>1</v>
      </c>
      <c r="AD646">
        <f t="shared" si="550"/>
        <v>1790.1674565641999</v>
      </c>
      <c r="AE646">
        <f t="shared" si="551"/>
        <v>-9.4482812320029588</v>
      </c>
      <c r="AF646">
        <f t="shared" si="552"/>
        <v>0.21199467202200001</v>
      </c>
      <c r="AG646">
        <f t="shared" si="553"/>
        <v>4.1432888921375577</v>
      </c>
      <c r="AH646">
        <f t="shared" si="554"/>
        <v>-189.37720601857063</v>
      </c>
      <c r="AJ646">
        <f t="shared" si="497"/>
        <v>22100</v>
      </c>
      <c r="AK646">
        <f t="shared" si="555"/>
        <v>1262639.3869170903</v>
      </c>
      <c r="AL646">
        <v>21</v>
      </c>
      <c r="AM646">
        <f t="shared" si="556"/>
        <v>1515.1461527979002</v>
      </c>
      <c r="AN646">
        <f t="shared" si="557"/>
        <v>833.3870136466719</v>
      </c>
      <c r="AO646">
        <f t="shared" si="558"/>
        <v>-3.0352667331316638</v>
      </c>
      <c r="AQ646">
        <f t="shared" si="559"/>
        <v>5.1020407902957101E-5</v>
      </c>
      <c r="AR646">
        <f t="shared" si="560"/>
        <v>-0.71428571064139945</v>
      </c>
      <c r="AT646">
        <f t="shared" si="561"/>
        <v>-135.2692207879681</v>
      </c>
      <c r="AU646">
        <f t="shared" si="562"/>
        <v>-2.9691541530116816</v>
      </c>
      <c r="AV646">
        <f t="shared" si="511"/>
        <v>-3.1196462165025447</v>
      </c>
      <c r="AW646">
        <f t="shared" si="512"/>
        <v>836.10477786057652</v>
      </c>
      <c r="AX646">
        <f t="shared" si="513"/>
        <v>-826.07704053575276</v>
      </c>
      <c r="AY646">
        <f t="shared" si="521"/>
        <v>-0.77936536027005399</v>
      </c>
      <c r="BA646">
        <f t="shared" si="502"/>
        <v>0.1151150620890731</v>
      </c>
      <c r="BB646">
        <f t="shared" si="514"/>
        <v>-18.777356958472428</v>
      </c>
      <c r="BC646">
        <f t="shared" si="515"/>
        <v>-2.3402808562324906</v>
      </c>
      <c r="BD646">
        <f t="shared" si="503"/>
        <v>-314.08821609060243</v>
      </c>
      <c r="BF646">
        <f t="shared" si="504"/>
        <v>-85.606025510471227</v>
      </c>
      <c r="BG646">
        <f t="shared" si="505"/>
        <v>-225.06091702053928</v>
      </c>
      <c r="BH646">
        <f t="shared" si="516"/>
        <v>-45.060917020539279</v>
      </c>
      <c r="BI646">
        <f t="shared" si="517"/>
        <v>-45.060917020539279</v>
      </c>
      <c r="BJ646">
        <f t="shared" si="506"/>
        <v>0</v>
      </c>
      <c r="BK646">
        <f t="shared" si="518"/>
        <v>0</v>
      </c>
      <c r="BM646">
        <f t="shared" si="519"/>
        <v>-66.828668551998788</v>
      </c>
      <c r="BN646">
        <f t="shared" si="507"/>
        <v>-90.972700929936863</v>
      </c>
      <c r="BQ646" s="56">
        <f t="shared" si="520"/>
        <v>-1.8753961581872889</v>
      </c>
    </row>
    <row r="647" spans="1:69" x14ac:dyDescent="0.25">
      <c r="A647">
        <f t="shared" si="563"/>
        <v>7100000</v>
      </c>
      <c r="B647">
        <f t="shared" si="508"/>
        <v>7100</v>
      </c>
      <c r="C647">
        <f t="shared" si="539"/>
        <v>58.894503000271214</v>
      </c>
      <c r="D647">
        <f t="shared" si="540"/>
        <v>1.5538159974613424</v>
      </c>
      <c r="F647">
        <f t="shared" si="541"/>
        <v>5.0843850837694216E-7</v>
      </c>
      <c r="G647">
        <f t="shared" si="542"/>
        <v>2.425570927854291E-4</v>
      </c>
      <c r="H647">
        <f t="shared" si="481"/>
        <v>-3.1413500929072149</v>
      </c>
      <c r="J647">
        <f t="shared" si="482"/>
        <v>15</v>
      </c>
      <c r="M647">
        <f t="shared" si="543"/>
        <v>2.1043717911311107E-4</v>
      </c>
      <c r="N647">
        <f t="shared" si="484"/>
        <v>-1.5707963250000001</v>
      </c>
      <c r="O647">
        <f t="shared" si="544"/>
        <v>1815.7415527418671</v>
      </c>
      <c r="P647">
        <f t="shared" si="486"/>
        <v>1.5702455875946826</v>
      </c>
      <c r="Q647">
        <f t="shared" si="545"/>
        <v>1536.7914231911</v>
      </c>
      <c r="R647">
        <f t="shared" si="488"/>
        <v>1.5701456203584347</v>
      </c>
      <c r="S647">
        <f t="shared" si="546"/>
        <v>1.7253927881040385E-2</v>
      </c>
      <c r="T647">
        <f t="shared" si="490"/>
        <v>-1.5535415427224366</v>
      </c>
      <c r="U647">
        <f t="shared" si="547"/>
        <v>2.2115949503160967E-2</v>
      </c>
      <c r="V647">
        <f t="shared" si="492"/>
        <v>-1.5486785740202107</v>
      </c>
      <c r="X647">
        <f t="shared" si="548"/>
        <v>-79.944210875238781</v>
      </c>
      <c r="Y647">
        <f t="shared" si="549"/>
        <v>-178.77196117783521</v>
      </c>
      <c r="Z647">
        <f t="shared" si="510"/>
        <v>1.2280388221647911</v>
      </c>
      <c r="AC647">
        <v>1</v>
      </c>
      <c r="AD647">
        <f t="shared" si="550"/>
        <v>1815.7412773722601</v>
      </c>
      <c r="AE647">
        <f t="shared" si="551"/>
        <v>-9.7201603450054943</v>
      </c>
      <c r="AF647">
        <f t="shared" si="552"/>
        <v>0.21502316733659999</v>
      </c>
      <c r="AG647">
        <f t="shared" si="553"/>
        <v>4.0274551308100026</v>
      </c>
      <c r="AH647">
        <f t="shared" si="554"/>
        <v>-186.71248382710721</v>
      </c>
      <c r="AJ647">
        <f t="shared" si="497"/>
        <v>22100</v>
      </c>
      <c r="AK647">
        <f t="shared" si="555"/>
        <v>1280677.0924444771</v>
      </c>
      <c r="AL647">
        <v>22</v>
      </c>
      <c r="AM647">
        <f t="shared" si="556"/>
        <v>1536.7910978378702</v>
      </c>
      <c r="AN647">
        <f t="shared" si="557"/>
        <v>833.38002245260839</v>
      </c>
      <c r="AO647">
        <f t="shared" si="558"/>
        <v>-2.4503262098150742</v>
      </c>
      <c r="AQ647">
        <f t="shared" si="559"/>
        <v>4.9593334409872377E-5</v>
      </c>
      <c r="AR647">
        <f t="shared" si="560"/>
        <v>-0.70422534862018771</v>
      </c>
      <c r="AT647">
        <f t="shared" si="561"/>
        <v>-131.48746427995661</v>
      </c>
      <c r="AU647">
        <f t="shared" si="562"/>
        <v>-2.8454956881957738</v>
      </c>
      <c r="AV647">
        <f t="shared" si="511"/>
        <v>-3.1199552174802263</v>
      </c>
      <c r="AW647">
        <f t="shared" si="512"/>
        <v>836.42827363467222</v>
      </c>
      <c r="AX647">
        <f t="shared" si="513"/>
        <v>-813.89715680282416</v>
      </c>
      <c r="AY647">
        <f t="shared" si="521"/>
        <v>-0.77174648191522988</v>
      </c>
      <c r="BA647">
        <f t="shared" si="502"/>
        <v>0.11269144741964125</v>
      </c>
      <c r="BB647">
        <f t="shared" si="514"/>
        <v>-18.962180859095593</v>
      </c>
      <c r="BC647">
        <f t="shared" si="515"/>
        <v>-2.3482087355649965</v>
      </c>
      <c r="BD647">
        <f t="shared" si="503"/>
        <v>-314.54245011736305</v>
      </c>
      <c r="BF647">
        <f t="shared" si="504"/>
        <v>-85.914091734981611</v>
      </c>
      <c r="BG647">
        <f t="shared" si="505"/>
        <v>-225.50145372346614</v>
      </c>
      <c r="BH647">
        <f t="shared" si="516"/>
        <v>-45.501453723466142</v>
      </c>
      <c r="BI647">
        <f t="shared" si="517"/>
        <v>-45.501453723466142</v>
      </c>
      <c r="BJ647">
        <f t="shared" si="506"/>
        <v>0</v>
      </c>
      <c r="BK647">
        <f t="shared" si="518"/>
        <v>0</v>
      </c>
      <c r="BM647">
        <f t="shared" si="519"/>
        <v>-66.951910875886014</v>
      </c>
      <c r="BN647">
        <f t="shared" si="507"/>
        <v>-90.95900360610311</v>
      </c>
      <c r="BQ647" s="56">
        <f t="shared" si="520"/>
        <v>-2.0602200588104558</v>
      </c>
    </row>
    <row r="648" spans="1:69" x14ac:dyDescent="0.25">
      <c r="A648">
        <f t="shared" si="563"/>
        <v>7200000</v>
      </c>
      <c r="B648">
        <f t="shared" si="508"/>
        <v>7200</v>
      </c>
      <c r="C648">
        <f t="shared" si="539"/>
        <v>59.723765554731543</v>
      </c>
      <c r="D648">
        <f t="shared" si="540"/>
        <v>1.5540517909781546</v>
      </c>
      <c r="F648">
        <f t="shared" si="541"/>
        <v>4.9441328831970613E-7</v>
      </c>
      <c r="G648">
        <f t="shared" si="542"/>
        <v>2.3918824102951526E-4</v>
      </c>
      <c r="H648">
        <f t="shared" si="481"/>
        <v>-3.1413534617589707</v>
      </c>
      <c r="J648">
        <f t="shared" si="482"/>
        <v>15</v>
      </c>
      <c r="M648">
        <f t="shared" si="543"/>
        <v>2.0751444051431782E-4</v>
      </c>
      <c r="N648">
        <f t="shared" si="484"/>
        <v>-1.5707963250000001</v>
      </c>
      <c r="O648">
        <f t="shared" si="544"/>
        <v>1841.3153697253497</v>
      </c>
      <c r="P648">
        <f t="shared" si="486"/>
        <v>1.5702532367487265</v>
      </c>
      <c r="Q648">
        <f t="shared" si="545"/>
        <v>1558.436363712276</v>
      </c>
      <c r="R648">
        <f t="shared" si="488"/>
        <v>1.5701546579453318</v>
      </c>
      <c r="S648">
        <f t="shared" si="546"/>
        <v>1.7014359854596751E-2</v>
      </c>
      <c r="T648">
        <f t="shared" si="490"/>
        <v>-1.553781145923256</v>
      </c>
      <c r="U648">
        <f t="shared" si="547"/>
        <v>2.1808930663377607E-2</v>
      </c>
      <c r="V648">
        <f t="shared" si="492"/>
        <v>-1.5489856669330804</v>
      </c>
      <c r="X648">
        <f t="shared" si="548"/>
        <v>-80.187117264651974</v>
      </c>
      <c r="Y648">
        <f t="shared" si="549"/>
        <v>-178.78901152565305</v>
      </c>
      <c r="Z648">
        <f t="shared" si="510"/>
        <v>1.2109884743469479</v>
      </c>
      <c r="AC648">
        <v>1</v>
      </c>
      <c r="AD648">
        <f t="shared" si="550"/>
        <v>1841.3150981803201</v>
      </c>
      <c r="AE648">
        <f t="shared" si="551"/>
        <v>-9.9958958993272127</v>
      </c>
      <c r="AF648">
        <f t="shared" si="552"/>
        <v>0.21805166265120002</v>
      </c>
      <c r="AG648">
        <f t="shared" si="553"/>
        <v>3.9164111191789166</v>
      </c>
      <c r="AH648">
        <f t="shared" si="554"/>
        <v>-184.12167721234792</v>
      </c>
      <c r="AJ648">
        <f t="shared" si="497"/>
        <v>22100</v>
      </c>
      <c r="AK648">
        <f t="shared" si="555"/>
        <v>1298714.7979718642</v>
      </c>
      <c r="AL648">
        <v>23</v>
      </c>
      <c r="AM648">
        <f t="shared" si="556"/>
        <v>1558.4360428778402</v>
      </c>
      <c r="AN648">
        <f t="shared" si="557"/>
        <v>833.37271478277933</v>
      </c>
      <c r="AO648">
        <f t="shared" si="558"/>
        <v>-1.8816476771038957</v>
      </c>
      <c r="AQ648">
        <f t="shared" si="559"/>
        <v>4.8225308409407272E-5</v>
      </c>
      <c r="AR648">
        <f t="shared" si="560"/>
        <v>-0.69444444109546466</v>
      </c>
      <c r="AT648">
        <f t="shared" si="561"/>
        <v>-127.86208635515442</v>
      </c>
      <c r="AU648">
        <f t="shared" si="562"/>
        <v>-2.7286092554266888</v>
      </c>
      <c r="AV648">
        <f t="shared" si="511"/>
        <v>-3.1202556393298142</v>
      </c>
      <c r="AW648">
        <f t="shared" si="512"/>
        <v>836.73215909035594</v>
      </c>
      <c r="AX648">
        <f t="shared" si="513"/>
        <v>-802.05529116357616</v>
      </c>
      <c r="AY648">
        <f t="shared" si="521"/>
        <v>-0.764241244114093</v>
      </c>
      <c r="BA648">
        <f t="shared" si="502"/>
        <v>0.11034072089905785</v>
      </c>
      <c r="BB648">
        <f t="shared" si="514"/>
        <v>-19.145283659068191</v>
      </c>
      <c r="BC648">
        <f t="shared" si="515"/>
        <v>-2.3560143952157211</v>
      </c>
      <c r="BD648">
        <f t="shared" si="503"/>
        <v>-314.98968147217613</v>
      </c>
      <c r="BF648">
        <f t="shared" si="504"/>
        <v>-86.218712143512988</v>
      </c>
      <c r="BG648">
        <f t="shared" si="505"/>
        <v>-225.93536812590156</v>
      </c>
      <c r="BH648">
        <f t="shared" si="516"/>
        <v>-45.935368125901562</v>
      </c>
      <c r="BI648">
        <f t="shared" si="517"/>
        <v>-45.935368125901562</v>
      </c>
      <c r="BJ648">
        <f t="shared" si="506"/>
        <v>0</v>
      </c>
      <c r="BK648">
        <f t="shared" si="518"/>
        <v>0</v>
      </c>
      <c r="BM648">
        <f t="shared" si="519"/>
        <v>-67.073428484444776</v>
      </c>
      <c r="BN648">
        <f t="shared" si="507"/>
        <v>-90.945686653725417</v>
      </c>
      <c r="BQ648" s="56">
        <f t="shared" si="520"/>
        <v>-2.2433228587830549</v>
      </c>
    </row>
    <row r="649" spans="1:69" x14ac:dyDescent="0.25">
      <c r="A649">
        <f t="shared" si="563"/>
        <v>7300000</v>
      </c>
      <c r="B649">
        <f t="shared" si="508"/>
        <v>7300</v>
      </c>
      <c r="C649">
        <f t="shared" si="539"/>
        <v>60.553031338799649</v>
      </c>
      <c r="D649">
        <f t="shared" si="540"/>
        <v>1.5542811261851517</v>
      </c>
      <c r="F649">
        <f t="shared" si="541"/>
        <v>4.8096049051631292E-7</v>
      </c>
      <c r="G649">
        <f t="shared" si="542"/>
        <v>2.3591168671260938E-4</v>
      </c>
      <c r="H649">
        <f t="shared" ref="H649:H676" si="564">IF(G649&gt;0,G649-Pi,G649)</f>
        <v>-3.1413567383132874</v>
      </c>
      <c r="J649">
        <f t="shared" ref="J649:J676" si="565">Vin/Vramp</f>
        <v>15</v>
      </c>
      <c r="M649">
        <f t="shared" si="543"/>
        <v>2.0467177694562854E-4</v>
      </c>
      <c r="N649">
        <f t="shared" ref="N649:N676" si="566">-Pi/2</f>
        <v>-1.5707963250000001</v>
      </c>
      <c r="O649">
        <f t="shared" si="544"/>
        <v>1866.8891868136152</v>
      </c>
      <c r="P649">
        <f t="shared" ref="P649:P676" si="567">ATAN2(Fz1_u,A649)</f>
        <v>1.5702606763369671</v>
      </c>
      <c r="Q649">
        <f t="shared" si="545"/>
        <v>1580.0813043572548</v>
      </c>
      <c r="R649">
        <f t="shared" ref="R649:R676" si="568">ATAN2(Fz2_u,A649)</f>
        <v>1.5701634479272091</v>
      </c>
      <c r="S649">
        <f t="shared" si="546"/>
        <v>1.678135252430174E-2</v>
      </c>
      <c r="T649">
        <f t="shared" ref="T649:T676" si="569">-ATAN2(Fp1_u,A649)</f>
        <v>-1.5540141865273751</v>
      </c>
      <c r="U649">
        <f t="shared" si="547"/>
        <v>2.1510317378927332E-2</v>
      </c>
      <c r="V649">
        <f t="shared" ref="V649:V676" si="570">-ATAN2(Fp2_u,A649)</f>
        <v>-1.5492843502889135</v>
      </c>
      <c r="X649">
        <f t="shared" si="548"/>
        <v>-80.426674721581932</v>
      </c>
      <c r="Y649">
        <f t="shared" si="549"/>
        <v>-178.80559497185121</v>
      </c>
      <c r="Z649">
        <f t="shared" si="510"/>
        <v>1.1944050281487932</v>
      </c>
      <c r="AC649">
        <v>1</v>
      </c>
      <c r="AD649">
        <f t="shared" si="550"/>
        <v>1866.8889189883801</v>
      </c>
      <c r="AE649">
        <f t="shared" si="551"/>
        <v>-10.275487894968117</v>
      </c>
      <c r="AF649">
        <f t="shared" si="552"/>
        <v>0.22108015796579999</v>
      </c>
      <c r="AG649">
        <f t="shared" si="553"/>
        <v>3.8098964151197179</v>
      </c>
      <c r="AH649">
        <f t="shared" si="554"/>
        <v>-181.60175415134211</v>
      </c>
      <c r="AJ649">
        <f t="shared" ref="AJ649:AJ676" si="571">_Rfb1</f>
        <v>22100</v>
      </c>
      <c r="AK649">
        <f t="shared" si="555"/>
        <v>1316752.5034992511</v>
      </c>
      <c r="AL649">
        <v>24</v>
      </c>
      <c r="AM649">
        <f t="shared" si="556"/>
        <v>1580.08098791781</v>
      </c>
      <c r="AN649">
        <f t="shared" si="557"/>
        <v>833.36512436910994</v>
      </c>
      <c r="AO649">
        <f t="shared" si="558"/>
        <v>-1.3285629225294819</v>
      </c>
      <c r="AQ649">
        <f t="shared" si="559"/>
        <v>4.691311668740328E-5</v>
      </c>
      <c r="AR649">
        <f t="shared" si="560"/>
        <v>-0.6849315036360879</v>
      </c>
      <c r="AT649">
        <f t="shared" si="561"/>
        <v>-124.38458379971482</v>
      </c>
      <c r="AU649">
        <f t="shared" si="562"/>
        <v>-2.6180375845888282</v>
      </c>
      <c r="AV649">
        <f t="shared" si="511"/>
        <v>-3.1205478343911617</v>
      </c>
      <c r="AW649">
        <f t="shared" si="512"/>
        <v>837.01767086486529</v>
      </c>
      <c r="AX649">
        <f t="shared" si="513"/>
        <v>-790.53758185955598</v>
      </c>
      <c r="AY649">
        <f t="shared" si="521"/>
        <v>-0.75684769842802946</v>
      </c>
      <c r="BA649">
        <f t="shared" ref="BA649:BA676" si="572">SQRT(AT649^2+AU649^2)/SQRT(AW649^2+AX649^2)</f>
        <v>0.10806000051087536</v>
      </c>
      <c r="BB649">
        <f t="shared" si="514"/>
        <v>-19.326700694872173</v>
      </c>
      <c r="BC649">
        <f t="shared" si="515"/>
        <v>-2.363700135963132</v>
      </c>
      <c r="BD649">
        <f t="shared" ref="BD649:BD678" si="573">BC649*180/Pi-180</f>
        <v>-315.4300419799377</v>
      </c>
      <c r="BF649">
        <f t="shared" ref="BF649:BF676" si="574">20*LOG(BA649*J649*F649*C649)</f>
        <v>-86.519969693300979</v>
      </c>
      <c r="BG649">
        <f t="shared" ref="BG649:BG676" si="575">(180/Pi)*(D649+H649+BC649)</f>
        <v>-226.36277642692733</v>
      </c>
      <c r="BH649">
        <f t="shared" si="516"/>
        <v>-46.362776426927326</v>
      </c>
      <c r="BI649">
        <f t="shared" si="517"/>
        <v>-46.362776426927326</v>
      </c>
      <c r="BJ649">
        <f t="shared" ref="BJ649:BJ676" si="576">SUM((BF650&lt;0)*(BF649&gt;0))*A649</f>
        <v>0</v>
      </c>
      <c r="BK649">
        <f t="shared" si="518"/>
        <v>0</v>
      </c>
      <c r="BM649">
        <f t="shared" si="519"/>
        <v>-67.193268998428806</v>
      </c>
      <c r="BN649">
        <f t="shared" ref="BN649:BN676" si="577">(H649+D649)*180/Pi</f>
        <v>-90.932734446989627</v>
      </c>
      <c r="BQ649" s="56">
        <f t="shared" si="520"/>
        <v>-2.4247398945870362</v>
      </c>
    </row>
    <row r="650" spans="1:69" x14ac:dyDescent="0.25">
      <c r="A650">
        <f t="shared" si="563"/>
        <v>7400000</v>
      </c>
      <c r="B650">
        <f t="shared" ref="B650:B676" si="578">A650/1000</f>
        <v>7400</v>
      </c>
      <c r="C650">
        <f t="shared" si="539"/>
        <v>61.382300221580969</v>
      </c>
      <c r="D650">
        <f t="shared" si="540"/>
        <v>1.5545042648111123</v>
      </c>
      <c r="F650">
        <f t="shared" si="541"/>
        <v>4.680493832340613E-7</v>
      </c>
      <c r="G650">
        <f t="shared" si="542"/>
        <v>2.3272368803972521E-4</v>
      </c>
      <c r="H650">
        <f t="shared" si="564"/>
        <v>-3.1413599263119605</v>
      </c>
      <c r="J650">
        <f t="shared" si="565"/>
        <v>15</v>
      </c>
      <c r="M650">
        <f t="shared" si="543"/>
        <v>2.0190594212203896E-4</v>
      </c>
      <c r="N650">
        <f t="shared" si="566"/>
        <v>-1.5707963250000001</v>
      </c>
      <c r="O650">
        <f t="shared" si="544"/>
        <v>1892.4630040024158</v>
      </c>
      <c r="P650">
        <f t="shared" si="567"/>
        <v>1.5702679148553123</v>
      </c>
      <c r="Q650">
        <f t="shared" si="545"/>
        <v>1601.7262451210167</v>
      </c>
      <c r="R650">
        <f t="shared" si="568"/>
        <v>1.5701720003421022</v>
      </c>
      <c r="S650">
        <f t="shared" si="546"/>
        <v>1.655464006483311E-2</v>
      </c>
      <c r="T650">
        <f t="shared" si="569"/>
        <v>-1.5542409304867593</v>
      </c>
      <c r="U650">
        <f t="shared" si="547"/>
        <v>2.1219769197392997E-2</v>
      </c>
      <c r="V650">
        <f t="shared" si="570"/>
        <v>-1.5495749648067314</v>
      </c>
      <c r="X650">
        <f t="shared" si="548"/>
        <v>-80.662974313476354</v>
      </c>
      <c r="Y650">
        <f t="shared" si="549"/>
        <v>-178.82173043263467</v>
      </c>
      <c r="Z650">
        <f t="shared" ref="Z650:Z676" si="579">Y650+180</f>
        <v>1.1782695673653336</v>
      </c>
      <c r="AC650">
        <v>1</v>
      </c>
      <c r="AD650">
        <f t="shared" si="550"/>
        <v>1892.46273979644</v>
      </c>
      <c r="AE650">
        <f t="shared" si="551"/>
        <v>-10.558936331928207</v>
      </c>
      <c r="AF650">
        <f t="shared" si="552"/>
        <v>0.2241086532804</v>
      </c>
      <c r="AG650">
        <f t="shared" si="553"/>
        <v>3.7076680381400253</v>
      </c>
      <c r="AH650">
        <f t="shared" si="554"/>
        <v>-179.14984614365636</v>
      </c>
      <c r="AJ650">
        <f t="shared" si="571"/>
        <v>22100</v>
      </c>
      <c r="AK650">
        <f t="shared" si="555"/>
        <v>1334790.2090266382</v>
      </c>
      <c r="AL650">
        <v>25</v>
      </c>
      <c r="AM650">
        <f t="shared" si="556"/>
        <v>1601.7259329577803</v>
      </c>
      <c r="AN650">
        <f t="shared" si="557"/>
        <v>833.35728201460643</v>
      </c>
      <c r="AO650">
        <f t="shared" si="558"/>
        <v>-0.79043981469220093</v>
      </c>
      <c r="AQ650">
        <f t="shared" si="559"/>
        <v>4.5653761661551488E-5</v>
      </c>
      <c r="AR650">
        <f t="shared" si="560"/>
        <v>-0.67567567259096206</v>
      </c>
      <c r="AT650">
        <f t="shared" si="561"/>
        <v>-121.04702351868944</v>
      </c>
      <c r="AU650">
        <f t="shared" si="562"/>
        <v>-2.5133599597918206</v>
      </c>
      <c r="AV650">
        <f t="shared" ref="AV650:AV676" si="580">ATAN2(AT650,AU650)</f>
        <v>-3.1208321359737474</v>
      </c>
      <c r="AW650">
        <f t="shared" ref="AW650:AW676" si="581">AG650-AH650*AO650/_Rfb2+AG650*AN650/_Rfb2+AN650-AO650*AR650+AQ650*AN650</f>
        <v>837.28595579987302</v>
      </c>
      <c r="AX650">
        <f t="shared" ref="AX650:AX676" si="582">AH650+AH650*AN650/_Rfb2+AG650*AO650/_Rfb2+AO650+AO650*AQ650+AN650*AR650</f>
        <v>-779.33091396780173</v>
      </c>
      <c r="AY650">
        <f t="shared" si="521"/>
        <v>-0.74956392570949182</v>
      </c>
      <c r="BA650">
        <f t="shared" si="572"/>
        <v>0.10584654983298547</v>
      </c>
      <c r="BB650">
        <f t="shared" ref="BB650:BB676" si="583">20*LOG(BA650)</f>
        <v>-19.506465872951182</v>
      </c>
      <c r="BC650">
        <f t="shared" ref="BC650:BC676" si="584">AV650-AY650</f>
        <v>-2.3712682102642555</v>
      </c>
      <c r="BD650">
        <f t="shared" si="573"/>
        <v>-315.86366069692895</v>
      </c>
      <c r="BF650">
        <f t="shared" si="574"/>
        <v>-86.817943965578792</v>
      </c>
      <c r="BG650">
        <f t="shared" si="575"/>
        <v>-226.78379290125935</v>
      </c>
      <c r="BH650">
        <f t="shared" ref="BH650:BH676" si="585">IF(BG650&gt;180,BG650-180,BG650+180)</f>
        <v>-46.783792901259346</v>
      </c>
      <c r="BI650">
        <f t="shared" ref="BI650:BI676" si="586">IF(BH650&gt;180,BH650-360,BH650)</f>
        <v>-46.783792901259346</v>
      </c>
      <c r="BJ650">
        <f t="shared" si="576"/>
        <v>0</v>
      </c>
      <c r="BK650">
        <f t="shared" ref="BK650:BK676" si="587">IF(BJ650&gt;0,BI650,0)</f>
        <v>0</v>
      </c>
      <c r="BM650">
        <f t="shared" ref="BM650:BM676" si="588">20*LOG(J650*F650*C650)</f>
        <v>-67.311478092627624</v>
      </c>
      <c r="BN650">
        <f t="shared" si="577"/>
        <v>-90.9201322043304</v>
      </c>
      <c r="BQ650" s="56">
        <f t="shared" ref="BQ650:BQ676" si="589">20*LOG(BA650*7)</f>
        <v>-2.6045050726660444</v>
      </c>
    </row>
    <row r="651" spans="1:69" x14ac:dyDescent="0.25">
      <c r="A651">
        <f t="shared" si="563"/>
        <v>7500000</v>
      </c>
      <c r="B651">
        <f t="shared" si="578"/>
        <v>7500</v>
      </c>
      <c r="C651">
        <f t="shared" si="539"/>
        <v>62.211572079159673</v>
      </c>
      <c r="D651">
        <f t="shared" si="540"/>
        <v>1.5547214546321251</v>
      </c>
      <c r="F651">
        <f t="shared" si="541"/>
        <v>4.556512697714652E-7</v>
      </c>
      <c r="G651">
        <f t="shared" si="542"/>
        <v>2.2962070277872794E-4</v>
      </c>
      <c r="H651">
        <f t="shared" si="564"/>
        <v>-3.1413630292972217</v>
      </c>
      <c r="J651">
        <f t="shared" si="565"/>
        <v>15</v>
      </c>
      <c r="M651">
        <f t="shared" si="543"/>
        <v>1.9921386289374512E-4</v>
      </c>
      <c r="N651">
        <f t="shared" si="566"/>
        <v>-1.5707963250000001</v>
      </c>
      <c r="O651">
        <f t="shared" si="544"/>
        <v>1918.0368212877297</v>
      </c>
      <c r="P651">
        <f t="shared" si="567"/>
        <v>1.5702749603465547</v>
      </c>
      <c r="Q651">
        <f t="shared" si="545"/>
        <v>1623.3711859988111</v>
      </c>
      <c r="R651">
        <f t="shared" si="568"/>
        <v>1.5701803246926862</v>
      </c>
      <c r="S651">
        <f t="shared" si="546"/>
        <v>1.6333970818498078E-2</v>
      </c>
      <c r="T651">
        <f t="shared" si="569"/>
        <v>-1.5544616295757521</v>
      </c>
      <c r="U651">
        <f t="shared" si="547"/>
        <v>2.0936963803361023E-2</v>
      </c>
      <c r="V651">
        <f t="shared" si="570"/>
        <v>-1.5498578330475197</v>
      </c>
      <c r="X651">
        <f t="shared" si="548"/>
        <v>-80.896103443790366</v>
      </c>
      <c r="Y651">
        <f t="shared" si="549"/>
        <v>-178.83743581614343</v>
      </c>
      <c r="Z651">
        <f t="shared" si="579"/>
        <v>1.1625641838565741</v>
      </c>
      <c r="AC651">
        <v>1</v>
      </c>
      <c r="AD651">
        <f t="shared" si="550"/>
        <v>1918.0365606045</v>
      </c>
      <c r="AE651">
        <f t="shared" si="551"/>
        <v>-10.846241210207477</v>
      </c>
      <c r="AF651">
        <f t="shared" si="552"/>
        <v>0.22713714859499998</v>
      </c>
      <c r="AG651">
        <f t="shared" si="553"/>
        <v>3.6094990833077798</v>
      </c>
      <c r="AH651">
        <f t="shared" si="554"/>
        <v>-176.7632373388999</v>
      </c>
      <c r="AJ651">
        <f t="shared" si="571"/>
        <v>22100</v>
      </c>
      <c r="AK651">
        <f t="shared" si="555"/>
        <v>1352827.914554025</v>
      </c>
      <c r="AL651">
        <v>26</v>
      </c>
      <c r="AM651">
        <f t="shared" si="556"/>
        <v>1623.3708779977501</v>
      </c>
      <c r="AN651">
        <f t="shared" si="557"/>
        <v>833.34921586129826</v>
      </c>
      <c r="AO651">
        <f t="shared" si="558"/>
        <v>-0.2666799025865263</v>
      </c>
      <c r="AQ651">
        <f t="shared" si="559"/>
        <v>4.4444444246913578E-5</v>
      </c>
      <c r="AR651">
        <f t="shared" si="560"/>
        <v>-0.66666666370370375</v>
      </c>
      <c r="AT651">
        <f t="shared" si="561"/>
        <v>-117.84199728000958</v>
      </c>
      <c r="AU651">
        <f t="shared" si="562"/>
        <v>-2.4141888553571871</v>
      </c>
      <c r="AV651">
        <f t="shared" si="580"/>
        <v>-3.12110885962419</v>
      </c>
      <c r="AW651">
        <f t="shared" si="581"/>
        <v>837.53807843482764</v>
      </c>
      <c r="AX651">
        <f t="shared" si="582"/>
        <v>-768.42286983003976</v>
      </c>
      <c r="AY651">
        <f t="shared" ref="AY651:AY676" si="590">ATAN2(AW651,AX651)</f>
        <v>-0.74238803581772095</v>
      </c>
      <c r="BA651">
        <f t="shared" si="572"/>
        <v>0.1036977687932876</v>
      </c>
      <c r="BB651">
        <f t="shared" si="583"/>
        <v>-19.684611759622811</v>
      </c>
      <c r="BC651">
        <f t="shared" si="584"/>
        <v>-2.3787208238064692</v>
      </c>
      <c r="BD651">
        <f t="shared" si="573"/>
        <v>-316.29066399972783</v>
      </c>
      <c r="BF651">
        <f t="shared" si="574"/>
        <v>-87.112711360119377</v>
      </c>
      <c r="BG651">
        <f t="shared" si="575"/>
        <v>-227.19852993190628</v>
      </c>
      <c r="BH651">
        <f t="shared" si="585"/>
        <v>-47.198529931906279</v>
      </c>
      <c r="BI651">
        <f t="shared" si="586"/>
        <v>-47.198529931906279</v>
      </c>
      <c r="BJ651">
        <f t="shared" si="576"/>
        <v>0</v>
      </c>
      <c r="BK651">
        <f t="shared" si="587"/>
        <v>0</v>
      </c>
      <c r="BM651">
        <f t="shared" si="588"/>
        <v>-67.428099600496566</v>
      </c>
      <c r="BN651">
        <f t="shared" si="577"/>
        <v>-90.907865932178495</v>
      </c>
      <c r="BQ651" s="56">
        <f t="shared" si="589"/>
        <v>-2.7826509593376758</v>
      </c>
    </row>
    <row r="652" spans="1:69" x14ac:dyDescent="0.25">
      <c r="A652">
        <f t="shared" si="563"/>
        <v>7600000</v>
      </c>
      <c r="B652">
        <f t="shared" si="578"/>
        <v>7600</v>
      </c>
      <c r="C652">
        <f t="shared" si="539"/>
        <v>63.040846794139682</v>
      </c>
      <c r="D652">
        <f t="shared" si="540"/>
        <v>1.5549329303890507</v>
      </c>
      <c r="F652">
        <f t="shared" si="541"/>
        <v>4.4373932886436602E-7</v>
      </c>
      <c r="G652">
        <f t="shared" si="542"/>
        <v>2.2659937513116419E-4</v>
      </c>
      <c r="H652">
        <f t="shared" si="564"/>
        <v>-3.1413660506248688</v>
      </c>
      <c r="J652">
        <f t="shared" si="565"/>
        <v>15</v>
      </c>
      <c r="M652">
        <f t="shared" si="543"/>
        <v>1.9659262785566952E-4</v>
      </c>
      <c r="N652">
        <f t="shared" si="566"/>
        <v>-1.5707963250000001</v>
      </c>
      <c r="O652">
        <f t="shared" si="544"/>
        <v>1943.6106386657477</v>
      </c>
      <c r="P652">
        <f t="shared" si="567"/>
        <v>1.5702818204301825</v>
      </c>
      <c r="Q652">
        <f t="shared" si="545"/>
        <v>1645.0161269861364</v>
      </c>
      <c r="R652">
        <f t="shared" si="568"/>
        <v>1.5701884299814945</v>
      </c>
      <c r="S652">
        <f t="shared" si="546"/>
        <v>1.6119106363904404E-2</v>
      </c>
      <c r="T652">
        <f t="shared" si="569"/>
        <v>-1.5546765223233119</v>
      </c>
      <c r="U652">
        <f t="shared" si="547"/>
        <v>2.0661595826779573E-2</v>
      </c>
      <c r="V652">
        <f t="shared" si="570"/>
        <v>-1.5501332606077816</v>
      </c>
      <c r="X652">
        <f t="shared" si="548"/>
        <v>-81.126146045900853</v>
      </c>
      <c r="Y652">
        <f t="shared" si="549"/>
        <v>-178.85272808871071</v>
      </c>
      <c r="Z652">
        <f t="shared" si="579"/>
        <v>1.1472719112892946</v>
      </c>
      <c r="AC652">
        <v>1</v>
      </c>
      <c r="AD652">
        <f t="shared" si="550"/>
        <v>1943.6103814125599</v>
      </c>
      <c r="AE652">
        <f t="shared" si="551"/>
        <v>-11.137402529805936</v>
      </c>
      <c r="AF652">
        <f t="shared" si="552"/>
        <v>0.23016564390960001</v>
      </c>
      <c r="AG652">
        <f t="shared" si="553"/>
        <v>3.5151774618448277</v>
      </c>
      <c r="AH652">
        <f t="shared" si="554"/>
        <v>-174.43935451998524</v>
      </c>
      <c r="AJ652">
        <f t="shared" si="571"/>
        <v>22100</v>
      </c>
      <c r="AK652">
        <f t="shared" si="555"/>
        <v>1370865.6200814121</v>
      </c>
      <c r="AL652">
        <v>27</v>
      </c>
      <c r="AM652">
        <f t="shared" si="556"/>
        <v>1645.0158230377203</v>
      </c>
      <c r="AN652">
        <f t="shared" si="557"/>
        <v>833.34095163137147</v>
      </c>
      <c r="AO652">
        <f t="shared" si="558"/>
        <v>0.24328379608410167</v>
      </c>
      <c r="AQ652">
        <f t="shared" si="559"/>
        <v>4.3282548289116396E-5</v>
      </c>
      <c r="AR652">
        <f t="shared" si="560"/>
        <v>-0.65789473399456921</v>
      </c>
      <c r="AT652">
        <f t="shared" si="561"/>
        <v>-114.76258059427181</v>
      </c>
      <c r="AU652">
        <f t="shared" si="562"/>
        <v>-2.3201669209896418</v>
      </c>
      <c r="AV652">
        <f t="shared" si="580"/>
        <v>-3.1213783042938026</v>
      </c>
      <c r="AW652">
        <f t="shared" si="581"/>
        <v>837.77502779162603</v>
      </c>
      <c r="AX652">
        <f t="shared" si="582"/>
        <v>-757.8016833739722</v>
      </c>
      <c r="AY652">
        <f t="shared" si="590"/>
        <v>-0.73531816736767175</v>
      </c>
      <c r="BA652">
        <f t="shared" si="572"/>
        <v>0.10161118514395961</v>
      </c>
      <c r="BB652">
        <f t="shared" si="583"/>
        <v>-19.861169664086983</v>
      </c>
      <c r="BC652">
        <f t="shared" si="584"/>
        <v>-2.3860601369261309</v>
      </c>
      <c r="BD652">
        <f t="shared" si="573"/>
        <v>-316.71117566648991</v>
      </c>
      <c r="BF652">
        <f t="shared" si="574"/>
        <v>-87.404345275932826</v>
      </c>
      <c r="BG652">
        <f t="shared" si="575"/>
        <v>-227.60709803963627</v>
      </c>
      <c r="BH652">
        <f t="shared" si="585"/>
        <v>-47.60709803963627</v>
      </c>
      <c r="BI652">
        <f t="shared" si="586"/>
        <v>-47.60709803963627</v>
      </c>
      <c r="BJ652">
        <f t="shared" si="576"/>
        <v>0</v>
      </c>
      <c r="BK652">
        <f t="shared" si="587"/>
        <v>0</v>
      </c>
      <c r="BM652">
        <f t="shared" si="588"/>
        <v>-67.54317561184584</v>
      </c>
      <c r="BN652">
        <f t="shared" si="577"/>
        <v>-90.895922373146377</v>
      </c>
      <c r="BQ652" s="56">
        <f t="shared" si="589"/>
        <v>-2.9592088638018472</v>
      </c>
    </row>
    <row r="653" spans="1:69" x14ac:dyDescent="0.25">
      <c r="A653">
        <f t="shared" si="563"/>
        <v>7700000</v>
      </c>
      <c r="B653">
        <f t="shared" si="578"/>
        <v>7700</v>
      </c>
      <c r="C653">
        <f t="shared" si="539"/>
        <v>63.870124255221519</v>
      </c>
      <c r="D653">
        <f t="shared" si="540"/>
        <v>1.555138914633537</v>
      </c>
      <c r="F653">
        <f t="shared" si="541"/>
        <v>4.3228846950531457E-7</v>
      </c>
      <c r="G653">
        <f t="shared" si="542"/>
        <v>2.2365652362614711E-4</v>
      </c>
      <c r="H653">
        <f t="shared" si="564"/>
        <v>-3.141368993476374</v>
      </c>
      <c r="J653">
        <f t="shared" si="565"/>
        <v>15</v>
      </c>
      <c r="M653">
        <f t="shared" si="543"/>
        <v>1.9403947684455694E-4</v>
      </c>
      <c r="N653">
        <f t="shared" si="566"/>
        <v>-1.5707963250000001</v>
      </c>
      <c r="O653">
        <f t="shared" si="544"/>
        <v>1969.1844561328578</v>
      </c>
      <c r="P653">
        <f t="shared" si="567"/>
        <v>1.5702885023298667</v>
      </c>
      <c r="Q653">
        <f t="shared" si="545"/>
        <v>1666.6610680787251</v>
      </c>
      <c r="R653">
        <f t="shared" si="568"/>
        <v>1.5701963247433979</v>
      </c>
      <c r="S653">
        <f t="shared" si="546"/>
        <v>1.590982065713558E-2</v>
      </c>
      <c r="T653">
        <f t="shared" si="569"/>
        <v>-1.5548858348726506</v>
      </c>
      <c r="U653">
        <f t="shared" si="547"/>
        <v>2.0393375744031068E-2</v>
      </c>
      <c r="V653">
        <f t="shared" si="570"/>
        <v>-1.5504015372201783</v>
      </c>
      <c r="X653">
        <f t="shared" si="548"/>
        <v>-81.353182764362401</v>
      </c>
      <c r="Y653">
        <f t="shared" si="549"/>
        <v>-178.86762333596374</v>
      </c>
      <c r="Z653">
        <f t="shared" si="579"/>
        <v>1.1323766640362578</v>
      </c>
      <c r="AC653">
        <v>1</v>
      </c>
      <c r="AD653">
        <f t="shared" si="550"/>
        <v>1969.1842022206201</v>
      </c>
      <c r="AE653">
        <f t="shared" si="551"/>
        <v>-11.432420290723581</v>
      </c>
      <c r="AF653">
        <f t="shared" si="552"/>
        <v>0.23319413922419999</v>
      </c>
      <c r="AG653">
        <f t="shared" si="553"/>
        <v>3.4245047553295587</v>
      </c>
      <c r="AH653">
        <f t="shared" si="554"/>
        <v>-172.17575786459724</v>
      </c>
      <c r="AJ653">
        <f t="shared" si="571"/>
        <v>22100</v>
      </c>
      <c r="AK653">
        <f t="shared" si="555"/>
        <v>1388903.3256087992</v>
      </c>
      <c r="AL653">
        <v>28</v>
      </c>
      <c r="AM653">
        <f t="shared" si="556"/>
        <v>1666.6607680776901</v>
      </c>
      <c r="AN653">
        <f t="shared" si="557"/>
        <v>833.33251284444066</v>
      </c>
      <c r="AO653">
        <f t="shared" si="558"/>
        <v>0.73998883472059518</v>
      </c>
      <c r="AQ653">
        <f t="shared" si="559"/>
        <v>4.2165626403416991E-5</v>
      </c>
      <c r="AR653">
        <f t="shared" si="560"/>
        <v>-0.64935064661262165</v>
      </c>
      <c r="AT653">
        <f t="shared" si="561"/>
        <v>-111.80229530400628</v>
      </c>
      <c r="AU653">
        <f t="shared" si="562"/>
        <v>-2.2309642758830908</v>
      </c>
      <c r="AV653">
        <f t="shared" si="580"/>
        <v>-3.121640753415261</v>
      </c>
      <c r="AW653">
        <f t="shared" si="581"/>
        <v>837.99772352550974</v>
      </c>
      <c r="AX653">
        <f t="shared" si="582"/>
        <v>-747.45619797514587</v>
      </c>
      <c r="AY653">
        <f t="shared" si="590"/>
        <v>-0.72835248750397841</v>
      </c>
      <c r="BA653">
        <f t="shared" si="572"/>
        <v>9.9584446588433323E-2</v>
      </c>
      <c r="BB653">
        <f t="shared" si="583"/>
        <v>-20.036169715116507</v>
      </c>
      <c r="BC653">
        <f t="shared" si="584"/>
        <v>-2.3932882659112824</v>
      </c>
      <c r="BD653">
        <f t="shared" si="573"/>
        <v>-317.1253169515885</v>
      </c>
      <c r="BF653">
        <f t="shared" si="574"/>
        <v>-87.692916279250994</v>
      </c>
      <c r="BG653">
        <f t="shared" si="575"/>
        <v>-228.00960590983729</v>
      </c>
      <c r="BH653">
        <f t="shared" si="585"/>
        <v>-48.00960590983729</v>
      </c>
      <c r="BI653">
        <f t="shared" si="586"/>
        <v>-48.00960590983729</v>
      </c>
      <c r="BJ653">
        <f t="shared" si="576"/>
        <v>0</v>
      </c>
      <c r="BK653">
        <f t="shared" si="587"/>
        <v>0</v>
      </c>
      <c r="BM653">
        <f t="shared" si="588"/>
        <v>-67.656746564134494</v>
      </c>
      <c r="BN653">
        <f t="shared" si="577"/>
        <v>-90.884288958248817</v>
      </c>
      <c r="BQ653" s="56">
        <f t="shared" si="589"/>
        <v>-3.1342089148313699</v>
      </c>
    </row>
    <row r="654" spans="1:69" x14ac:dyDescent="0.25">
      <c r="A654">
        <f t="shared" si="563"/>
        <v>7800000</v>
      </c>
      <c r="B654">
        <f t="shared" si="578"/>
        <v>7800</v>
      </c>
      <c r="C654">
        <f t="shared" si="539"/>
        <v>64.699404356811613</v>
      </c>
      <c r="D654">
        <f t="shared" si="540"/>
        <v>1.5553396185089916</v>
      </c>
      <c r="F654">
        <f t="shared" si="541"/>
        <v>4.2127519870754528E-7</v>
      </c>
      <c r="G654">
        <f t="shared" si="542"/>
        <v>2.2078912994548448E-4</v>
      </c>
      <c r="H654">
        <f t="shared" si="564"/>
        <v>-3.1413718608700547</v>
      </c>
      <c r="J654">
        <f t="shared" si="565"/>
        <v>15</v>
      </c>
      <c r="M654">
        <f t="shared" si="543"/>
        <v>1.9155179124398568E-4</v>
      </c>
      <c r="N654">
        <f t="shared" si="566"/>
        <v>-1.5707963250000001</v>
      </c>
      <c r="O654">
        <f t="shared" si="544"/>
        <v>1994.7582736856332</v>
      </c>
      <c r="P654">
        <f t="shared" si="567"/>
        <v>1.5702950128988333</v>
      </c>
      <c r="Q654">
        <f t="shared" si="545"/>
        <v>1688.3060092725286</v>
      </c>
      <c r="R654">
        <f t="shared" si="568"/>
        <v>1.5702040170755807</v>
      </c>
      <c r="S654">
        <f t="shared" si="546"/>
        <v>1.5705899238930045E-2</v>
      </c>
      <c r="T654">
        <f t="shared" si="569"/>
        <v>-1.5550897817747882</v>
      </c>
      <c r="U654">
        <f t="shared" si="547"/>
        <v>2.0132028863412591E-2</v>
      </c>
      <c r="V654">
        <f t="shared" si="570"/>
        <v>-1.5506629377695913</v>
      </c>
      <c r="X654">
        <f t="shared" si="548"/>
        <v>-81.577291124483239</v>
      </c>
      <c r="Y654">
        <f t="shared" si="549"/>
        <v>-178.88213681922926</v>
      </c>
      <c r="Z654">
        <f t="shared" si="579"/>
        <v>1.1178631807707404</v>
      </c>
      <c r="AC654">
        <v>1</v>
      </c>
      <c r="AD654">
        <f t="shared" si="550"/>
        <v>1994.7580230286801</v>
      </c>
      <c r="AE654">
        <f t="shared" si="551"/>
        <v>-11.731294492960409</v>
      </c>
      <c r="AF654">
        <f t="shared" si="552"/>
        <v>0.23622263453879999</v>
      </c>
      <c r="AG654">
        <f t="shared" si="553"/>
        <v>3.3372951719467419</v>
      </c>
      <c r="AH654">
        <f t="shared" si="554"/>
        <v>-169.97013241526327</v>
      </c>
      <c r="AJ654">
        <f t="shared" si="571"/>
        <v>22100</v>
      </c>
      <c r="AK654">
        <f t="shared" si="555"/>
        <v>1406941.0311361863</v>
      </c>
      <c r="AL654">
        <v>29</v>
      </c>
      <c r="AM654">
        <f t="shared" si="556"/>
        <v>1688.3057131176602</v>
      </c>
      <c r="AN654">
        <f t="shared" si="557"/>
        <v>833.3239210135423</v>
      </c>
      <c r="AO654">
        <f t="shared" si="558"/>
        <v>1.2239452211394113</v>
      </c>
      <c r="AQ654">
        <f t="shared" si="559"/>
        <v>4.109138707638319E-5</v>
      </c>
      <c r="AR654">
        <f t="shared" si="560"/>
        <v>-0.64102563839157778</v>
      </c>
      <c r="AT654">
        <f t="shared" si="561"/>
        <v>-108.95507550490744</v>
      </c>
      <c r="AU654">
        <f t="shared" si="562"/>
        <v>-2.14627607660079</v>
      </c>
      <c r="AV654">
        <f t="shared" si="580"/>
        <v>-3.1218964758965364</v>
      </c>
      <c r="AW654">
        <f t="shared" si="581"/>
        <v>838.20702150833915</v>
      </c>
      <c r="AX654">
        <f t="shared" si="582"/>
        <v>-737.37582754365178</v>
      </c>
      <c r="AY654">
        <f t="shared" si="590"/>
        <v>-0.72148919169307923</v>
      </c>
      <c r="BA654">
        <f t="shared" si="572"/>
        <v>9.7615313502054643E-2</v>
      </c>
      <c r="BB654">
        <f t="shared" si="583"/>
        <v>-20.209640931962021</v>
      </c>
      <c r="BC654">
        <f t="shared" si="584"/>
        <v>-2.4004072842034572</v>
      </c>
      <c r="BD654">
        <f t="shared" si="573"/>
        <v>-317.53320665447262</v>
      </c>
      <c r="BF654">
        <f t="shared" si="574"/>
        <v>-87.978492259826936</v>
      </c>
      <c r="BG654">
        <f t="shared" si="575"/>
        <v>-228.40616041726912</v>
      </c>
      <c r="BH654">
        <f t="shared" si="585"/>
        <v>-48.40616041726912</v>
      </c>
      <c r="BI654">
        <f t="shared" si="586"/>
        <v>-48.40616041726912</v>
      </c>
      <c r="BJ654">
        <f t="shared" si="576"/>
        <v>0</v>
      </c>
      <c r="BK654">
        <f t="shared" si="587"/>
        <v>0</v>
      </c>
      <c r="BM654">
        <f t="shared" si="588"/>
        <v>-67.768851327864922</v>
      </c>
      <c r="BN654">
        <f t="shared" si="577"/>
        <v>-90.872953762796513</v>
      </c>
      <c r="BQ654" s="56">
        <f t="shared" si="589"/>
        <v>-3.3076801316768822</v>
      </c>
    </row>
    <row r="655" spans="1:69" x14ac:dyDescent="0.25">
      <c r="A655">
        <f t="shared" si="563"/>
        <v>7900000</v>
      </c>
      <c r="B655">
        <f t="shared" si="578"/>
        <v>7900</v>
      </c>
      <c r="C655">
        <f t="shared" si="539"/>
        <v>65.528686998661314</v>
      </c>
      <c r="D655">
        <f t="shared" si="540"/>
        <v>1.5555352424722757</v>
      </c>
      <c r="F655">
        <f t="shared" si="541"/>
        <v>4.1067750091109924E-7</v>
      </c>
      <c r="G655">
        <f t="shared" si="542"/>
        <v>2.1799432859753297E-4</v>
      </c>
      <c r="H655">
        <f t="shared" si="564"/>
        <v>-3.1413746556714028</v>
      </c>
      <c r="J655">
        <f t="shared" si="565"/>
        <v>15</v>
      </c>
      <c r="M655">
        <f t="shared" si="543"/>
        <v>1.8912708502570737E-4</v>
      </c>
      <c r="N655">
        <f t="shared" si="566"/>
        <v>-1.5707963250000001</v>
      </c>
      <c r="O655">
        <f t="shared" si="544"/>
        <v>2020.3320913208206</v>
      </c>
      <c r="P655">
        <f t="shared" si="567"/>
        <v>1.5703013586433099</v>
      </c>
      <c r="Q655">
        <f t="shared" si="545"/>
        <v>1709.9509505637036</v>
      </c>
      <c r="R655">
        <f t="shared" si="568"/>
        <v>1.5702115146652438</v>
      </c>
      <c r="S655">
        <f t="shared" si="546"/>
        <v>1.55071385020219E-2</v>
      </c>
      <c r="T655">
        <f t="shared" si="569"/>
        <v>-1.5552885667218699</v>
      </c>
      <c r="U655">
        <f t="shared" si="547"/>
        <v>1.98772943875575E-2</v>
      </c>
      <c r="V655">
        <f t="shared" si="570"/>
        <v>-1.5509177232320874</v>
      </c>
      <c r="X655">
        <f t="shared" si="548"/>
        <v>-81.79854569111302</v>
      </c>
      <c r="Y655">
        <f t="shared" si="549"/>
        <v>-178.89628302765971</v>
      </c>
      <c r="Z655">
        <f t="shared" si="579"/>
        <v>1.103716972340294</v>
      </c>
      <c r="AC655">
        <v>1</v>
      </c>
      <c r="AD655">
        <f t="shared" si="550"/>
        <v>2020.3318438367401</v>
      </c>
      <c r="AE655">
        <f t="shared" si="551"/>
        <v>-12.034025136516425</v>
      </c>
      <c r="AF655">
        <f t="shared" si="552"/>
        <v>0.23925112985339997</v>
      </c>
      <c r="AG655">
        <f t="shared" si="553"/>
        <v>3.2533745945296171</v>
      </c>
      <c r="AH655">
        <f t="shared" si="554"/>
        <v>-167.82028019544069</v>
      </c>
      <c r="AJ655">
        <f t="shared" si="571"/>
        <v>22100</v>
      </c>
      <c r="AK655">
        <f t="shared" si="555"/>
        <v>1424978.7366635732</v>
      </c>
      <c r="AL655">
        <v>30</v>
      </c>
      <c r="AM655">
        <f t="shared" si="556"/>
        <v>1709.9506581576302</v>
      </c>
      <c r="AN655">
        <f t="shared" si="557"/>
        <v>833.31519582214253</v>
      </c>
      <c r="AO655">
        <f t="shared" si="558"/>
        <v>1.6956371582021355</v>
      </c>
      <c r="AQ655">
        <f t="shared" si="559"/>
        <v>4.0057682903149807E-5</v>
      </c>
      <c r="AR655">
        <f t="shared" si="560"/>
        <v>-0.63291138986976692</v>
      </c>
      <c r="AT655">
        <f t="shared" si="561"/>
        <v>-106.21523646418221</v>
      </c>
      <c r="AU655">
        <f t="shared" si="562"/>
        <v>-2.0658203279595164</v>
      </c>
      <c r="AV655">
        <f t="shared" si="580"/>
        <v>-3.1221457270394146</v>
      </c>
      <c r="AW655">
        <f t="shared" si="581"/>
        <v>838.40371890278504</v>
      </c>
      <c r="AX655">
        <f t="shared" si="582"/>
        <v>-727.55052055166561</v>
      </c>
      <c r="AY655">
        <f t="shared" si="590"/>
        <v>-0.71472650352775324</v>
      </c>
      <c r="BA655">
        <f t="shared" si="572"/>
        <v>9.5701652193486794E-2</v>
      </c>
      <c r="BB655">
        <f t="shared" si="583"/>
        <v>-20.381611289955185</v>
      </c>
      <c r="BC655">
        <f t="shared" si="584"/>
        <v>-2.4074192235116616</v>
      </c>
      <c r="BD655">
        <f t="shared" si="573"/>
        <v>-317.93496118349367</v>
      </c>
      <c r="BF655">
        <f t="shared" si="574"/>
        <v>-88.26113857648528</v>
      </c>
      <c r="BG655">
        <f t="shared" si="575"/>
        <v>-228.79686664913157</v>
      </c>
      <c r="BH655">
        <f t="shared" si="585"/>
        <v>-48.796866649131573</v>
      </c>
      <c r="BI655">
        <f t="shared" si="586"/>
        <v>-48.796866649131573</v>
      </c>
      <c r="BJ655">
        <f t="shared" si="576"/>
        <v>0</v>
      </c>
      <c r="BK655">
        <f t="shared" si="587"/>
        <v>0</v>
      </c>
      <c r="BM655">
        <f t="shared" si="588"/>
        <v>-67.879527286530092</v>
      </c>
      <c r="BN655">
        <f t="shared" si="577"/>
        <v>-90.861905465637903</v>
      </c>
      <c r="BQ655" s="56">
        <f t="shared" si="589"/>
        <v>-3.4796504896700458</v>
      </c>
    </row>
    <row r="656" spans="1:69" x14ac:dyDescent="0.25">
      <c r="A656">
        <f t="shared" si="563"/>
        <v>8000000</v>
      </c>
      <c r="B656">
        <f t="shared" si="578"/>
        <v>8000</v>
      </c>
      <c r="C656">
        <f t="shared" si="539"/>
        <v>66.357972085532936</v>
      </c>
      <c r="D656">
        <f t="shared" si="540"/>
        <v>1.5557259769613001</v>
      </c>
      <c r="F656">
        <f t="shared" si="541"/>
        <v>4.0047472787425503E-7</v>
      </c>
      <c r="G656">
        <f t="shared" si="542"/>
        <v>2.1526939736551636E-4</v>
      </c>
      <c r="H656">
        <f t="shared" si="564"/>
        <v>-3.1413773806026346</v>
      </c>
      <c r="J656">
        <f t="shared" si="565"/>
        <v>15</v>
      </c>
      <c r="M656">
        <f t="shared" si="543"/>
        <v>1.8676299646288604E-4</v>
      </c>
      <c r="N656">
        <f t="shared" si="566"/>
        <v>-1.5707963250000001</v>
      </c>
      <c r="O656">
        <f t="shared" si="544"/>
        <v>2045.9059090353301</v>
      </c>
      <c r="P656">
        <f t="shared" si="567"/>
        <v>1.5703075457442131</v>
      </c>
      <c r="Q656">
        <f t="shared" si="545"/>
        <v>1731.5958919485979</v>
      </c>
      <c r="R656">
        <f t="shared" si="568"/>
        <v>1.5702188248152289</v>
      </c>
      <c r="S656">
        <f t="shared" si="546"/>
        <v>1.5313345013384138E-2</v>
      </c>
      <c r="T656">
        <f t="shared" si="569"/>
        <v>-1.5554823832255182</v>
      </c>
      <c r="U656">
        <f t="shared" si="547"/>
        <v>1.9628924546076724E-2</v>
      </c>
      <c r="V656">
        <f t="shared" si="570"/>
        <v>-1.5511661415435267</v>
      </c>
      <c r="X656">
        <f t="shared" si="548"/>
        <v>-82.017018217455472</v>
      </c>
      <c r="Y656">
        <f t="shared" si="549"/>
        <v>-178.91007572645319</v>
      </c>
      <c r="Z656">
        <f t="shared" si="579"/>
        <v>1.0899242735468135</v>
      </c>
      <c r="AC656">
        <v>1</v>
      </c>
      <c r="AD656">
        <f t="shared" si="550"/>
        <v>2045.9056646448</v>
      </c>
      <c r="AE656">
        <f t="shared" si="551"/>
        <v>-12.340612221391623</v>
      </c>
      <c r="AF656">
        <f t="shared" si="552"/>
        <v>0.242279625168</v>
      </c>
      <c r="AG656">
        <f t="shared" si="553"/>
        <v>3.1725797112841474</v>
      </c>
      <c r="AH656">
        <f t="shared" si="554"/>
        <v>-165.7241129152755</v>
      </c>
      <c r="AJ656">
        <f t="shared" si="571"/>
        <v>22100</v>
      </c>
      <c r="AK656">
        <f t="shared" si="555"/>
        <v>1443016.4421909603</v>
      </c>
      <c r="AL656">
        <v>31</v>
      </c>
      <c r="AM656">
        <f t="shared" si="556"/>
        <v>1731.5956031976004</v>
      </c>
      <c r="AN656">
        <f t="shared" si="557"/>
        <v>833.30635528416633</v>
      </c>
      <c r="AO656">
        <f t="shared" si="558"/>
        <v>2.1555246542071664</v>
      </c>
      <c r="AQ656">
        <f t="shared" si="559"/>
        <v>3.9062499847412111E-5</v>
      </c>
      <c r="AR656">
        <f t="shared" si="560"/>
        <v>-0.62499999755859381</v>
      </c>
      <c r="AT656">
        <f t="shared" si="561"/>
        <v>-103.57744623855282</v>
      </c>
      <c r="AU656">
        <f t="shared" si="562"/>
        <v>-1.9893359099425019</v>
      </c>
      <c r="AV656">
        <f t="shared" si="580"/>
        <v>-3.122388749389188</v>
      </c>
      <c r="AW656">
        <f t="shared" si="581"/>
        <v>838.58855877930057</v>
      </c>
      <c r="AX656">
        <f t="shared" si="582"/>
        <v>-717.97072674602441</v>
      </c>
      <c r="AY656">
        <f t="shared" si="590"/>
        <v>-0.7080626745392955</v>
      </c>
      <c r="BA656">
        <f t="shared" si="572"/>
        <v>9.3841428659303783E-2</v>
      </c>
      <c r="BB656">
        <f t="shared" si="583"/>
        <v>-20.552107781250129</v>
      </c>
      <c r="BC656">
        <f t="shared" si="584"/>
        <v>-2.4143260748498925</v>
      </c>
      <c r="BD656">
        <f t="shared" si="573"/>
        <v>-318.33069461535081</v>
      </c>
      <c r="BF656">
        <f t="shared" si="574"/>
        <v>-88.540918192774967</v>
      </c>
      <c r="BG656">
        <f t="shared" si="575"/>
        <v>-229.18182792680673</v>
      </c>
      <c r="BH656">
        <f t="shared" si="585"/>
        <v>-49.181827926806733</v>
      </c>
      <c r="BI656">
        <f t="shared" si="586"/>
        <v>-49.181827926806733</v>
      </c>
      <c r="BJ656">
        <f t="shared" si="576"/>
        <v>0</v>
      </c>
      <c r="BK656">
        <f t="shared" si="587"/>
        <v>0</v>
      </c>
      <c r="BM656">
        <f t="shared" si="588"/>
        <v>-67.988810411524824</v>
      </c>
      <c r="BN656">
        <f t="shared" si="577"/>
        <v>-90.851133311455953</v>
      </c>
      <c r="BQ656" s="56">
        <f t="shared" si="589"/>
        <v>-3.650146980964994</v>
      </c>
    </row>
    <row r="657" spans="1:69" x14ac:dyDescent="0.25">
      <c r="A657">
        <f t="shared" si="563"/>
        <v>8100000</v>
      </c>
      <c r="B657">
        <f t="shared" si="578"/>
        <v>8100</v>
      </c>
      <c r="C657">
        <f t="shared" si="539"/>
        <v>67.187259526890529</v>
      </c>
      <c r="D657">
        <f t="shared" si="540"/>
        <v>1.555912003013195</v>
      </c>
      <c r="F657">
        <f t="shared" si="541"/>
        <v>3.9064749802115496E-7</v>
      </c>
      <c r="G657">
        <f t="shared" si="542"/>
        <v>2.1261174846337694E-4</v>
      </c>
      <c r="H657">
        <f t="shared" si="564"/>
        <v>-3.1413800382515369</v>
      </c>
      <c r="J657">
        <f t="shared" si="565"/>
        <v>15</v>
      </c>
      <c r="M657">
        <f t="shared" si="543"/>
        <v>1.8445728045717142E-4</v>
      </c>
      <c r="N657">
        <f t="shared" si="566"/>
        <v>-1.5707963250000001</v>
      </c>
      <c r="O657">
        <f t="shared" si="544"/>
        <v>2071.4797268262237</v>
      </c>
      <c r="P657">
        <f t="shared" si="567"/>
        <v>1.5703135800772288</v>
      </c>
      <c r="Q657">
        <f t="shared" si="545"/>
        <v>1753.2408334237416</v>
      </c>
      <c r="R657">
        <f t="shared" si="568"/>
        <v>1.5702259544677428</v>
      </c>
      <c r="S657">
        <f t="shared" si="546"/>
        <v>1.5124334886634297E-2</v>
      </c>
      <c r="T657">
        <f t="shared" si="569"/>
        <v>-1.5556714152449624</v>
      </c>
      <c r="U657">
        <f t="shared" si="547"/>
        <v>1.9386683792360918E-2</v>
      </c>
      <c r="V657">
        <f t="shared" si="570"/>
        <v>-1.5514084284038909</v>
      </c>
      <c r="X657">
        <f t="shared" si="548"/>
        <v>-82.232777784648121</v>
      </c>
      <c r="Y657">
        <f t="shared" si="549"/>
        <v>-178.92352800150593</v>
      </c>
      <c r="Z657">
        <f t="shared" si="579"/>
        <v>1.0764719984940712</v>
      </c>
      <c r="AC657">
        <v>1</v>
      </c>
      <c r="AD657">
        <f t="shared" si="550"/>
        <v>2071.47948545286</v>
      </c>
      <c r="AE657">
        <f t="shared" si="551"/>
        <v>-12.651055747586003</v>
      </c>
      <c r="AF657">
        <f t="shared" si="552"/>
        <v>0.24530812048259998</v>
      </c>
      <c r="AG657">
        <f t="shared" si="553"/>
        <v>3.0947572210898304</v>
      </c>
      <c r="AH657">
        <f t="shared" si="554"/>
        <v>-163.67964521622844</v>
      </c>
      <c r="AJ657">
        <f t="shared" si="571"/>
        <v>22100</v>
      </c>
      <c r="AK657">
        <f t="shared" si="555"/>
        <v>1461054.1477183471</v>
      </c>
      <c r="AL657">
        <v>32</v>
      </c>
      <c r="AM657">
        <f t="shared" si="556"/>
        <v>1753.2405482375702</v>
      </c>
      <c r="AN657">
        <f t="shared" si="557"/>
        <v>833.29741588883451</v>
      </c>
      <c r="AO657">
        <f t="shared" si="558"/>
        <v>2.6040450142635301</v>
      </c>
      <c r="AQ657">
        <f t="shared" si="559"/>
        <v>3.8103947423777063E-5</v>
      </c>
      <c r="AR657">
        <f t="shared" si="560"/>
        <v>-0.6172839482651884</v>
      </c>
      <c r="AT657">
        <f t="shared" si="561"/>
        <v>-101.0366997272523</v>
      </c>
      <c r="AU657">
        <f t="shared" si="562"/>
        <v>-1.9165807969521949</v>
      </c>
      <c r="AV657">
        <f t="shared" si="580"/>
        <v>-3.122625773521472</v>
      </c>
      <c r="AW657">
        <f t="shared" si="581"/>
        <v>838.76223432191148</v>
      </c>
      <c r="AX657">
        <f t="shared" si="582"/>
        <v>-708.62736631512962</v>
      </c>
      <c r="AY657">
        <f t="shared" si="590"/>
        <v>-0.70149598401339541</v>
      </c>
      <c r="BA657">
        <f t="shared" si="572"/>
        <v>9.2032702788996557E-2</v>
      </c>
      <c r="BB657">
        <f t="shared" si="583"/>
        <v>-20.721156471103996</v>
      </c>
      <c r="BC657">
        <f t="shared" si="584"/>
        <v>-2.4211297895080763</v>
      </c>
      <c r="BD657">
        <f t="shared" si="573"/>
        <v>-318.72051875072145</v>
      </c>
      <c r="BF657">
        <f t="shared" si="574"/>
        <v>-88.817891803501567</v>
      </c>
      <c r="BG657">
        <f t="shared" si="575"/>
        <v>-229.56114582657784</v>
      </c>
      <c r="BH657">
        <f t="shared" si="585"/>
        <v>-49.561145826577842</v>
      </c>
      <c r="BI657">
        <f t="shared" si="586"/>
        <v>-49.561145826577842</v>
      </c>
      <c r="BJ657">
        <f t="shared" si="576"/>
        <v>0</v>
      </c>
      <c r="BK657">
        <f t="shared" si="587"/>
        <v>0</v>
      </c>
      <c r="BM657">
        <f t="shared" si="588"/>
        <v>-68.096735332397571</v>
      </c>
      <c r="BN657">
        <f t="shared" si="577"/>
        <v>-90.840627075856418</v>
      </c>
      <c r="BQ657" s="56">
        <f t="shared" si="589"/>
        <v>-3.8191956708188597</v>
      </c>
    </row>
    <row r="658" spans="1:69" x14ac:dyDescent="0.25">
      <c r="A658">
        <f t="shared" si="563"/>
        <v>8200000</v>
      </c>
      <c r="B658">
        <f t="shared" si="578"/>
        <v>8200</v>
      </c>
      <c r="C658">
        <f t="shared" si="539"/>
        <v>68.016549236613372</v>
      </c>
      <c r="D658">
        <f t="shared" si="540"/>
        <v>1.5560934928372738</v>
      </c>
      <c r="F658">
        <f t="shared" si="541"/>
        <v>3.8117760432876659E-7</v>
      </c>
      <c r="G658">
        <f t="shared" si="542"/>
        <v>2.1001892033876187E-4</v>
      </c>
      <c r="H658">
        <f t="shared" si="564"/>
        <v>-3.1413826310796615</v>
      </c>
      <c r="J658">
        <f t="shared" si="565"/>
        <v>15</v>
      </c>
      <c r="M658">
        <f t="shared" si="543"/>
        <v>1.8220780142720592E-4</v>
      </c>
      <c r="N658">
        <f t="shared" si="566"/>
        <v>-1.5707963250000001</v>
      </c>
      <c r="O658">
        <f t="shared" si="544"/>
        <v>2097.0535446907061</v>
      </c>
      <c r="P658">
        <f t="shared" si="567"/>
        <v>1.5703194672314245</v>
      </c>
      <c r="Q658">
        <f t="shared" si="545"/>
        <v>1774.8857749858321</v>
      </c>
      <c r="R658">
        <f t="shared" si="568"/>
        <v>1.570232910226349</v>
      </c>
      <c r="S658">
        <f t="shared" si="546"/>
        <v>1.4939933200324371E-2</v>
      </c>
      <c r="T658">
        <f t="shared" si="569"/>
        <v>-1.555855837769234</v>
      </c>
      <c r="U658">
        <f t="shared" si="547"/>
        <v>1.9150348059074739E-2</v>
      </c>
      <c r="V658">
        <f t="shared" si="570"/>
        <v>-1.5516448080228067</v>
      </c>
      <c r="X658">
        <f t="shared" si="548"/>
        <v>-82.44589093278833</v>
      </c>
      <c r="Y658">
        <f t="shared" si="549"/>
        <v>-178.93665230079966</v>
      </c>
      <c r="Z658">
        <f t="shared" si="579"/>
        <v>1.0633476992003352</v>
      </c>
      <c r="AC658">
        <v>1</v>
      </c>
      <c r="AD658">
        <f t="shared" si="550"/>
        <v>2097.0533062609202</v>
      </c>
      <c r="AE658">
        <f t="shared" si="551"/>
        <v>-12.965355715099571</v>
      </c>
      <c r="AF658">
        <f t="shared" si="552"/>
        <v>0.24833661579719998</v>
      </c>
      <c r="AG658">
        <f t="shared" si="553"/>
        <v>3.0197631061545427</v>
      </c>
      <c r="AH658">
        <f t="shared" si="554"/>
        <v>-161.68498840870632</v>
      </c>
      <c r="AJ658">
        <f t="shared" si="571"/>
        <v>22100</v>
      </c>
      <c r="AK658">
        <f t="shared" si="555"/>
        <v>1479091.853245734</v>
      </c>
      <c r="AL658">
        <v>33</v>
      </c>
      <c r="AM658">
        <f t="shared" si="556"/>
        <v>1774.8854932775403</v>
      </c>
      <c r="AN658">
        <f t="shared" si="557"/>
        <v>833.28839273188612</v>
      </c>
      <c r="AO658">
        <f t="shared" si="558"/>
        <v>3.0416142227762712</v>
      </c>
      <c r="AQ658">
        <f t="shared" si="559"/>
        <v>3.7180249713041904E-5</v>
      </c>
      <c r="AR658">
        <f t="shared" si="560"/>
        <v>-0.60975609529388719</v>
      </c>
      <c r="AT658">
        <f t="shared" si="561"/>
        <v>-98.588294924183813</v>
      </c>
      <c r="AU658">
        <f t="shared" si="562"/>
        <v>-1.84733044856522</v>
      </c>
      <c r="AV658">
        <f t="shared" si="580"/>
        <v>-3.1228570187714948</v>
      </c>
      <c r="AW658">
        <f t="shared" si="581"/>
        <v>838.92539266374479</v>
      </c>
      <c r="AX658">
        <f t="shared" si="582"/>
        <v>-699.51180130182422</v>
      </c>
      <c r="AY658">
        <f t="shared" si="590"/>
        <v>-0.69502473880650084</v>
      </c>
      <c r="BA658">
        <f t="shared" si="572"/>
        <v>9.027362298185973E-2</v>
      </c>
      <c r="BB658">
        <f t="shared" si="583"/>
        <v>-20.888782550061688</v>
      </c>
      <c r="BC658">
        <f t="shared" si="584"/>
        <v>-2.4278322799649938</v>
      </c>
      <c r="BD658">
        <f t="shared" si="573"/>
        <v>-319.10454316656836</v>
      </c>
      <c r="BF658">
        <f t="shared" si="574"/>
        <v>-89.092117952847644</v>
      </c>
      <c r="BG658">
        <f t="shared" si="575"/>
        <v>-229.93492019957731</v>
      </c>
      <c r="BH658">
        <f t="shared" si="585"/>
        <v>-49.934920199577306</v>
      </c>
      <c r="BI658">
        <f t="shared" si="586"/>
        <v>-49.934920199577306</v>
      </c>
      <c r="BJ658">
        <f t="shared" si="576"/>
        <v>0</v>
      </c>
      <c r="BK658">
        <f t="shared" si="587"/>
        <v>0</v>
      </c>
      <c r="BM658">
        <f t="shared" si="588"/>
        <v>-68.203335402785953</v>
      </c>
      <c r="BN658">
        <f t="shared" si="577"/>
        <v>-90.830377033008958</v>
      </c>
      <c r="BQ658" s="56">
        <f t="shared" si="589"/>
        <v>-3.9868217497765506</v>
      </c>
    </row>
    <row r="659" spans="1:69" x14ac:dyDescent="0.25">
      <c r="A659">
        <f t="shared" si="563"/>
        <v>8300000</v>
      </c>
      <c r="B659">
        <f t="shared" si="578"/>
        <v>8300</v>
      </c>
      <c r="C659">
        <f t="shared" si="539"/>
        <v>68.845841132729944</v>
      </c>
      <c r="D659">
        <f t="shared" si="540"/>
        <v>1.5562706103465969</v>
      </c>
      <c r="F659">
        <f t="shared" si="541"/>
        <v>3.7204792993513269E-7</v>
      </c>
      <c r="G659">
        <f t="shared" si="542"/>
        <v>2.0748857006856614E-4</v>
      </c>
      <c r="H659">
        <f t="shared" si="564"/>
        <v>-3.1413851614299317</v>
      </c>
      <c r="J659">
        <f t="shared" si="565"/>
        <v>15</v>
      </c>
      <c r="M659">
        <f t="shared" si="543"/>
        <v>1.8001252671121548E-4</v>
      </c>
      <c r="N659">
        <f t="shared" si="566"/>
        <v>-1.5707963250000001</v>
      </c>
      <c r="O659">
        <f t="shared" si="544"/>
        <v>2122.6273626261186</v>
      </c>
      <c r="P659">
        <f t="shared" si="567"/>
        <v>1.5703252125265146</v>
      </c>
      <c r="Q659">
        <f t="shared" si="545"/>
        <v>1796.5307166317266</v>
      </c>
      <c r="R659">
        <f t="shared" si="568"/>
        <v>1.5702396983763667</v>
      </c>
      <c r="S659">
        <f t="shared" si="546"/>
        <v>1.4759973458248714E-2</v>
      </c>
      <c r="T659">
        <f t="shared" si="569"/>
        <v>-1.5560358173572963</v>
      </c>
      <c r="U659">
        <f t="shared" si="547"/>
        <v>1.8919704067400834E-2</v>
      </c>
      <c r="V659">
        <f t="shared" si="570"/>
        <v>-1.5518754938112256</v>
      </c>
      <c r="X659">
        <f t="shared" si="548"/>
        <v>-82.656421784026861</v>
      </c>
      <c r="Y659">
        <f t="shared" si="549"/>
        <v>-178.9494604728005</v>
      </c>
      <c r="Z659">
        <f t="shared" si="579"/>
        <v>1.0505395271995042</v>
      </c>
      <c r="AC659">
        <v>1</v>
      </c>
      <c r="AD659">
        <f t="shared" si="550"/>
        <v>2122.6271270689799</v>
      </c>
      <c r="AE659">
        <f t="shared" si="551"/>
        <v>-13.283512123932324</v>
      </c>
      <c r="AF659">
        <f t="shared" si="552"/>
        <v>0.25136511111179999</v>
      </c>
      <c r="AG659">
        <f t="shared" si="553"/>
        <v>2.9474619655782743</v>
      </c>
      <c r="AH659">
        <f t="shared" si="554"/>
        <v>-159.73834466124322</v>
      </c>
      <c r="AJ659">
        <f t="shared" si="571"/>
        <v>22100</v>
      </c>
      <c r="AK659">
        <f t="shared" si="555"/>
        <v>1497129.5587731211</v>
      </c>
      <c r="AL659">
        <v>34</v>
      </c>
      <c r="AM659">
        <f t="shared" si="556"/>
        <v>1796.5304383175103</v>
      </c>
      <c r="AN659">
        <f t="shared" si="557"/>
        <v>833.27929963458575</v>
      </c>
      <c r="AO659">
        <f t="shared" si="558"/>
        <v>3.4686282262001917</v>
      </c>
      <c r="AQ659">
        <f t="shared" si="559"/>
        <v>3.6289737130607717E-5</v>
      </c>
      <c r="AR659">
        <f t="shared" si="560"/>
        <v>-0.60240963636808809</v>
      </c>
      <c r="AT659">
        <f t="shared" si="561"/>
        <v>-96.227811158799909</v>
      </c>
      <c r="AU659">
        <f t="shared" si="562"/>
        <v>-1.7813763534302134</v>
      </c>
      <c r="AV659">
        <f t="shared" si="580"/>
        <v>-3.1230826939107215</v>
      </c>
      <c r="AW659">
        <f t="shared" si="581"/>
        <v>839.07863838871333</v>
      </c>
      <c r="AX659">
        <f t="shared" si="582"/>
        <v>-690.61580907384996</v>
      </c>
      <c r="AY659">
        <f t="shared" si="590"/>
        <v>-0.688647273160091</v>
      </c>
      <c r="BA659">
        <f t="shared" si="572"/>
        <v>8.8562421141003295E-2</v>
      </c>
      <c r="BB659">
        <f t="shared" si="583"/>
        <v>-21.055010382377866</v>
      </c>
      <c r="BC659">
        <f t="shared" si="584"/>
        <v>-2.4344354207506305</v>
      </c>
      <c r="BD659">
        <f t="shared" si="573"/>
        <v>-319.48287526554833</v>
      </c>
      <c r="BF659">
        <f t="shared" si="574"/>
        <v>-89.363653144728644</v>
      </c>
      <c r="BG659">
        <f t="shared" si="575"/>
        <v>-230.30324919117498</v>
      </c>
      <c r="BH659">
        <f t="shared" si="585"/>
        <v>-50.303249191174984</v>
      </c>
      <c r="BI659">
        <f t="shared" si="586"/>
        <v>-50.303249191174984</v>
      </c>
      <c r="BJ659">
        <f t="shared" si="576"/>
        <v>0</v>
      </c>
      <c r="BK659">
        <f t="shared" si="587"/>
        <v>0</v>
      </c>
      <c r="BM659">
        <f t="shared" si="588"/>
        <v>-68.308642762350786</v>
      </c>
      <c r="BN659">
        <f t="shared" si="577"/>
        <v>-90.820373925626626</v>
      </c>
      <c r="BQ659" s="56">
        <f t="shared" si="589"/>
        <v>-4.1530495820927307</v>
      </c>
    </row>
    <row r="660" spans="1:69" x14ac:dyDescent="0.25">
      <c r="A660">
        <f t="shared" si="563"/>
        <v>8400000</v>
      </c>
      <c r="B660">
        <f t="shared" si="578"/>
        <v>8400</v>
      </c>
      <c r="C660">
        <f t="shared" si="539"/>
        <v>69.675135137171168</v>
      </c>
      <c r="D660">
        <f t="shared" si="540"/>
        <v>1.5564435116515869</v>
      </c>
      <c r="F660">
        <f t="shared" si="541"/>
        <v>3.6324237073797823E-7</v>
      </c>
      <c r="G660">
        <f t="shared" si="542"/>
        <v>2.0501846629765244E-4</v>
      </c>
      <c r="H660">
        <f t="shared" si="564"/>
        <v>-3.1413876315337026</v>
      </c>
      <c r="J660">
        <f t="shared" si="565"/>
        <v>15</v>
      </c>
      <c r="M660">
        <f t="shared" si="543"/>
        <v>1.7786952044084384E-4</v>
      </c>
      <c r="N660">
        <f t="shared" si="566"/>
        <v>-1.5707963250000001</v>
      </c>
      <c r="O660">
        <f t="shared" si="544"/>
        <v>2148.201180629927</v>
      </c>
      <c r="P660">
        <f t="shared" si="567"/>
        <v>1.5703308210288944</v>
      </c>
      <c r="Q660">
        <f t="shared" si="545"/>
        <v>1818.1756583584329</v>
      </c>
      <c r="R660">
        <f t="shared" si="568"/>
        <v>1.5702463249038143</v>
      </c>
      <c r="S660">
        <f t="shared" si="546"/>
        <v>1.4584297088271634E-2</v>
      </c>
      <c r="T660">
        <f t="shared" si="569"/>
        <v>-1.5562115126396157</v>
      </c>
      <c r="U660">
        <f t="shared" si="547"/>
        <v>1.8694548685560728E-2</v>
      </c>
      <c r="V660">
        <f t="shared" si="570"/>
        <v>-1.5521006890237385</v>
      </c>
      <c r="X660">
        <f t="shared" si="548"/>
        <v>-82.864432158298115</v>
      </c>
      <c r="Y660">
        <f t="shared" si="549"/>
        <v>-178.96196380211703</v>
      </c>
      <c r="Z660">
        <f t="shared" si="579"/>
        <v>1.038036197882974</v>
      </c>
      <c r="AC660">
        <v>1</v>
      </c>
      <c r="AD660">
        <f t="shared" si="550"/>
        <v>2148.2009478770401</v>
      </c>
      <c r="AE660">
        <f t="shared" si="551"/>
        <v>-13.605524974084263</v>
      </c>
      <c r="AF660">
        <f t="shared" si="552"/>
        <v>0.25439360642640002</v>
      </c>
      <c r="AG660">
        <f t="shared" si="553"/>
        <v>2.8777264040661126</v>
      </c>
      <c r="AH660">
        <f t="shared" si="554"/>
        <v>-157.83800160370802</v>
      </c>
      <c r="AJ660">
        <f t="shared" si="571"/>
        <v>22100</v>
      </c>
      <c r="AK660">
        <f t="shared" si="555"/>
        <v>1515167.2643005082</v>
      </c>
      <c r="AL660">
        <v>35</v>
      </c>
      <c r="AM660">
        <f t="shared" si="556"/>
        <v>1818.1753833574801</v>
      </c>
      <c r="AN660">
        <f t="shared" si="557"/>
        <v>833.27014925175592</v>
      </c>
      <c r="AO660">
        <f t="shared" si="558"/>
        <v>3.8854641243498129</v>
      </c>
      <c r="AQ660">
        <f t="shared" si="559"/>
        <v>3.5430838876733138E-5</v>
      </c>
      <c r="AR660">
        <f t="shared" si="560"/>
        <v>-0.59523809312911669</v>
      </c>
      <c r="AT660">
        <f t="shared" si="561"/>
        <v>-93.951089137641077</v>
      </c>
      <c r="AU660">
        <f t="shared" si="562"/>
        <v>-1.7185247101070693</v>
      </c>
      <c r="AV660">
        <f t="shared" si="580"/>
        <v>-3.1233029977751836</v>
      </c>
      <c r="AW660">
        <f t="shared" si="581"/>
        <v>839.22253673182604</v>
      </c>
      <c r="AX660">
        <f t="shared" si="582"/>
        <v>-681.93155768130623</v>
      </c>
      <c r="AY660">
        <f t="shared" si="590"/>
        <v>-0.68236194851079279</v>
      </c>
      <c r="BA660">
        <f t="shared" si="572"/>
        <v>8.6897408013098032E-2</v>
      </c>
      <c r="BB660">
        <f t="shared" si="583"/>
        <v>-21.219863550979966</v>
      </c>
      <c r="BC660">
        <f t="shared" si="584"/>
        <v>-2.4409410492643908</v>
      </c>
      <c r="BD660">
        <f t="shared" si="573"/>
        <v>-319.85562032289272</v>
      </c>
      <c r="BF660">
        <f t="shared" si="574"/>
        <v>-89.632551945976203</v>
      </c>
      <c r="BG660">
        <f t="shared" si="575"/>
        <v>-230.66622925998092</v>
      </c>
      <c r="BH660">
        <f t="shared" si="585"/>
        <v>-50.666229259980923</v>
      </c>
      <c r="BI660">
        <f t="shared" si="586"/>
        <v>-50.666229259980923</v>
      </c>
      <c r="BJ660">
        <f t="shared" si="576"/>
        <v>0</v>
      </c>
      <c r="BK660">
        <f t="shared" si="587"/>
        <v>0</v>
      </c>
      <c r="BM660">
        <f t="shared" si="588"/>
        <v>-68.412688394996238</v>
      </c>
      <c r="BN660">
        <f t="shared" si="577"/>
        <v>-90.810608937088261</v>
      </c>
      <c r="BQ660" s="56">
        <f t="shared" si="589"/>
        <v>-4.3179027506948291</v>
      </c>
    </row>
    <row r="661" spans="1:69" x14ac:dyDescent="0.25">
      <c r="A661">
        <f t="shared" si="563"/>
        <v>8500000</v>
      </c>
      <c r="B661">
        <f t="shared" si="578"/>
        <v>8500</v>
      </c>
      <c r="C661">
        <f t="shared" si="539"/>
        <v>70.504431175540816</v>
      </c>
      <c r="D661">
        <f t="shared" si="540"/>
        <v>1.556612345518817</v>
      </c>
      <c r="F661">
        <f t="shared" si="541"/>
        <v>3.5474576432967751E-7</v>
      </c>
      <c r="G661">
        <f t="shared" si="542"/>
        <v>2.0260648267601572E-4</v>
      </c>
      <c r="H661">
        <f t="shared" si="564"/>
        <v>-3.1413900435173243</v>
      </c>
      <c r="J661">
        <f t="shared" si="565"/>
        <v>15</v>
      </c>
      <c r="M661">
        <f t="shared" si="543"/>
        <v>1.7577693784742216E-4</v>
      </c>
      <c r="N661">
        <f t="shared" si="566"/>
        <v>-1.5707963250000001</v>
      </c>
      <c r="O661">
        <f t="shared" si="544"/>
        <v>2173.7749986997178</v>
      </c>
      <c r="P661">
        <f t="shared" si="567"/>
        <v>1.5703362975665407</v>
      </c>
      <c r="Q661">
        <f t="shared" si="545"/>
        <v>1839.8206001630981</v>
      </c>
      <c r="R661">
        <f t="shared" si="568"/>
        <v>1.5702527955130157</v>
      </c>
      <c r="S661">
        <f t="shared" si="546"/>
        <v>1.4412752976505116E-2</v>
      </c>
      <c r="T661">
        <f t="shared" si="569"/>
        <v>-1.5563830747843417</v>
      </c>
      <c r="U661">
        <f t="shared" si="547"/>
        <v>1.8474688332560548E-2</v>
      </c>
      <c r="V661">
        <f t="shared" si="570"/>
        <v>-1.5523205873555894</v>
      </c>
      <c r="X661">
        <f t="shared" si="548"/>
        <v>-83.069981682209303</v>
      </c>
      <c r="Y661">
        <f t="shared" si="549"/>
        <v>-178.97417304264408</v>
      </c>
      <c r="Z661">
        <f t="shared" si="579"/>
        <v>1.0258269573559176</v>
      </c>
      <c r="AC661">
        <v>1</v>
      </c>
      <c r="AD661">
        <f t="shared" si="550"/>
        <v>2173.7747686850998</v>
      </c>
      <c r="AE661">
        <f t="shared" si="551"/>
        <v>-13.931394265555385</v>
      </c>
      <c r="AF661">
        <f t="shared" si="552"/>
        <v>0.257422101741</v>
      </c>
      <c r="AG661">
        <f t="shared" si="553"/>
        <v>2.8104364706363816</v>
      </c>
      <c r="AH661">
        <f t="shared" si="554"/>
        <v>-155.98232731053847</v>
      </c>
      <c r="AJ661">
        <f t="shared" si="571"/>
        <v>22100</v>
      </c>
      <c r="AK661">
        <f t="shared" si="555"/>
        <v>1533204.9698278953</v>
      </c>
      <c r="AL661">
        <v>36</v>
      </c>
      <c r="AM661">
        <f t="shared" si="556"/>
        <v>1839.8203283974503</v>
      </c>
      <c r="AN661">
        <f t="shared" si="557"/>
        <v>833.26095316994201</v>
      </c>
      <c r="AO661">
        <f t="shared" si="558"/>
        <v>4.2924812777760923</v>
      </c>
      <c r="AQ661">
        <f t="shared" si="559"/>
        <v>3.4602076004837107E-5</v>
      </c>
      <c r="AR661">
        <f t="shared" si="560"/>
        <v>-0.5882352920822308</v>
      </c>
      <c r="AT661">
        <f t="shared" si="561"/>
        <v>-91.754212618244352</v>
      </c>
      <c r="AU661">
        <f t="shared" si="562"/>
        <v>-1.6585952305283564</v>
      </c>
      <c r="AV661">
        <f t="shared" si="580"/>
        <v>-3.1235181198494977</v>
      </c>
      <c r="AW661">
        <f t="shared" si="581"/>
        <v>839.35761650710185</v>
      </c>
      <c r="AX661">
        <f t="shared" si="582"/>
        <v>-673.45158294650685</v>
      </c>
      <c r="AY661">
        <f t="shared" si="590"/>
        <v>-0.67616715329475352</v>
      </c>
      <c r="BA661">
        <f t="shared" si="572"/>
        <v>8.5276968845463166E-2</v>
      </c>
      <c r="BB661">
        <f t="shared" si="583"/>
        <v>-21.383364899249848</v>
      </c>
      <c r="BC661">
        <f t="shared" si="584"/>
        <v>-2.4473509665547439</v>
      </c>
      <c r="BD661">
        <f t="shared" si="573"/>
        <v>-320.22288153107752</v>
      </c>
      <c r="BF661">
        <f t="shared" si="574"/>
        <v>-89.898867082890504</v>
      </c>
      <c r="BG661">
        <f t="shared" si="575"/>
        <v>-231.02395519660553</v>
      </c>
      <c r="BH661">
        <f t="shared" si="585"/>
        <v>-51.023955196605527</v>
      </c>
      <c r="BI661">
        <f t="shared" si="586"/>
        <v>-51.023955196605527</v>
      </c>
      <c r="BJ661">
        <f t="shared" si="576"/>
        <v>0</v>
      </c>
      <c r="BK661">
        <f t="shared" si="587"/>
        <v>0</v>
      </c>
      <c r="BM661">
        <f t="shared" si="588"/>
        <v>-68.515502183640649</v>
      </c>
      <c r="BN661">
        <f t="shared" si="577"/>
        <v>-90.801073665527994</v>
      </c>
      <c r="BQ661" s="56">
        <f t="shared" si="589"/>
        <v>-4.4814040989647141</v>
      </c>
    </row>
    <row r="662" spans="1:69" x14ac:dyDescent="0.25">
      <c r="A662">
        <f t="shared" si="563"/>
        <v>8600000</v>
      </c>
      <c r="B662">
        <f t="shared" si="578"/>
        <v>8600</v>
      </c>
      <c r="C662">
        <f t="shared" si="539"/>
        <v>71.333729176902068</v>
      </c>
      <c r="D662">
        <f t="shared" si="540"/>
        <v>1.556777253797806</v>
      </c>
      <c r="F662">
        <f t="shared" si="541"/>
        <v>3.4654382468261949E-7</v>
      </c>
      <c r="G662">
        <f t="shared" si="542"/>
        <v>2.0025059175382093E-4</v>
      </c>
      <c r="H662">
        <f t="shared" si="564"/>
        <v>-3.1413923994082462</v>
      </c>
      <c r="J662">
        <f t="shared" si="565"/>
        <v>15</v>
      </c>
      <c r="M662">
        <f t="shared" si="543"/>
        <v>1.737330199654754E-4</v>
      </c>
      <c r="N662">
        <f t="shared" si="566"/>
        <v>-1.5707963250000001</v>
      </c>
      <c r="O662">
        <f t="shared" si="544"/>
        <v>2199.3488168331896</v>
      </c>
      <c r="P662">
        <f t="shared" si="567"/>
        <v>1.570341646742873</v>
      </c>
      <c r="Q662">
        <f t="shared" si="545"/>
        <v>1861.4655420430026</v>
      </c>
      <c r="R662">
        <f t="shared" si="568"/>
        <v>1.5702591156429773</v>
      </c>
      <c r="S662">
        <f t="shared" si="546"/>
        <v>1.4245197033961878E-2</v>
      </c>
      <c r="T662">
        <f t="shared" si="569"/>
        <v>-1.5565506479309836</v>
      </c>
      <c r="U662">
        <f t="shared" si="547"/>
        <v>1.8259938423485438E-2</v>
      </c>
      <c r="V662">
        <f t="shared" si="570"/>
        <v>-1.5525353734980671</v>
      </c>
      <c r="X662">
        <f t="shared" si="548"/>
        <v>-83.273127891568336</v>
      </c>
      <c r="Y662">
        <f t="shared" si="549"/>
        <v>-178.98609844839535</v>
      </c>
      <c r="Z662">
        <f t="shared" si="579"/>
        <v>1.013901551604647</v>
      </c>
      <c r="AC662">
        <v>1</v>
      </c>
      <c r="AD662">
        <f t="shared" si="550"/>
        <v>2199.34858949316</v>
      </c>
      <c r="AE662">
        <f t="shared" si="551"/>
        <v>-14.261119998345693</v>
      </c>
      <c r="AF662">
        <f t="shared" si="552"/>
        <v>0.26045059705559997</v>
      </c>
      <c r="AG662">
        <f t="shared" si="553"/>
        <v>2.7454791427053906</v>
      </c>
      <c r="AH662">
        <f t="shared" si="554"/>
        <v>-154.16976563315382</v>
      </c>
      <c r="AJ662">
        <f t="shared" si="571"/>
        <v>22100</v>
      </c>
      <c r="AK662">
        <f t="shared" si="555"/>
        <v>1551242.6753552821</v>
      </c>
      <c r="AL662">
        <v>37</v>
      </c>
      <c r="AM662">
        <f t="shared" si="556"/>
        <v>1861.4652734374204</v>
      </c>
      <c r="AN662">
        <f t="shared" si="557"/>
        <v>833.25172199669282</v>
      </c>
      <c r="AO662">
        <f t="shared" si="558"/>
        <v>4.6900223380240984</v>
      </c>
      <c r="AQ662">
        <f t="shared" si="559"/>
        <v>3.3802055050696138E-5</v>
      </c>
      <c r="AR662">
        <f t="shared" si="560"/>
        <v>-0.58139534687197358</v>
      </c>
      <c r="AT662">
        <f t="shared" si="561"/>
        <v>-89.633491564621224</v>
      </c>
      <c r="AU662">
        <f t="shared" si="562"/>
        <v>-1.601420053408054</v>
      </c>
      <c r="AV662">
        <f t="shared" si="580"/>
        <v>-3.123728240810169</v>
      </c>
      <c r="AW662">
        <f t="shared" si="581"/>
        <v>839.48437278899178</v>
      </c>
      <c r="AX662">
        <f t="shared" si="582"/>
        <v>-665.16876714591274</v>
      </c>
      <c r="AY662">
        <f t="shared" si="590"/>
        <v>-0.6700613027450586</v>
      </c>
      <c r="BA662">
        <f t="shared" si="572"/>
        <v>8.3699559334789245E-2</v>
      </c>
      <c r="BB662">
        <f t="shared" si="583"/>
        <v>-21.545536569877495</v>
      </c>
      <c r="BC662">
        <f t="shared" si="584"/>
        <v>-2.4536669380651102</v>
      </c>
      <c r="BD662">
        <f t="shared" si="573"/>
        <v>-320.58476004255988</v>
      </c>
      <c r="BF662">
        <f t="shared" si="574"/>
        <v>-90.162649531657536</v>
      </c>
      <c r="BG662">
        <f t="shared" si="575"/>
        <v>-231.37652014229121</v>
      </c>
      <c r="BH662">
        <f t="shared" si="585"/>
        <v>-51.376520142291213</v>
      </c>
      <c r="BI662">
        <f t="shared" si="586"/>
        <v>-51.376520142291213</v>
      </c>
      <c r="BJ662">
        <f t="shared" si="576"/>
        <v>0</v>
      </c>
      <c r="BK662">
        <f t="shared" si="587"/>
        <v>0</v>
      </c>
      <c r="BM662">
        <f t="shared" si="588"/>
        <v>-68.617112961780037</v>
      </c>
      <c r="BN662">
        <f t="shared" si="577"/>
        <v>-90.791760099731334</v>
      </c>
      <c r="BQ662" s="56">
        <f t="shared" si="589"/>
        <v>-4.6435757695923598</v>
      </c>
    </row>
    <row r="663" spans="1:69" x14ac:dyDescent="0.25">
      <c r="A663">
        <f t="shared" si="563"/>
        <v>8700000</v>
      </c>
      <c r="B663">
        <f t="shared" si="578"/>
        <v>8700</v>
      </c>
      <c r="C663">
        <f t="shared" si="539"/>
        <v>72.163029073578812</v>
      </c>
      <c r="D663">
        <f t="shared" si="540"/>
        <v>1.5569383718183925</v>
      </c>
      <c r="F663">
        <f t="shared" si="541"/>
        <v>3.3862308205927421E-7</v>
      </c>
      <c r="G663">
        <f t="shared" si="542"/>
        <v>1.9794885929747368E-4</v>
      </c>
      <c r="H663">
        <f t="shared" si="564"/>
        <v>-3.1413947011407028</v>
      </c>
      <c r="J663">
        <f t="shared" si="565"/>
        <v>15</v>
      </c>
      <c r="M663">
        <f t="shared" si="543"/>
        <v>1.7173608870150442E-4</v>
      </c>
      <c r="N663">
        <f t="shared" si="566"/>
        <v>-1.5707963250000001</v>
      </c>
      <c r="O663">
        <f t="shared" si="544"/>
        <v>2224.922635028146</v>
      </c>
      <c r="P663">
        <f t="shared" si="567"/>
        <v>1.5703468729496597</v>
      </c>
      <c r="Q663">
        <f t="shared" si="545"/>
        <v>1883.1104839955526</v>
      </c>
      <c r="R663">
        <f t="shared" si="568"/>
        <v>1.5702652904826362</v>
      </c>
      <c r="S663">
        <f t="shared" si="546"/>
        <v>1.4081491793072878E-2</v>
      </c>
      <c r="T663">
        <f t="shared" si="569"/>
        <v>-1.5567143695941887</v>
      </c>
      <c r="U663">
        <f t="shared" si="547"/>
        <v>1.8050122853004311E-2</v>
      </c>
      <c r="V663">
        <f t="shared" si="570"/>
        <v>-1.5527452236556287</v>
      </c>
      <c r="X663">
        <f t="shared" si="548"/>
        <v>-83.473926327990768</v>
      </c>
      <c r="Y663">
        <f t="shared" si="549"/>
        <v>-178.9977498022125</v>
      </c>
      <c r="Z663">
        <f t="shared" si="579"/>
        <v>1.0022501977875038</v>
      </c>
      <c r="AC663">
        <v>1</v>
      </c>
      <c r="AD663">
        <f t="shared" si="550"/>
        <v>2224.9224103012202</v>
      </c>
      <c r="AE663">
        <f t="shared" si="551"/>
        <v>-14.594702172455186</v>
      </c>
      <c r="AF663">
        <f t="shared" si="552"/>
        <v>0.26347909237019995</v>
      </c>
      <c r="AG663">
        <f t="shared" si="553"/>
        <v>2.6827478514046881</v>
      </c>
      <c r="AH663">
        <f t="shared" si="554"/>
        <v>-152.398831853525</v>
      </c>
      <c r="AJ663">
        <f t="shared" si="571"/>
        <v>22100</v>
      </c>
      <c r="AK663">
        <f t="shared" si="555"/>
        <v>1569280.3808826692</v>
      </c>
      <c r="AL663">
        <v>38</v>
      </c>
      <c r="AM663">
        <f t="shared" si="556"/>
        <v>1883.1102184773902</v>
      </c>
      <c r="AN663">
        <f t="shared" si="557"/>
        <v>833.24246544183052</v>
      </c>
      <c r="AO663">
        <f t="shared" si="558"/>
        <v>5.0784142069612894</v>
      </c>
      <c r="AQ663">
        <f t="shared" si="559"/>
        <v>3.3029462171259541E-5</v>
      </c>
      <c r="AR663">
        <f t="shared" si="560"/>
        <v>-0.57471264177991599</v>
      </c>
      <c r="AT663">
        <f t="shared" si="561"/>
        <v>-87.585446648993894</v>
      </c>
      <c r="AU663">
        <f t="shared" si="562"/>
        <v>-1.5468427563618321</v>
      </c>
      <c r="AV663">
        <f t="shared" si="580"/>
        <v>-3.1239335330314577</v>
      </c>
      <c r="AW663">
        <f t="shared" si="581"/>
        <v>839.60326937048876</v>
      </c>
      <c r="AX663">
        <f t="shared" si="582"/>
        <v>-657.07631915665581</v>
      </c>
      <c r="AY663">
        <f t="shared" si="590"/>
        <v>-0.6640428386813253</v>
      </c>
      <c r="BA663">
        <f t="shared" si="572"/>
        <v>8.2163701844184311E-2</v>
      </c>
      <c r="BB663">
        <f t="shared" si="583"/>
        <v>-21.706400041018696</v>
      </c>
      <c r="BC663">
        <f t="shared" si="584"/>
        <v>-2.4598906943501326</v>
      </c>
      <c r="BD663">
        <f t="shared" si="573"/>
        <v>-320.94135501081712</v>
      </c>
      <c r="BF663">
        <f t="shared" si="574"/>
        <v>-90.423948603086032</v>
      </c>
      <c r="BG663">
        <f t="shared" si="575"/>
        <v>-231.7240156075103</v>
      </c>
      <c r="BH663">
        <f t="shared" si="585"/>
        <v>-51.724015607510296</v>
      </c>
      <c r="BI663">
        <f t="shared" si="586"/>
        <v>-51.724015607510296</v>
      </c>
      <c r="BJ663">
        <f t="shared" si="576"/>
        <v>0</v>
      </c>
      <c r="BK663">
        <f t="shared" si="587"/>
        <v>0</v>
      </c>
      <c r="BM663">
        <f t="shared" si="588"/>
        <v>-68.717548562067336</v>
      </c>
      <c r="BN663">
        <f t="shared" si="577"/>
        <v>-90.782660596693162</v>
      </c>
      <c r="BQ663" s="56">
        <f t="shared" si="589"/>
        <v>-4.8044392407335614</v>
      </c>
    </row>
    <row r="664" spans="1:69" x14ac:dyDescent="0.25">
      <c r="A664">
        <f t="shared" si="563"/>
        <v>8800000</v>
      </c>
      <c r="B664">
        <f t="shared" si="578"/>
        <v>8800</v>
      </c>
      <c r="C664">
        <f t="shared" si="539"/>
        <v>72.99233080097035</v>
      </c>
      <c r="D664">
        <f t="shared" si="540"/>
        <v>1.5570958287610284</v>
      </c>
      <c r="F664">
        <f t="shared" si="541"/>
        <v>3.3097082767471838E-7</v>
      </c>
      <c r="G664">
        <f t="shared" si="542"/>
        <v>1.9569943899323244E-4</v>
      </c>
      <c r="H664">
        <f t="shared" si="564"/>
        <v>-3.1413969505610071</v>
      </c>
      <c r="J664">
        <f t="shared" si="565"/>
        <v>15</v>
      </c>
      <c r="M664">
        <f t="shared" si="543"/>
        <v>1.6978454223898733E-4</v>
      </c>
      <c r="N664">
        <f t="shared" si="566"/>
        <v>-1.5707963250000001</v>
      </c>
      <c r="O664">
        <f t="shared" si="544"/>
        <v>2250.4964532824915</v>
      </c>
      <c r="P664">
        <f t="shared" si="567"/>
        <v>1.5703519803790431</v>
      </c>
      <c r="Q664">
        <f t="shared" si="545"/>
        <v>1904.7554260182715</v>
      </c>
      <c r="R664">
        <f t="shared" si="568"/>
        <v>1.5702713249850695</v>
      </c>
      <c r="S664">
        <f t="shared" si="546"/>
        <v>1.3921506031695671E-2</v>
      </c>
      <c r="T664">
        <f t="shared" si="569"/>
        <v>-1.5568743710400048</v>
      </c>
      <c r="U664">
        <f t="shared" si="547"/>
        <v>1.784507351404949E-2</v>
      </c>
      <c r="V664">
        <f t="shared" si="570"/>
        <v>-1.5529503060277892</v>
      </c>
      <c r="X664">
        <f t="shared" si="548"/>
        <v>-83.672430629991624</v>
      </c>
      <c r="Y664">
        <f t="shared" si="549"/>
        <v>-179.00913644251705</v>
      </c>
      <c r="Z664">
        <f t="shared" si="579"/>
        <v>0.99086355748295318</v>
      </c>
      <c r="AC664">
        <v>1</v>
      </c>
      <c r="AD664">
        <f t="shared" si="550"/>
        <v>2250.49623110928</v>
      </c>
      <c r="AE664">
        <f t="shared" si="551"/>
        <v>-14.93214078788386</v>
      </c>
      <c r="AF664">
        <f t="shared" si="552"/>
        <v>0.26650758768479998</v>
      </c>
      <c r="AG664">
        <f t="shared" si="553"/>
        <v>2.6221420444076782</v>
      </c>
      <c r="AH664">
        <f t="shared" si="554"/>
        <v>-150.6681086334234</v>
      </c>
      <c r="AJ664">
        <f t="shared" si="571"/>
        <v>22100</v>
      </c>
      <c r="AK664">
        <f t="shared" si="555"/>
        <v>1587318.0864100563</v>
      </c>
      <c r="AL664">
        <v>39</v>
      </c>
      <c r="AM664">
        <f t="shared" si="556"/>
        <v>1904.7551635173602</v>
      </c>
      <c r="AN664">
        <f t="shared" si="557"/>
        <v>833.23319239149555</v>
      </c>
      <c r="AO664">
        <f t="shared" si="558"/>
        <v>5.4579689308050909</v>
      </c>
      <c r="AQ664">
        <f t="shared" si="559"/>
        <v>3.2283057747020086E-5</v>
      </c>
      <c r="AR664">
        <f t="shared" si="560"/>
        <v>-0.56818181634755349</v>
      </c>
      <c r="AT664">
        <f t="shared" si="561"/>
        <v>-85.606794978225977</v>
      </c>
      <c r="AU664">
        <f t="shared" si="562"/>
        <v>-1.494717456764489</v>
      </c>
      <c r="AV664">
        <f t="shared" si="580"/>
        <v>-3.1241341610567823</v>
      </c>
      <c r="AW664">
        <f t="shared" si="581"/>
        <v>839.71474101870456</v>
      </c>
      <c r="AX664">
        <f t="shared" si="582"/>
        <v>-649.16775595169145</v>
      </c>
      <c r="AY664">
        <f t="shared" si="590"/>
        <v>-0.65811022929087637</v>
      </c>
      <c r="BA664">
        <f t="shared" si="572"/>
        <v>8.0667981867383262E-2</v>
      </c>
      <c r="BB664">
        <f t="shared" si="583"/>
        <v>-21.865976159968707</v>
      </c>
      <c r="BC664">
        <f t="shared" si="584"/>
        <v>-2.4660239317659061</v>
      </c>
      <c r="BD664">
        <f t="shared" si="573"/>
        <v>-321.29276362989424</v>
      </c>
      <c r="BF664">
        <f t="shared" si="574"/>
        <v>-90.682812022080981</v>
      </c>
      <c r="BG664">
        <f t="shared" si="575"/>
        <v>-232.06653149059895</v>
      </c>
      <c r="BH664">
        <f t="shared" si="585"/>
        <v>-52.066531490598948</v>
      </c>
      <c r="BI664">
        <f t="shared" si="586"/>
        <v>-52.066531490598948</v>
      </c>
      <c r="BJ664">
        <f t="shared" si="576"/>
        <v>0</v>
      </c>
      <c r="BK664">
        <f t="shared" si="587"/>
        <v>0</v>
      </c>
      <c r="BM664">
        <f t="shared" si="588"/>
        <v>-68.816835862112271</v>
      </c>
      <c r="BN664">
        <f t="shared" si="577"/>
        <v>-90.773767860704723</v>
      </c>
      <c r="BQ664" s="56">
        <f t="shared" si="589"/>
        <v>-4.9640153596835699</v>
      </c>
    </row>
    <row r="665" spans="1:69" x14ac:dyDescent="0.25">
      <c r="A665">
        <f t="shared" si="563"/>
        <v>8900000</v>
      </c>
      <c r="B665">
        <f t="shared" si="578"/>
        <v>8900</v>
      </c>
      <c r="C665">
        <f t="shared" si="539"/>
        <v>73.821634297378708</v>
      </c>
      <c r="D665">
        <f t="shared" si="540"/>
        <v>1.5572497480021199</v>
      </c>
      <c r="F665">
        <f t="shared" si="541"/>
        <v>3.2357506268685952E-7</v>
      </c>
      <c r="G665">
        <f t="shared" si="542"/>
        <v>1.935005675078815E-4</v>
      </c>
      <c r="H665">
        <f t="shared" si="564"/>
        <v>-3.1413991494324924</v>
      </c>
      <c r="J665">
        <f t="shared" si="565"/>
        <v>15</v>
      </c>
      <c r="M665">
        <f t="shared" si="543"/>
        <v>1.6787685075315601E-4</v>
      </c>
      <c r="N665">
        <f t="shared" si="566"/>
        <v>-1.5707963250000001</v>
      </c>
      <c r="O665">
        <f t="shared" si="544"/>
        <v>2276.0702715942234</v>
      </c>
      <c r="P665">
        <f t="shared" si="567"/>
        <v>1.5703569730347549</v>
      </c>
      <c r="Q665">
        <f t="shared" si="545"/>
        <v>1926.4003681087934</v>
      </c>
      <c r="R665">
        <f t="shared" si="568"/>
        <v>1.5702772238807432</v>
      </c>
      <c r="S665">
        <f t="shared" si="546"/>
        <v>1.3765114422453107E-2</v>
      </c>
      <c r="T665">
        <f t="shared" si="569"/>
        <v>-1.5570307776367891</v>
      </c>
      <c r="U665">
        <f t="shared" si="547"/>
        <v>1.7644629848908251E-2</v>
      </c>
      <c r="V665">
        <f t="shared" si="570"/>
        <v>-1.5531507812585477</v>
      </c>
      <c r="X665">
        <f t="shared" si="548"/>
        <v>-83.868692618935597</v>
      </c>
      <c r="Y665">
        <f t="shared" si="549"/>
        <v>-179.02026728826155</v>
      </c>
      <c r="Z665">
        <f t="shared" si="579"/>
        <v>0.97973271173844978</v>
      </c>
      <c r="AC665">
        <v>1</v>
      </c>
      <c r="AD665">
        <f t="shared" si="550"/>
        <v>2276.0700519173402</v>
      </c>
      <c r="AE665">
        <f t="shared" si="551"/>
        <v>-15.273435844631722</v>
      </c>
      <c r="AF665">
        <f t="shared" si="552"/>
        <v>0.26953608299940002</v>
      </c>
      <c r="AG665">
        <f t="shared" si="553"/>
        <v>2.5635667829163555</v>
      </c>
      <c r="AH665">
        <f t="shared" si="554"/>
        <v>-148.97624223615088</v>
      </c>
      <c r="AJ665">
        <f t="shared" si="571"/>
        <v>22100</v>
      </c>
      <c r="AK665">
        <f t="shared" si="555"/>
        <v>1605355.7919374432</v>
      </c>
      <c r="AL665">
        <v>40</v>
      </c>
      <c r="AM665">
        <f t="shared" si="556"/>
        <v>1926.4001085573304</v>
      </c>
      <c r="AN665">
        <f t="shared" si="557"/>
        <v>833.22391097566481</v>
      </c>
      <c r="AO665">
        <f t="shared" si="558"/>
        <v>5.828984533974042</v>
      </c>
      <c r="AQ665">
        <f t="shared" si="559"/>
        <v>3.1561671406509055E-5</v>
      </c>
      <c r="AR665">
        <f t="shared" si="560"/>
        <v>-0.56179775103586116</v>
      </c>
      <c r="AT665">
        <f t="shared" si="561"/>
        <v>-83.694436935590815</v>
      </c>
      <c r="AU665">
        <f t="shared" si="562"/>
        <v>-1.4449079924774801</v>
      </c>
      <c r="AV665">
        <f t="shared" si="580"/>
        <v>-3.1243302820383643</v>
      </c>
      <c r="AW665">
        <f t="shared" si="581"/>
        <v>839.81919554654996</v>
      </c>
      <c r="AX665">
        <f t="shared" si="582"/>
        <v>-641.43688533798513</v>
      </c>
      <c r="AY665">
        <f t="shared" si="590"/>
        <v>-0.65226196890113985</v>
      </c>
      <c r="BA665">
        <f t="shared" si="572"/>
        <v>7.9211044720884069E-2</v>
      </c>
      <c r="BB665">
        <f t="shared" si="583"/>
        <v>-22.024285174546119</v>
      </c>
      <c r="BC665">
        <f t="shared" si="584"/>
        <v>-2.4720683131372243</v>
      </c>
      <c r="BD665">
        <f t="shared" si="573"/>
        <v>-321.63908117263395</v>
      </c>
      <c r="BF665">
        <f t="shared" si="574"/>
        <v>-90.939286002236656</v>
      </c>
      <c r="BG665">
        <f t="shared" si="575"/>
        <v>-232.40415609648414</v>
      </c>
      <c r="BH665">
        <f t="shared" si="585"/>
        <v>-52.404156096484144</v>
      </c>
      <c r="BI665">
        <f t="shared" si="586"/>
        <v>-52.404156096484144</v>
      </c>
      <c r="BJ665">
        <f t="shared" si="576"/>
        <v>0</v>
      </c>
      <c r="BK665">
        <f t="shared" si="587"/>
        <v>0</v>
      </c>
      <c r="BM665">
        <f t="shared" si="588"/>
        <v>-68.915000827690534</v>
      </c>
      <c r="BN665">
        <f t="shared" si="577"/>
        <v>-90.765074923850193</v>
      </c>
      <c r="BQ665" s="56">
        <f t="shared" si="589"/>
        <v>-5.1223243742609812</v>
      </c>
    </row>
    <row r="666" spans="1:69" x14ac:dyDescent="0.25">
      <c r="A666">
        <f t="shared" si="563"/>
        <v>9000000</v>
      </c>
      <c r="B666">
        <f t="shared" si="578"/>
        <v>9000</v>
      </c>
      <c r="C666">
        <f t="shared" si="539"/>
        <v>74.650939503847439</v>
      </c>
      <c r="D666">
        <f t="shared" si="540"/>
        <v>1.5574002474363549</v>
      </c>
      <c r="F666">
        <f t="shared" si="541"/>
        <v>3.1642445113183827E-7</v>
      </c>
      <c r="G666">
        <f t="shared" si="542"/>
        <v>1.9135055987869288E-4</v>
      </c>
      <c r="H666">
        <f t="shared" si="564"/>
        <v>-3.1414012994401217</v>
      </c>
      <c r="J666">
        <f t="shared" si="565"/>
        <v>15</v>
      </c>
      <c r="M666">
        <f t="shared" si="543"/>
        <v>1.6601155241145426E-4</v>
      </c>
      <c r="N666">
        <f t="shared" si="566"/>
        <v>-1.5707963250000001</v>
      </c>
      <c r="O666">
        <f t="shared" si="544"/>
        <v>2301.6440899614295</v>
      </c>
      <c r="P666">
        <f t="shared" si="567"/>
        <v>1.5703618547425831</v>
      </c>
      <c r="Q666">
        <f t="shared" si="545"/>
        <v>1948.0453102648582</v>
      </c>
      <c r="R666">
        <f t="shared" si="568"/>
        <v>1.5702829916898815</v>
      </c>
      <c r="S666">
        <f t="shared" si="546"/>
        <v>1.361219720543373E-2</v>
      </c>
      <c r="T666">
        <f t="shared" si="569"/>
        <v>-1.5571837091827316</v>
      </c>
      <c r="U666">
        <f t="shared" si="547"/>
        <v>1.74486384302086E-2</v>
      </c>
      <c r="V666">
        <f t="shared" si="570"/>
        <v>-1.5533468028558775</v>
      </c>
      <c r="X666">
        <f t="shared" si="548"/>
        <v>-84.062762380189866</v>
      </c>
      <c r="Y666">
        <f t="shared" si="549"/>
        <v>-179.03115086221763</v>
      </c>
      <c r="Z666">
        <f t="shared" si="579"/>
        <v>0.96884913778237092</v>
      </c>
      <c r="AC666">
        <v>1</v>
      </c>
      <c r="AD666">
        <f t="shared" si="550"/>
        <v>2301.6438727253999</v>
      </c>
      <c r="AE666">
        <f t="shared" si="551"/>
        <v>-15.618587342698769</v>
      </c>
      <c r="AF666">
        <f t="shared" si="552"/>
        <v>0.27256457831399999</v>
      </c>
      <c r="AG666">
        <f t="shared" si="553"/>
        <v>2.5069323697916586</v>
      </c>
      <c r="AH666">
        <f t="shared" si="554"/>
        <v>-147.32193899961109</v>
      </c>
      <c r="AJ666">
        <f t="shared" si="571"/>
        <v>22100</v>
      </c>
      <c r="AK666">
        <f t="shared" si="555"/>
        <v>1623393.4974648301</v>
      </c>
      <c r="AL666">
        <v>41</v>
      </c>
      <c r="AM666">
        <f t="shared" si="556"/>
        <v>1948.0450535973</v>
      </c>
      <c r="AN666">
        <f t="shared" si="557"/>
        <v>833.21462862977035</v>
      </c>
      <c r="AO666">
        <f t="shared" si="558"/>
        <v>6.1917457974326684</v>
      </c>
      <c r="AQ666">
        <f t="shared" si="559"/>
        <v>3.0864197435604332E-5</v>
      </c>
      <c r="AR666">
        <f t="shared" si="560"/>
        <v>-0.55555555384087796</v>
      </c>
      <c r="AT666">
        <f t="shared" si="561"/>
        <v>-81.84544403938537</v>
      </c>
      <c r="AU666">
        <f t="shared" si="562"/>
        <v>-1.3972871745531097</v>
      </c>
      <c r="AV666">
        <f t="shared" si="580"/>
        <v>-3.1245220461475891</v>
      </c>
      <c r="AW666">
        <f t="shared" si="581"/>
        <v>839.91701571727253</v>
      </c>
      <c r="AX666">
        <f t="shared" si="582"/>
        <v>-633.87778984147508</v>
      </c>
      <c r="AY666">
        <f t="shared" si="590"/>
        <v>-0.64649657774311409</v>
      </c>
      <c r="BA666">
        <f t="shared" si="572"/>
        <v>7.7791592446506658E-2</v>
      </c>
      <c r="BB666">
        <f t="shared" si="583"/>
        <v>-22.181346762364768</v>
      </c>
      <c r="BC666">
        <f t="shared" si="584"/>
        <v>-2.4780254684044749</v>
      </c>
      <c r="BD666">
        <f t="shared" si="573"/>
        <v>-321.98040102774155</v>
      </c>
      <c r="BF666">
        <f t="shared" si="574"/>
        <v>-91.193415315900879</v>
      </c>
      <c r="BG666">
        <f t="shared" si="575"/>
        <v>-232.7369761555444</v>
      </c>
      <c r="BH666">
        <f t="shared" si="585"/>
        <v>-52.736976155544397</v>
      </c>
      <c r="BI666">
        <f t="shared" si="586"/>
        <v>-52.736976155544397</v>
      </c>
      <c r="BJ666">
        <f t="shared" si="576"/>
        <v>0</v>
      </c>
      <c r="BK666">
        <f t="shared" si="587"/>
        <v>0</v>
      </c>
      <c r="BM666">
        <f t="shared" si="588"/>
        <v>-69.01206855353611</v>
      </c>
      <c r="BN666">
        <f t="shared" si="577"/>
        <v>-90.756575127802776</v>
      </c>
      <c r="BQ666" s="56">
        <f t="shared" si="589"/>
        <v>-5.2793859620796288</v>
      </c>
    </row>
    <row r="667" spans="1:69" x14ac:dyDescent="0.25">
      <c r="A667">
        <f t="shared" si="563"/>
        <v>9100000</v>
      </c>
      <c r="B667">
        <f t="shared" si="578"/>
        <v>9100</v>
      </c>
      <c r="C667">
        <f t="shared" si="539"/>
        <v>75.480246364010981</v>
      </c>
      <c r="D667">
        <f t="shared" si="540"/>
        <v>1.5575474397777878</v>
      </c>
      <c r="F667">
        <f t="shared" si="541"/>
        <v>3.0950827645970364E-7</v>
      </c>
      <c r="G667">
        <f t="shared" si="542"/>
        <v>1.8924780520734785E-4</v>
      </c>
      <c r="H667">
        <f t="shared" si="564"/>
        <v>-3.141403402194793</v>
      </c>
      <c r="J667">
        <f t="shared" si="565"/>
        <v>15</v>
      </c>
      <c r="M667">
        <f t="shared" si="543"/>
        <v>1.6418724963770202E-4</v>
      </c>
      <c r="N667">
        <f t="shared" si="566"/>
        <v>-1.5707963250000001</v>
      </c>
      <c r="O667">
        <f t="shared" si="544"/>
        <v>2327.2179083822803</v>
      </c>
      <c r="P667">
        <f t="shared" si="567"/>
        <v>1.5703666291601495</v>
      </c>
      <c r="Q667">
        <f t="shared" si="545"/>
        <v>1969.6902524843063</v>
      </c>
      <c r="R667">
        <f t="shared" si="568"/>
        <v>1.5702886327340169</v>
      </c>
      <c r="S667">
        <f t="shared" si="546"/>
        <v>1.3462639882458216E-2</v>
      </c>
      <c r="T667">
        <f t="shared" si="569"/>
        <v>-1.5573332802117952</v>
      </c>
      <c r="U667">
        <f t="shared" si="547"/>
        <v>1.7256952569502514E-2</v>
      </c>
      <c r="V667">
        <f t="shared" si="570"/>
        <v>-1.5535385175835732</v>
      </c>
      <c r="X667">
        <f t="shared" si="548"/>
        <v>-84.254688339797099</v>
      </c>
      <c r="Y667">
        <f t="shared" si="549"/>
        <v>-179.0417953127301</v>
      </c>
      <c r="Z667">
        <f t="shared" si="579"/>
        <v>0.95820468726989816</v>
      </c>
      <c r="AC667">
        <v>1</v>
      </c>
      <c r="AD667">
        <f t="shared" si="550"/>
        <v>2327.2176935334601</v>
      </c>
      <c r="AE667">
        <f t="shared" si="551"/>
        <v>-15.967595282085002</v>
      </c>
      <c r="AF667">
        <f t="shared" si="552"/>
        <v>0.27559307362860003</v>
      </c>
      <c r="AG667">
        <f t="shared" si="553"/>
        <v>2.4521540061072455</v>
      </c>
      <c r="AH667">
        <f t="shared" si="554"/>
        <v>-145.70396204143478</v>
      </c>
      <c r="AJ667">
        <f t="shared" si="571"/>
        <v>22100</v>
      </c>
      <c r="AK667">
        <f t="shared" si="555"/>
        <v>1641431.2029922171</v>
      </c>
      <c r="AL667">
        <v>42</v>
      </c>
      <c r="AM667">
        <f t="shared" si="556"/>
        <v>1969.6899986372703</v>
      </c>
      <c r="AN667">
        <f t="shared" si="557"/>
        <v>833.20535215097175</v>
      </c>
      <c r="AO667">
        <f t="shared" si="558"/>
        <v>6.5465249857906365</v>
      </c>
      <c r="AQ667">
        <f t="shared" si="559"/>
        <v>3.018959053800993E-5</v>
      </c>
      <c r="AR667">
        <f t="shared" si="560"/>
        <v>-0.54945054779178071</v>
      </c>
      <c r="AT667">
        <f t="shared" si="561"/>
        <v>-80.057047729573782</v>
      </c>
      <c r="AU667">
        <f t="shared" si="562"/>
        <v>-1.3517361048792322</v>
      </c>
      <c r="AV667">
        <f t="shared" si="580"/>
        <v>-3.1247095969583274</v>
      </c>
      <c r="AW667">
        <f t="shared" si="581"/>
        <v>840.00856099689929</v>
      </c>
      <c r="AX667">
        <f t="shared" si="582"/>
        <v>-626.48481165096848</v>
      </c>
      <c r="AY667">
        <f t="shared" si="590"/>
        <v>-0.6408126017059087</v>
      </c>
      <c r="BA667">
        <f t="shared" si="572"/>
        <v>7.6408380908425971E-2</v>
      </c>
      <c r="BB667">
        <f t="shared" si="583"/>
        <v>-22.337180058156527</v>
      </c>
      <c r="BC667">
        <f t="shared" si="584"/>
        <v>-2.4838969952524188</v>
      </c>
      <c r="BD667">
        <f t="shared" si="573"/>
        <v>-322.31681473581091</v>
      </c>
      <c r="BF667">
        <f t="shared" si="574"/>
        <v>-91.445243360033871</v>
      </c>
      <c r="BG667">
        <f t="shared" si="575"/>
        <v>-233.06507684263147</v>
      </c>
      <c r="BH667">
        <f t="shared" si="585"/>
        <v>-53.06507684263147</v>
      </c>
      <c r="BI667">
        <f t="shared" si="586"/>
        <v>-53.06507684263147</v>
      </c>
      <c r="BJ667">
        <f t="shared" si="576"/>
        <v>0</v>
      </c>
      <c r="BK667">
        <f t="shared" si="587"/>
        <v>0</v>
      </c>
      <c r="BM667">
        <f t="shared" si="588"/>
        <v>-69.108063301877351</v>
      </c>
      <c r="BN667">
        <f t="shared" si="577"/>
        <v>-90.748262106820533</v>
      </c>
      <c r="BQ667" s="56">
        <f t="shared" si="589"/>
        <v>-5.4352192578713874</v>
      </c>
    </row>
    <row r="668" spans="1:69" x14ac:dyDescent="0.25">
      <c r="A668">
        <f t="shared" si="563"/>
        <v>9200000</v>
      </c>
      <c r="B668">
        <f t="shared" si="578"/>
        <v>9200</v>
      </c>
      <c r="C668">
        <f t="shared" si="539"/>
        <v>76.309554823953903</v>
      </c>
      <c r="D668">
        <f t="shared" si="540"/>
        <v>1.5576914328412954</v>
      </c>
      <c r="F668">
        <f t="shared" si="541"/>
        <v>3.0281640135901823E-7</v>
      </c>
      <c r="G668">
        <f t="shared" si="542"/>
        <v>1.8719076263468978E-4</v>
      </c>
      <c r="H668">
        <f t="shared" si="564"/>
        <v>-3.1414054592373657</v>
      </c>
      <c r="J668">
        <f t="shared" si="565"/>
        <v>15</v>
      </c>
      <c r="M668">
        <f t="shared" si="543"/>
        <v>1.624026056199009E-4</v>
      </c>
      <c r="N668">
        <f t="shared" si="566"/>
        <v>-1.5707963250000001</v>
      </c>
      <c r="O668">
        <f t="shared" si="544"/>
        <v>2352.7917268550273</v>
      </c>
      <c r="P668">
        <f t="shared" si="567"/>
        <v>1.5703712997860484</v>
      </c>
      <c r="Q668">
        <f t="shared" si="545"/>
        <v>1991.3351947650697</v>
      </c>
      <c r="R668">
        <f t="shared" si="568"/>
        <v>1.5702941511467894</v>
      </c>
      <c r="S668">
        <f t="shared" si="546"/>
        <v>1.3316332931272148E-2</v>
      </c>
      <c r="T668">
        <f t="shared" si="569"/>
        <v>-1.5574796002797098</v>
      </c>
      <c r="U668">
        <f t="shared" si="547"/>
        <v>1.7069431951349402E-2</v>
      </c>
      <c r="V668">
        <f t="shared" si="570"/>
        <v>-1.5537260658275638</v>
      </c>
      <c r="X668">
        <f t="shared" si="548"/>
        <v>-84.444517336962662</v>
      </c>
      <c r="Y668">
        <f t="shared" si="549"/>
        <v>-179.05220843405368</v>
      </c>
      <c r="Z668">
        <f t="shared" si="579"/>
        <v>0.94779156594631786</v>
      </c>
      <c r="AC668">
        <v>1</v>
      </c>
      <c r="AD668">
        <f t="shared" si="550"/>
        <v>2352.7915143415203</v>
      </c>
      <c r="AE668">
        <f t="shared" si="551"/>
        <v>-16.320459662790419</v>
      </c>
      <c r="AF668">
        <f t="shared" si="552"/>
        <v>0.2786215689432</v>
      </c>
      <c r="AG668">
        <f t="shared" si="553"/>
        <v>2.3991514736709103</v>
      </c>
      <c r="AH668">
        <f t="shared" si="554"/>
        <v>-144.12112817854515</v>
      </c>
      <c r="AJ668">
        <f t="shared" si="571"/>
        <v>22100</v>
      </c>
      <c r="AK668">
        <f t="shared" si="555"/>
        <v>1659468.908519604</v>
      </c>
      <c r="AL668">
        <v>43</v>
      </c>
      <c r="AM668">
        <f t="shared" si="556"/>
        <v>1991.3349436772403</v>
      </c>
      <c r="AN668">
        <f t="shared" si="557"/>
        <v>833.19608774959704</v>
      </c>
      <c r="AO668">
        <f t="shared" si="558"/>
        <v>6.8935825270475721</v>
      </c>
      <c r="AQ668">
        <f t="shared" si="559"/>
        <v>2.9536861916538098E-5</v>
      </c>
      <c r="AR668">
        <f t="shared" si="560"/>
        <v>-0.54347825926430093</v>
      </c>
      <c r="AT668">
        <f t="shared" si="561"/>
        <v>-78.326629002277116</v>
      </c>
      <c r="AU668">
        <f t="shared" si="562"/>
        <v>-1.3081435524843139</v>
      </c>
      <c r="AV668">
        <f t="shared" si="580"/>
        <v>-3.1248930718052752</v>
      </c>
      <c r="AW668">
        <f t="shared" si="581"/>
        <v>840.09416916816599</v>
      </c>
      <c r="AX668">
        <f t="shared" si="582"/>
        <v>-619.25253854073878</v>
      </c>
      <c r="AY668">
        <f t="shared" si="590"/>
        <v>-0.63520861208249746</v>
      </c>
      <c r="BA668">
        <f t="shared" si="572"/>
        <v>7.506021707012929E-2</v>
      </c>
      <c r="BB668">
        <f t="shared" si="583"/>
        <v>-22.491803679294588</v>
      </c>
      <c r="BC668">
        <f t="shared" si="584"/>
        <v>-2.4896844597227776</v>
      </c>
      <c r="BD668">
        <f t="shared" si="573"/>
        <v>-322.64841202442335</v>
      </c>
      <c r="BF668">
        <f t="shared" si="574"/>
        <v>-91.694812218159413</v>
      </c>
      <c r="BG668">
        <f t="shared" si="575"/>
        <v>-233.38854179627407</v>
      </c>
      <c r="BH668">
        <f t="shared" si="585"/>
        <v>-53.388541796274069</v>
      </c>
      <c r="BI668">
        <f t="shared" si="586"/>
        <v>-53.388541796274069</v>
      </c>
      <c r="BJ668">
        <f t="shared" si="576"/>
        <v>0</v>
      </c>
      <c r="BK668">
        <f t="shared" si="587"/>
        <v>0</v>
      </c>
      <c r="BM668">
        <f t="shared" si="588"/>
        <v>-69.203008538864822</v>
      </c>
      <c r="BN668">
        <f t="shared" si="577"/>
        <v>-90.740129771850803</v>
      </c>
      <c r="BQ668" s="56">
        <f t="shared" si="589"/>
        <v>-5.589842879009451</v>
      </c>
    </row>
    <row r="669" spans="1:69" x14ac:dyDescent="0.25">
      <c r="A669">
        <f t="shared" si="563"/>
        <v>9300000</v>
      </c>
      <c r="B669">
        <f t="shared" si="578"/>
        <v>9300</v>
      </c>
      <c r="C669">
        <f t="shared" si="539"/>
        <v>77.13886483207925</v>
      </c>
      <c r="D669">
        <f t="shared" si="540"/>
        <v>1.5578323298058845</v>
      </c>
      <c r="F669">
        <f t="shared" si="541"/>
        <v>2.9633923058901007E-7</v>
      </c>
      <c r="G669">
        <f t="shared" si="542"/>
        <v>1.8517795757517138E-4</v>
      </c>
      <c r="H669">
        <f t="shared" si="564"/>
        <v>-3.1414074720424252</v>
      </c>
      <c r="J669">
        <f t="shared" si="565"/>
        <v>15</v>
      </c>
      <c r="M669">
        <f t="shared" si="543"/>
        <v>1.6065634104334283E-4</v>
      </c>
      <c r="N669">
        <f t="shared" si="566"/>
        <v>-1.5707963250000001</v>
      </c>
      <c r="O669">
        <f t="shared" si="544"/>
        <v>2378.3655453779957</v>
      </c>
      <c r="P669">
        <f t="shared" si="567"/>
        <v>1.5703758699683976</v>
      </c>
      <c r="Q669">
        <f t="shared" si="545"/>
        <v>2012.9801371051708</v>
      </c>
      <c r="R669">
        <f t="shared" si="568"/>
        <v>1.5702995508840478</v>
      </c>
      <c r="S669">
        <f t="shared" si="546"/>
        <v>1.317317153816638E-2</v>
      </c>
      <c r="T669">
        <f t="shared" si="569"/>
        <v>-1.5576227742315238</v>
      </c>
      <c r="U669">
        <f t="shared" si="547"/>
        <v>1.6885942290982763E-2</v>
      </c>
      <c r="V669">
        <f t="shared" si="570"/>
        <v>-1.5539095819386068</v>
      </c>
      <c r="X669">
        <f t="shared" si="548"/>
        <v>-84.632294692626488</v>
      </c>
      <c r="Y669">
        <f t="shared" si="549"/>
        <v>-179.06239768537804</v>
      </c>
      <c r="Z669">
        <f t="shared" si="579"/>
        <v>0.9376023146219552</v>
      </c>
      <c r="AC669">
        <v>1</v>
      </c>
      <c r="AD669">
        <f t="shared" si="550"/>
        <v>2378.36533514958</v>
      </c>
      <c r="AE669">
        <f t="shared" si="551"/>
        <v>-16.677180484815022</v>
      </c>
      <c r="AF669">
        <f t="shared" si="552"/>
        <v>0.28165006425779998</v>
      </c>
      <c r="AG669">
        <f t="shared" si="553"/>
        <v>2.34784884129399</v>
      </c>
      <c r="AH669">
        <f t="shared" si="554"/>
        <v>-142.57230504505958</v>
      </c>
      <c r="AJ669">
        <f t="shared" si="571"/>
        <v>22100</v>
      </c>
      <c r="AK669">
        <f t="shared" si="555"/>
        <v>1677506.6140469913</v>
      </c>
      <c r="AL669">
        <v>44</v>
      </c>
      <c r="AM669">
        <f t="shared" si="556"/>
        <v>2012.9798887172101</v>
      </c>
      <c r="AN669">
        <f t="shared" si="557"/>
        <v>833.18684109619164</v>
      </c>
      <c r="AO669">
        <f t="shared" si="558"/>
        <v>7.2331676485407215</v>
      </c>
      <c r="AQ669">
        <f t="shared" si="559"/>
        <v>2.8905075647748077E-5</v>
      </c>
      <c r="AR669">
        <f t="shared" si="560"/>
        <v>-0.53763440704811416</v>
      </c>
      <c r="AT669">
        <f t="shared" si="561"/>
        <v>-76.65170881963509</v>
      </c>
      <c r="AU669">
        <f t="shared" si="562"/>
        <v>-1.2664053828902975</v>
      </c>
      <c r="AV669">
        <f t="shared" si="580"/>
        <v>-3.1250726021191939</v>
      </c>
      <c r="AW669">
        <f t="shared" si="581"/>
        <v>840.1741578181468</v>
      </c>
      <c r="AX669">
        <f t="shared" si="582"/>
        <v>-612.17579069844658</v>
      </c>
      <c r="AY669">
        <f t="shared" si="590"/>
        <v>-0.62968320530694044</v>
      </c>
      <c r="BA669">
        <f t="shared" si="572"/>
        <v>7.3745956438011864E-2</v>
      </c>
      <c r="BB669">
        <f t="shared" si="583"/>
        <v>-22.645235749654166</v>
      </c>
      <c r="BC669">
        <f t="shared" si="584"/>
        <v>-2.4953893968122536</v>
      </c>
      <c r="BD669">
        <f t="shared" si="573"/>
        <v>-322.97528084241145</v>
      </c>
      <c r="BF669">
        <f t="shared" si="574"/>
        <v>-91.942162718682127</v>
      </c>
      <c r="BG669">
        <f t="shared" si="575"/>
        <v>-233.70745313807086</v>
      </c>
      <c r="BH669">
        <f t="shared" si="585"/>
        <v>-53.707453138070861</v>
      </c>
      <c r="BI669">
        <f t="shared" si="586"/>
        <v>-53.707453138070861</v>
      </c>
      <c r="BJ669">
        <f t="shared" si="576"/>
        <v>0</v>
      </c>
      <c r="BK669">
        <f t="shared" si="587"/>
        <v>0</v>
      </c>
      <c r="BM669">
        <f t="shared" si="588"/>
        <v>-69.296926969027965</v>
      </c>
      <c r="BN669">
        <f t="shared" si="577"/>
        <v>-90.732172295659439</v>
      </c>
      <c r="BQ669" s="56">
        <f t="shared" si="589"/>
        <v>-5.7432749493690318</v>
      </c>
    </row>
    <row r="670" spans="1:69" x14ac:dyDescent="0.25">
      <c r="A670">
        <f t="shared" si="563"/>
        <v>9400000</v>
      </c>
      <c r="B670">
        <f t="shared" si="578"/>
        <v>9400</v>
      </c>
      <c r="C670">
        <f t="shared" si="539"/>
        <v>77.968176338985202</v>
      </c>
      <c r="D670">
        <f t="shared" si="540"/>
        <v>1.557970229461195</v>
      </c>
      <c r="F670">
        <f t="shared" si="541"/>
        <v>2.9006767656468742E-7</v>
      </c>
      <c r="G670">
        <f t="shared" si="542"/>
        <v>1.8320797819165643E-4</v>
      </c>
      <c r="H670">
        <f t="shared" si="564"/>
        <v>-3.1414094420218084</v>
      </c>
      <c r="J670">
        <f t="shared" si="565"/>
        <v>15</v>
      </c>
      <c r="M670">
        <f t="shared" si="543"/>
        <v>1.5894723103224346E-4</v>
      </c>
      <c r="N670">
        <f t="shared" si="566"/>
        <v>-1.5707963250000001</v>
      </c>
      <c r="O670">
        <f t="shared" si="544"/>
        <v>2403.9393639495838</v>
      </c>
      <c r="P670">
        <f t="shared" si="567"/>
        <v>1.5703803429128418</v>
      </c>
      <c r="Q670">
        <f t="shared" si="545"/>
        <v>2034.6250795027161</v>
      </c>
      <c r="R670">
        <f t="shared" si="568"/>
        <v>1.5703048357333076</v>
      </c>
      <c r="S670">
        <f t="shared" si="546"/>
        <v>1.3033055347653694E-2</v>
      </c>
      <c r="T670">
        <f t="shared" si="569"/>
        <v>-1.5577629024520854</v>
      </c>
      <c r="U670">
        <f t="shared" si="547"/>
        <v>1.6706355013805789E-2</v>
      </c>
      <c r="V670">
        <f t="shared" si="570"/>
        <v>-1.5540891945531246</v>
      </c>
      <c r="X670">
        <f t="shared" si="548"/>
        <v>-84.818064274371338</v>
      </c>
      <c r="Y670">
        <f t="shared" si="549"/>
        <v>-179.07237020863965</v>
      </c>
      <c r="Z670">
        <f t="shared" si="579"/>
        <v>0.92762979136034573</v>
      </c>
      <c r="AC670">
        <v>1</v>
      </c>
      <c r="AD670">
        <f t="shared" si="550"/>
        <v>2403.9391559576402</v>
      </c>
      <c r="AE670">
        <f t="shared" si="551"/>
        <v>-17.037757748158803</v>
      </c>
      <c r="AF670">
        <f t="shared" si="552"/>
        <v>0.28467855957239996</v>
      </c>
      <c r="AG670">
        <f t="shared" si="553"/>
        <v>2.298174192800245</v>
      </c>
      <c r="AH670">
        <f t="shared" si="554"/>
        <v>-141.05640839379234</v>
      </c>
      <c r="AJ670">
        <f t="shared" si="571"/>
        <v>22100</v>
      </c>
      <c r="AK670">
        <f t="shared" si="555"/>
        <v>1695544.3195743782</v>
      </c>
      <c r="AL670">
        <v>45</v>
      </c>
      <c r="AM670">
        <f t="shared" si="556"/>
        <v>2034.6248337571801</v>
      </c>
      <c r="AN670">
        <f t="shared" si="557"/>
        <v>833.17761736458522</v>
      </c>
      <c r="AO670">
        <f t="shared" si="558"/>
        <v>7.5655189723509455</v>
      </c>
      <c r="AQ670">
        <f t="shared" si="559"/>
        <v>2.8293345325109367E-5</v>
      </c>
      <c r="AR670">
        <f t="shared" si="560"/>
        <v>-0.53191489211205611</v>
      </c>
      <c r="AT670">
        <f t="shared" si="561"/>
        <v>-75.029939229462116</v>
      </c>
      <c r="AU670">
        <f t="shared" si="562"/>
        <v>-1.2264240354910592</v>
      </c>
      <c r="AV670">
        <f t="shared" si="580"/>
        <v>-3.1252483137407645</v>
      </c>
      <c r="AW670">
        <f t="shared" si="581"/>
        <v>840.24882571062255</v>
      </c>
      <c r="AX670">
        <f t="shared" si="582"/>
        <v>-605.24960839123219</v>
      </c>
      <c r="AY670">
        <f t="shared" si="590"/>
        <v>-0.6242350026834137</v>
      </c>
      <c r="BA670">
        <f t="shared" si="572"/>
        <v>7.2464500659463332E-2</v>
      </c>
      <c r="BB670">
        <f t="shared" si="583"/>
        <v>-22.79749392193645</v>
      </c>
      <c r="BC670">
        <f t="shared" si="584"/>
        <v>-2.5010133110573509</v>
      </c>
      <c r="BD670">
        <f t="shared" si="573"/>
        <v>-323.29750739336725</v>
      </c>
      <c r="BF670">
        <f t="shared" si="574"/>
        <v>-92.187334489823485</v>
      </c>
      <c r="BG670">
        <f t="shared" si="575"/>
        <v>-234.0218914922765</v>
      </c>
      <c r="BH670">
        <f t="shared" si="585"/>
        <v>-54.021891492276495</v>
      </c>
      <c r="BI670">
        <f t="shared" si="586"/>
        <v>-54.021891492276495</v>
      </c>
      <c r="BJ670">
        <f t="shared" si="576"/>
        <v>0</v>
      </c>
      <c r="BK670">
        <f t="shared" si="587"/>
        <v>0</v>
      </c>
      <c r="BM670">
        <f t="shared" si="588"/>
        <v>-69.389840567887035</v>
      </c>
      <c r="BN670">
        <f t="shared" si="577"/>
        <v>-90.724384098909326</v>
      </c>
      <c r="BQ670" s="56">
        <f t="shared" si="589"/>
        <v>-5.8955331216513134</v>
      </c>
    </row>
    <row r="671" spans="1:69" x14ac:dyDescent="0.25">
      <c r="A671">
        <f t="shared" si="563"/>
        <v>9500000</v>
      </c>
      <c r="B671">
        <f t="shared" si="578"/>
        <v>9500</v>
      </c>
      <c r="C671">
        <f t="shared" si="539"/>
        <v>78.7974892973496</v>
      </c>
      <c r="D671">
        <f t="shared" si="540"/>
        <v>1.5581052264384443</v>
      </c>
      <c r="F671">
        <f t="shared" si="541"/>
        <v>2.8399312746432086E-7</v>
      </c>
      <c r="G671">
        <f t="shared" si="542"/>
        <v>1.8127947209286622E-4</v>
      </c>
      <c r="H671">
        <f t="shared" si="564"/>
        <v>-3.1414113705279072</v>
      </c>
      <c r="J671">
        <f t="shared" si="565"/>
        <v>15</v>
      </c>
      <c r="M671">
        <f t="shared" si="543"/>
        <v>1.5727410228453563E-4</v>
      </c>
      <c r="N671">
        <f t="shared" si="566"/>
        <v>-1.5707963250000001</v>
      </c>
      <c r="O671">
        <f t="shared" si="544"/>
        <v>2429.5131825682552</v>
      </c>
      <c r="P671">
        <f t="shared" si="567"/>
        <v>1.5703847216900504</v>
      </c>
      <c r="Q671">
        <f t="shared" si="545"/>
        <v>2056.270021955891</v>
      </c>
      <c r="R671">
        <f t="shared" si="568"/>
        <v>1.5703100093226094</v>
      </c>
      <c r="S671">
        <f t="shared" si="546"/>
        <v>1.2895888227945851E-2</v>
      </c>
      <c r="T671">
        <f t="shared" si="569"/>
        <v>-1.5579000811007095</v>
      </c>
      <c r="U671">
        <f t="shared" si="547"/>
        <v>1.6530546955109332E-2</v>
      </c>
      <c r="V671">
        <f t="shared" si="570"/>
        <v>-1.5542650268937892</v>
      </c>
      <c r="X671">
        <f t="shared" si="548"/>
        <v>-85.0018685578994</v>
      </c>
      <c r="Y671">
        <f t="shared" si="549"/>
        <v>-179.08213284520966</v>
      </c>
      <c r="Z671">
        <f t="shared" si="579"/>
        <v>0.91786715479034342</v>
      </c>
      <c r="AC671">
        <v>1</v>
      </c>
      <c r="AD671">
        <f t="shared" si="550"/>
        <v>2429.5129767656999</v>
      </c>
      <c r="AE671">
        <f t="shared" si="551"/>
        <v>-17.402191452821778</v>
      </c>
      <c r="AF671">
        <f t="shared" si="552"/>
        <v>0.28770705488699999</v>
      </c>
      <c r="AG671">
        <f t="shared" si="553"/>
        <v>2.2500593749548101</v>
      </c>
      <c r="AH671">
        <f t="shared" si="554"/>
        <v>-139.57239956785833</v>
      </c>
      <c r="AJ671">
        <f t="shared" si="571"/>
        <v>22100</v>
      </c>
      <c r="AK671">
        <f t="shared" si="555"/>
        <v>1713582.0251017651</v>
      </c>
      <c r="AL671">
        <v>46</v>
      </c>
      <c r="AM671">
        <f t="shared" si="556"/>
        <v>2056.2697787971501</v>
      </c>
      <c r="AN671">
        <f t="shared" si="557"/>
        <v>833.16842127134544</v>
      </c>
      <c r="AO671">
        <f t="shared" si="558"/>
        <v>7.8908650731488237</v>
      </c>
      <c r="AQ671">
        <f t="shared" si="559"/>
        <v>2.7700830948197144E-5</v>
      </c>
      <c r="AR671">
        <f t="shared" si="560"/>
        <v>-0.52631578801574574</v>
      </c>
      <c r="AT671">
        <f t="shared" si="561"/>
        <v>-73.459095135291506</v>
      </c>
      <c r="AU671">
        <f t="shared" si="562"/>
        <v>-1.1881080444570207</v>
      </c>
      <c r="AV671">
        <f t="shared" si="580"/>
        <v>-3.1254203272146333</v>
      </c>
      <c r="AW671">
        <f t="shared" si="581"/>
        <v>840.31845405316653</v>
      </c>
      <c r="AX671">
        <f t="shared" si="582"/>
        <v>-598.46924040845465</v>
      </c>
      <c r="AY671">
        <f t="shared" si="590"/>
        <v>-0.61886265010745545</v>
      </c>
      <c r="BA671">
        <f t="shared" si="572"/>
        <v>7.1214795264324018E-2</v>
      </c>
      <c r="BB671">
        <f t="shared" si="583"/>
        <v>-22.94859539857147</v>
      </c>
      <c r="BC671">
        <f t="shared" si="584"/>
        <v>-2.5065576771071778</v>
      </c>
      <c r="BD671">
        <f t="shared" si="573"/>
        <v>-323.61517616846095</v>
      </c>
      <c r="BF671">
        <f t="shared" si="574"/>
        <v>-92.430366011409347</v>
      </c>
      <c r="BG671">
        <f t="shared" si="575"/>
        <v>-234.33193600557834</v>
      </c>
      <c r="BH671">
        <f t="shared" si="585"/>
        <v>-54.331936005578342</v>
      </c>
      <c r="BI671">
        <f t="shared" si="586"/>
        <v>-54.331936005578342</v>
      </c>
      <c r="BJ671">
        <f t="shared" si="576"/>
        <v>0</v>
      </c>
      <c r="BK671">
        <f t="shared" si="587"/>
        <v>0</v>
      </c>
      <c r="BM671">
        <f t="shared" si="588"/>
        <v>-69.481770612837877</v>
      </c>
      <c r="BN671">
        <f t="shared" si="577"/>
        <v>-90.716759837117422</v>
      </c>
      <c r="BQ671" s="56">
        <f t="shared" si="589"/>
        <v>-6.0466345982863343</v>
      </c>
    </row>
    <row r="672" spans="1:69" x14ac:dyDescent="0.25">
      <c r="A672">
        <f t="shared" si="563"/>
        <v>9600000</v>
      </c>
      <c r="B672">
        <f t="shared" si="578"/>
        <v>9600</v>
      </c>
      <c r="C672">
        <f t="shared" si="539"/>
        <v>79.626803661821626</v>
      </c>
      <c r="D672">
        <f t="shared" si="540"/>
        <v>1.5582374114269413</v>
      </c>
      <c r="F672">
        <f t="shared" si="541"/>
        <v>2.7810741765020175E-7</v>
      </c>
      <c r="G672">
        <f t="shared" si="542"/>
        <v>1.7939114323723619E-4</v>
      </c>
      <c r="H672">
        <f t="shared" si="564"/>
        <v>-3.1414132588567631</v>
      </c>
      <c r="J672">
        <f t="shared" si="565"/>
        <v>15</v>
      </c>
      <c r="M672">
        <f t="shared" si="543"/>
        <v>1.5563583038573836E-4</v>
      </c>
      <c r="N672">
        <f t="shared" si="566"/>
        <v>-1.5707963250000001</v>
      </c>
      <c r="O672">
        <f t="shared" si="544"/>
        <v>2455.0870012325386</v>
      </c>
      <c r="P672">
        <f t="shared" si="567"/>
        <v>1.570389009242749</v>
      </c>
      <c r="Q672">
        <f t="shared" si="545"/>
        <v>2077.9149644629579</v>
      </c>
      <c r="R672">
        <f t="shared" si="568"/>
        <v>1.5703150751288262</v>
      </c>
      <c r="S672">
        <f t="shared" si="546"/>
        <v>1.2761578051079683E-2</v>
      </c>
      <c r="T672">
        <f t="shared" si="569"/>
        <v>-1.5580344023311834</v>
      </c>
      <c r="U672">
        <f t="shared" si="547"/>
        <v>1.6358400078539378E-2</v>
      </c>
      <c r="V672">
        <f t="shared" si="570"/>
        <v>-1.554437197051334</v>
      </c>
      <c r="X672">
        <f t="shared" si="548"/>
        <v>-85.18374868529267</v>
      </c>
      <c r="Y672">
        <f t="shared" si="549"/>
        <v>-179.09169215153895</v>
      </c>
      <c r="Z672">
        <f t="shared" si="579"/>
        <v>0.90830784846104962</v>
      </c>
      <c r="AC672">
        <v>1</v>
      </c>
      <c r="AD672">
        <f t="shared" si="550"/>
        <v>2455.0867975737601</v>
      </c>
      <c r="AE672">
        <f t="shared" si="551"/>
        <v>-17.770481598803933</v>
      </c>
      <c r="AF672">
        <f t="shared" si="552"/>
        <v>0.29073555020159997</v>
      </c>
      <c r="AG672">
        <f t="shared" si="553"/>
        <v>2.2034397636633485</v>
      </c>
      <c r="AH672">
        <f t="shared" si="554"/>
        <v>-138.1192831300045</v>
      </c>
      <c r="AJ672">
        <f t="shared" si="571"/>
        <v>22100</v>
      </c>
      <c r="AK672">
        <f t="shared" si="555"/>
        <v>1731619.7306291524</v>
      </c>
      <c r="AL672">
        <v>47</v>
      </c>
      <c r="AM672">
        <f t="shared" si="556"/>
        <v>2077.9147238371202</v>
      </c>
      <c r="AN672">
        <f t="shared" si="557"/>
        <v>833.15925711193916</v>
      </c>
      <c r="AO672">
        <f t="shared" si="558"/>
        <v>8.2094250012149654</v>
      </c>
      <c r="AQ672">
        <f t="shared" si="559"/>
        <v>2.7126736037525129E-5</v>
      </c>
      <c r="AR672">
        <f t="shared" si="560"/>
        <v>-0.52083333192048253</v>
      </c>
      <c r="AT672">
        <f t="shared" si="561"/>
        <v>-71.937066662939884</v>
      </c>
      <c r="AU672">
        <f t="shared" si="562"/>
        <v>-1.1513715991300222</v>
      </c>
      <c r="AV672">
        <f t="shared" si="580"/>
        <v>-3.1255887580650916</v>
      </c>
      <c r="AW672">
        <f t="shared" si="581"/>
        <v>840.38330766795423</v>
      </c>
      <c r="AX672">
        <f t="shared" si="582"/>
        <v>-591.83013322465433</v>
      </c>
      <c r="AY672">
        <f t="shared" si="590"/>
        <v>-0.6135648177798998</v>
      </c>
      <c r="BA672">
        <f t="shared" si="572"/>
        <v>6.9995827539525324E-2</v>
      </c>
      <c r="BB672">
        <f t="shared" si="583"/>
        <v>-23.098556951305753</v>
      </c>
      <c r="BC672">
        <f t="shared" si="584"/>
        <v>-2.512023940285192</v>
      </c>
      <c r="BD672">
        <f t="shared" si="573"/>
        <v>-323.92836997862673</v>
      </c>
      <c r="BF672">
        <f t="shared" si="574"/>
        <v>-92.6712946637236</v>
      </c>
      <c r="BG672">
        <f t="shared" si="575"/>
        <v>-234.63766436705359</v>
      </c>
      <c r="BH672">
        <f t="shared" si="585"/>
        <v>-54.637664367053588</v>
      </c>
      <c r="BI672">
        <f t="shared" si="586"/>
        <v>-54.637664367053588</v>
      </c>
      <c r="BJ672">
        <f t="shared" si="576"/>
        <v>0</v>
      </c>
      <c r="BK672">
        <f t="shared" si="587"/>
        <v>0</v>
      </c>
      <c r="BM672">
        <f t="shared" si="588"/>
        <v>-69.572737712417847</v>
      </c>
      <c r="BN672">
        <f t="shared" si="577"/>
        <v>-90.709294388426812</v>
      </c>
      <c r="BQ672" s="56">
        <f t="shared" si="589"/>
        <v>-6.1965961510206125</v>
      </c>
    </row>
    <row r="673" spans="1:69" x14ac:dyDescent="0.25">
      <c r="A673">
        <f t="shared" si="563"/>
        <v>9700000</v>
      </c>
      <c r="B673">
        <f t="shared" si="578"/>
        <v>9700</v>
      </c>
      <c r="C673">
        <f t="shared" si="539"/>
        <v>80.456119388920243</v>
      </c>
      <c r="D673">
        <f t="shared" si="540"/>
        <v>1.5583668713772127</v>
      </c>
      <c r="F673">
        <f t="shared" si="541"/>
        <v>2.7240280021288608E-7</v>
      </c>
      <c r="G673">
        <f t="shared" si="542"/>
        <v>1.7754174902828661E-4</v>
      </c>
      <c r="H673">
        <f t="shared" si="564"/>
        <v>-3.141415108250972</v>
      </c>
      <c r="J673">
        <f t="shared" si="565"/>
        <v>15</v>
      </c>
      <c r="M673">
        <f t="shared" si="543"/>
        <v>1.5403133728897816E-4</v>
      </c>
      <c r="N673">
        <f t="shared" si="566"/>
        <v>-1.5707963250000001</v>
      </c>
      <c r="O673">
        <f t="shared" si="544"/>
        <v>2480.6608199410239</v>
      </c>
      <c r="P673">
        <f t="shared" si="567"/>
        <v>1.570393208392314</v>
      </c>
      <c r="Q673">
        <f t="shared" si="545"/>
        <v>2099.5599070222493</v>
      </c>
      <c r="R673">
        <f t="shared" si="568"/>
        <v>1.5703200364854542</v>
      </c>
      <c r="S673">
        <f t="shared" si="546"/>
        <v>1.2630036486635793E-2</v>
      </c>
      <c r="T673">
        <f t="shared" si="569"/>
        <v>-1.5581659544981701</v>
      </c>
      <c r="U673">
        <f t="shared" si="547"/>
        <v>1.6189801211962326E-2</v>
      </c>
      <c r="V673">
        <f t="shared" si="570"/>
        <v>-1.5546058182489442</v>
      </c>
      <c r="X673">
        <f t="shared" si="548"/>
        <v>-85.363744520257313</v>
      </c>
      <c r="Y673">
        <f t="shared" si="549"/>
        <v>-179.10105441383652</v>
      </c>
      <c r="Z673">
        <f t="shared" si="579"/>
        <v>0.89894558616347808</v>
      </c>
      <c r="AC673">
        <v>1</v>
      </c>
      <c r="AD673">
        <f t="shared" si="550"/>
        <v>2480.6606183818199</v>
      </c>
      <c r="AE673">
        <f t="shared" si="551"/>
        <v>-18.142628186105274</v>
      </c>
      <c r="AF673">
        <f t="shared" si="552"/>
        <v>0.2937640455162</v>
      </c>
      <c r="AG673">
        <f t="shared" si="553"/>
        <v>2.1582540469436009</v>
      </c>
      <c r="AH673">
        <f t="shared" si="554"/>
        <v>-136.69610463830662</v>
      </c>
      <c r="AJ673">
        <f t="shared" si="571"/>
        <v>22100</v>
      </c>
      <c r="AK673">
        <f t="shared" si="555"/>
        <v>1749657.4361565392</v>
      </c>
      <c r="AL673">
        <v>48</v>
      </c>
      <c r="AM673">
        <f t="shared" si="556"/>
        <v>2099.5596688770902</v>
      </c>
      <c r="AN673">
        <f t="shared" si="557"/>
        <v>833.15012879390133</v>
      </c>
      <c r="AO673">
        <f t="shared" si="558"/>
        <v>8.5214087731433885</v>
      </c>
      <c r="AQ673">
        <f t="shared" si="559"/>
        <v>2.65703049565036E-5</v>
      </c>
      <c r="AR673">
        <f t="shared" si="560"/>
        <v>-0.51546391615616982</v>
      </c>
      <c r="AT673">
        <f t="shared" si="561"/>
        <v>-70.461852074686888</v>
      </c>
      <c r="AU673">
        <f t="shared" si="562"/>
        <v>-1.1161341402840566</v>
      </c>
      <c r="AV673">
        <f t="shared" si="580"/>
        <v>-3.1257537170547165</v>
      </c>
      <c r="AW673">
        <f t="shared" si="581"/>
        <v>840.44363607446883</v>
      </c>
      <c r="AX673">
        <f t="shared" si="582"/>
        <v>-585.32792083094648</v>
      </c>
      <c r="AY673">
        <f t="shared" si="590"/>
        <v>-0.60834019991399524</v>
      </c>
      <c r="BA673">
        <f t="shared" si="572"/>
        <v>6.8806624527564461E-2</v>
      </c>
      <c r="BB673">
        <f t="shared" si="583"/>
        <v>-23.247394939572597</v>
      </c>
      <c r="BC673">
        <f t="shared" si="584"/>
        <v>-2.5174135171407213</v>
      </c>
      <c r="BD673">
        <f t="shared" si="573"/>
        <v>-324.23716998616283</v>
      </c>
      <c r="BF673">
        <f t="shared" si="574"/>
        <v>-92.910156773626539</v>
      </c>
      <c r="BG673">
        <f t="shared" si="575"/>
        <v>-234.93915282829758</v>
      </c>
      <c r="BH673">
        <f t="shared" si="585"/>
        <v>-54.93915282829758</v>
      </c>
      <c r="BI673">
        <f t="shared" si="586"/>
        <v>-54.93915282829758</v>
      </c>
      <c r="BJ673">
        <f t="shared" si="576"/>
        <v>0</v>
      </c>
      <c r="BK673">
        <f t="shared" si="587"/>
        <v>0</v>
      </c>
      <c r="BM673">
        <f t="shared" si="588"/>
        <v>-69.662761834053953</v>
      </c>
      <c r="BN673">
        <f t="shared" si="577"/>
        <v>-90.70198284213474</v>
      </c>
      <c r="BQ673" s="56">
        <f t="shared" si="589"/>
        <v>-6.3454341392874625</v>
      </c>
    </row>
    <row r="674" spans="1:69" x14ac:dyDescent="0.25">
      <c r="A674">
        <f t="shared" si="563"/>
        <v>9800000</v>
      </c>
      <c r="B674">
        <f t="shared" si="578"/>
        <v>9800</v>
      </c>
      <c r="C674">
        <f t="shared" si="539"/>
        <v>81.285436436938781</v>
      </c>
      <c r="D674">
        <f t="shared" si="540"/>
        <v>1.5584936896916985</v>
      </c>
      <c r="F674">
        <f t="shared" si="541"/>
        <v>2.6687192146647083E-7</v>
      </c>
      <c r="G674">
        <f t="shared" si="542"/>
        <v>1.7573009758782823E-4</v>
      </c>
      <c r="H674">
        <f t="shared" si="564"/>
        <v>-3.1414169199024125</v>
      </c>
      <c r="J674">
        <f t="shared" si="565"/>
        <v>15</v>
      </c>
      <c r="M674">
        <f t="shared" si="543"/>
        <v>1.5245958894929474E-4</v>
      </c>
      <c r="N674">
        <f t="shared" si="566"/>
        <v>-1.5707963250000001</v>
      </c>
      <c r="O674">
        <f t="shared" si="544"/>
        <v>2506.2346386923573</v>
      </c>
      <c r="P674">
        <f t="shared" si="567"/>
        <v>1.5703973218449627</v>
      </c>
      <c r="Q674">
        <f t="shared" si="545"/>
        <v>2121.2048496321672</v>
      </c>
      <c r="R674">
        <f t="shared" si="568"/>
        <v>1.5703248965899286</v>
      </c>
      <c r="S674">
        <f t="shared" si="546"/>
        <v>1.2501178808079591E-2</v>
      </c>
      <c r="T674">
        <f t="shared" si="569"/>
        <v>-1.5582948223509796</v>
      </c>
      <c r="U674">
        <f t="shared" si="547"/>
        <v>1.6024641799486847E-2</v>
      </c>
      <c r="V674">
        <f t="shared" si="570"/>
        <v>-1.5547709990904697</v>
      </c>
      <c r="X674">
        <f t="shared" si="548"/>
        <v>-85.541894700536702</v>
      </c>
      <c r="Y674">
        <f t="shared" si="549"/>
        <v>-179.11022566184985</v>
      </c>
      <c r="Z674">
        <f t="shared" si="579"/>
        <v>0.88977433815014706</v>
      </c>
      <c r="AC674">
        <v>1</v>
      </c>
      <c r="AD674">
        <f t="shared" si="550"/>
        <v>2506.23443918988</v>
      </c>
      <c r="AE674">
        <f t="shared" si="551"/>
        <v>-18.518631214725801</v>
      </c>
      <c r="AF674">
        <f t="shared" si="552"/>
        <v>0.29679254083079998</v>
      </c>
      <c r="AG674">
        <f t="shared" si="553"/>
        <v>2.1144440233083595</v>
      </c>
      <c r="AH674">
        <f t="shared" si="554"/>
        <v>-135.30194855780314</v>
      </c>
      <c r="AJ674">
        <f t="shared" si="571"/>
        <v>22100</v>
      </c>
      <c r="AK674">
        <f t="shared" si="555"/>
        <v>1767695.1416839263</v>
      </c>
      <c r="AL674">
        <v>49</v>
      </c>
      <c r="AM674">
        <f t="shared" si="556"/>
        <v>2121.2046139170602</v>
      </c>
      <c r="AN674">
        <f t="shared" si="557"/>
        <v>833.14103986728026</v>
      </c>
      <c r="AO674">
        <f t="shared" si="558"/>
        <v>8.8270178325327944</v>
      </c>
      <c r="AQ674">
        <f t="shared" si="559"/>
        <v>2.603082042370153E-5</v>
      </c>
      <c r="AR674">
        <f t="shared" si="560"/>
        <v>-0.51020408030455</v>
      </c>
      <c r="AT674">
        <f t="shared" si="561"/>
        <v>-69.031551186634815</v>
      </c>
      <c r="AU674">
        <f t="shared" si="562"/>
        <v>-1.082319988993379</v>
      </c>
      <c r="AV674">
        <f t="shared" si="580"/>
        <v>-3.1259153104271813</v>
      </c>
      <c r="AW674">
        <f t="shared" si="581"/>
        <v>840.49967449150336</v>
      </c>
      <c r="AX674">
        <f t="shared" si="582"/>
        <v>-578.95841518727502</v>
      </c>
      <c r="AY674">
        <f t="shared" si="590"/>
        <v>-0.60318751443624952</v>
      </c>
      <c r="BA674">
        <f t="shared" si="572"/>
        <v>6.7646251140233843E-2</v>
      </c>
      <c r="BB674">
        <f t="shared" si="583"/>
        <v>-23.395125327734494</v>
      </c>
      <c r="BC674">
        <f t="shared" si="584"/>
        <v>-2.5227277959909316</v>
      </c>
      <c r="BD674">
        <f t="shared" si="573"/>
        <v>-324.54165573578348</v>
      </c>
      <c r="BF674">
        <f t="shared" si="574"/>
        <v>-93.14698765812102</v>
      </c>
      <c r="BG674">
        <f t="shared" si="575"/>
        <v>-235.23647622370649</v>
      </c>
      <c r="BH674">
        <f t="shared" si="585"/>
        <v>-55.236476223706489</v>
      </c>
      <c r="BI674">
        <f t="shared" si="586"/>
        <v>-55.236476223706489</v>
      </c>
      <c r="BJ674">
        <f t="shared" si="576"/>
        <v>0</v>
      </c>
      <c r="BK674">
        <f t="shared" si="587"/>
        <v>0</v>
      </c>
      <c r="BM674">
        <f t="shared" si="588"/>
        <v>-69.75186233038653</v>
      </c>
      <c r="BN674">
        <f t="shared" si="577"/>
        <v>-90.694820487923053</v>
      </c>
      <c r="BQ674" s="56">
        <f t="shared" si="589"/>
        <v>-6.4931645274493563</v>
      </c>
    </row>
    <row r="675" spans="1:69" x14ac:dyDescent="0.25">
      <c r="A675">
        <f t="shared" si="563"/>
        <v>9900000</v>
      </c>
      <c r="B675">
        <f t="shared" si="578"/>
        <v>9900</v>
      </c>
      <c r="C675">
        <f t="shared" si="539"/>
        <v>82.114754765855437</v>
      </c>
      <c r="D675">
        <f t="shared" si="540"/>
        <v>1.5586179464038932</v>
      </c>
      <c r="F675">
        <f t="shared" si="541"/>
        <v>2.6150779723804815E-7</v>
      </c>
      <c r="G675">
        <f t="shared" si="542"/>
        <v>1.7395504519442863E-4</v>
      </c>
      <c r="H675">
        <f t="shared" si="564"/>
        <v>-3.141418694954806</v>
      </c>
      <c r="J675">
        <f t="shared" si="565"/>
        <v>15</v>
      </c>
      <c r="M675">
        <f t="shared" si="543"/>
        <v>1.5091959310132205E-4</v>
      </c>
      <c r="N675">
        <f t="shared" si="566"/>
        <v>-1.5707963250000001</v>
      </c>
      <c r="O675">
        <f t="shared" si="544"/>
        <v>2531.808457485241</v>
      </c>
      <c r="P675">
        <f t="shared" si="567"/>
        <v>1.570401352197571</v>
      </c>
      <c r="Q675">
        <f t="shared" si="545"/>
        <v>2142.8497922911765</v>
      </c>
      <c r="R675">
        <f t="shared" si="568"/>
        <v>1.570329658510496</v>
      </c>
      <c r="S675">
        <f t="shared" si="546"/>
        <v>1.2374923710832755E-2</v>
      </c>
      <c r="T675">
        <f t="shared" si="569"/>
        <v>-1.5584210872155986</v>
      </c>
      <c r="U675">
        <f t="shared" si="547"/>
        <v>1.5862817668501006E-2</v>
      </c>
      <c r="V675">
        <f t="shared" si="570"/>
        <v>-1.5549328437936054</v>
      </c>
      <c r="X675">
        <f t="shared" si="548"/>
        <v>-85.718236687666234</v>
      </c>
      <c r="Y675">
        <f t="shared" si="549"/>
        <v>-179.11921168181016</v>
      </c>
      <c r="Z675">
        <f t="shared" si="579"/>
        <v>0.88078831818984327</v>
      </c>
      <c r="AC675">
        <v>1</v>
      </c>
      <c r="AD675">
        <f t="shared" si="550"/>
        <v>2531.8082599979402</v>
      </c>
      <c r="AE675">
        <f t="shared" si="551"/>
        <v>-18.898490684665514</v>
      </c>
      <c r="AF675">
        <f t="shared" si="552"/>
        <v>0.29982103614540001</v>
      </c>
      <c r="AG675">
        <f t="shared" si="553"/>
        <v>2.0719544143217727</v>
      </c>
      <c r="AH675">
        <f t="shared" si="554"/>
        <v>-133.93593629847018</v>
      </c>
      <c r="AJ675">
        <f t="shared" si="571"/>
        <v>22100</v>
      </c>
      <c r="AK675">
        <f t="shared" si="555"/>
        <v>1785732.8472113132</v>
      </c>
      <c r="AL675">
        <v>50</v>
      </c>
      <c r="AM675">
        <f t="shared" si="556"/>
        <v>2142.8495589570302</v>
      </c>
      <c r="AN675">
        <f t="shared" si="557"/>
        <v>833.13199355259701</v>
      </c>
      <c r="AO675">
        <f t="shared" si="558"/>
        <v>9.1264454827843622</v>
      </c>
      <c r="AQ675">
        <f t="shared" si="559"/>
        <v>2.550760120011325E-5</v>
      </c>
      <c r="AR675">
        <f t="shared" si="560"/>
        <v>-0.50505050376224236</v>
      </c>
      <c r="AT675">
        <f t="shared" si="561"/>
        <v>-67.644359248823051</v>
      </c>
      <c r="AU675">
        <f t="shared" si="562"/>
        <v>-1.0498580051750783</v>
      </c>
      <c r="AV675">
        <f t="shared" si="580"/>
        <v>-3.1260736401353655</v>
      </c>
      <c r="AW675">
        <f t="shared" si="581"/>
        <v>840.55164476517155</v>
      </c>
      <c r="AX675">
        <f t="shared" si="582"/>
        <v>-572.71759725176753</v>
      </c>
      <c r="AY675">
        <f t="shared" si="590"/>
        <v>-0.59810550268154661</v>
      </c>
      <c r="BA675">
        <f t="shared" si="572"/>
        <v>6.6513808379713268E-2</v>
      </c>
      <c r="BB675">
        <f t="shared" si="583"/>
        <v>-23.541763701280232</v>
      </c>
      <c r="BC675">
        <f t="shared" si="584"/>
        <v>-2.527968137453819</v>
      </c>
      <c r="BD675">
        <f t="shared" si="573"/>
        <v>-324.84190518515743</v>
      </c>
      <c r="BF675">
        <f t="shared" si="574"/>
        <v>-93.381821665535639</v>
      </c>
      <c r="BG675">
        <f t="shared" si="575"/>
        <v>-235.52970799089809</v>
      </c>
      <c r="BH675">
        <f t="shared" si="585"/>
        <v>-55.529707990898089</v>
      </c>
      <c r="BI675">
        <f t="shared" si="586"/>
        <v>-55.529707990898089</v>
      </c>
      <c r="BJ675">
        <f t="shared" si="576"/>
        <v>0</v>
      </c>
      <c r="BK675">
        <f t="shared" si="587"/>
        <v>0</v>
      </c>
      <c r="BM675">
        <f t="shared" si="588"/>
        <v>-69.840057964255408</v>
      </c>
      <c r="BN675">
        <f t="shared" si="577"/>
        <v>-90.687802805740674</v>
      </c>
      <c r="BQ675" s="56">
        <f t="shared" si="589"/>
        <v>-6.6398029009950941</v>
      </c>
    </row>
    <row r="676" spans="1:69" x14ac:dyDescent="0.25">
      <c r="A676">
        <f t="shared" si="563"/>
        <v>10000000</v>
      </c>
      <c r="B676">
        <f t="shared" si="578"/>
        <v>10000</v>
      </c>
      <c r="C676">
        <f t="shared" si="539"/>
        <v>82.944074337248921</v>
      </c>
      <c r="D676">
        <f t="shared" si="540"/>
        <v>1.5587397183467431</v>
      </c>
      <c r="F676">
        <f t="shared" si="541"/>
        <v>2.5630379080852923E-7</v>
      </c>
      <c r="G676">
        <f t="shared" si="542"/>
        <v>1.7221549387557033E-4</v>
      </c>
      <c r="H676">
        <f t="shared" si="564"/>
        <v>-3.1414204345061245</v>
      </c>
      <c r="J676">
        <f t="shared" si="565"/>
        <v>15</v>
      </c>
      <c r="M676">
        <f t="shared" si="543"/>
        <v>1.4941039717030884E-4</v>
      </c>
      <c r="N676">
        <f t="shared" si="566"/>
        <v>-1.5707963250000001</v>
      </c>
      <c r="O676">
        <f t="shared" si="544"/>
        <v>2557.382276318428</v>
      </c>
      <c r="P676">
        <f t="shared" si="567"/>
        <v>1.5704053019431397</v>
      </c>
      <c r="Q676">
        <f t="shared" si="545"/>
        <v>2164.4947349978056</v>
      </c>
      <c r="R676">
        <f t="shared" si="568"/>
        <v>1.5703343251926727</v>
      </c>
      <c r="S676">
        <f t="shared" si="546"/>
        <v>1.2251193141254463E-2</v>
      </c>
      <c r="T676">
        <f t="shared" si="569"/>
        <v>-1.5585448271658053</v>
      </c>
      <c r="U676">
        <f t="shared" si="547"/>
        <v>1.5704228810674722E-2</v>
      </c>
      <c r="V676">
        <f t="shared" si="570"/>
        <v>-1.5550914524090864</v>
      </c>
      <c r="X676">
        <f t="shared" si="548"/>
        <v>-85.892806814229488</v>
      </c>
      <c r="Y676">
        <f t="shared" si="549"/>
        <v>-179.12801802860179</v>
      </c>
      <c r="Z676">
        <f t="shared" si="579"/>
        <v>0.87198197139821332</v>
      </c>
      <c r="AC676">
        <v>1</v>
      </c>
      <c r="AD676">
        <f t="shared" si="550"/>
        <v>2557.382080806</v>
      </c>
      <c r="AE676">
        <f t="shared" si="551"/>
        <v>-19.282206595924411</v>
      </c>
      <c r="AF676">
        <f t="shared" si="552"/>
        <v>0.30284953145999999</v>
      </c>
      <c r="AG676">
        <f t="shared" si="553"/>
        <v>2.0307326902017366</v>
      </c>
      <c r="AH676">
        <f t="shared" si="554"/>
        <v>-132.59722437071406</v>
      </c>
      <c r="AJ676">
        <f t="shared" si="571"/>
        <v>22100</v>
      </c>
      <c r="AK676">
        <f t="shared" si="555"/>
        <v>1803770.5527387001</v>
      </c>
      <c r="AL676">
        <v>51</v>
      </c>
      <c r="AM676">
        <f t="shared" si="556"/>
        <v>2164.4945039970003</v>
      </c>
      <c r="AN676">
        <f t="shared" si="557"/>
        <v>833.12299276653994</v>
      </c>
      <c r="AO676">
        <f t="shared" si="558"/>
        <v>9.4198772939558353</v>
      </c>
      <c r="AQ676">
        <f t="shared" si="559"/>
        <v>2.4999999937500001E-5</v>
      </c>
      <c r="AR676">
        <f t="shared" si="560"/>
        <v>-0.49999999875000001</v>
      </c>
      <c r="AT676">
        <f t="shared" si="561"/>
        <v>-66.298561251293378</v>
      </c>
      <c r="AU676">
        <f t="shared" si="562"/>
        <v>-1.0186812731634329</v>
      </c>
      <c r="AV676">
        <f t="shared" si="580"/>
        <v>-3.1262288040557817</v>
      </c>
      <c r="AW676">
        <f t="shared" si="581"/>
        <v>840.59975622902425</v>
      </c>
      <c r="AX676">
        <f t="shared" si="582"/>
        <v>-566.60160854693481</v>
      </c>
      <c r="AY676">
        <f t="shared" si="590"/>
        <v>-0.59309292908310418</v>
      </c>
      <c r="BA676">
        <f t="shared" si="572"/>
        <v>6.5408431659765801E-2</v>
      </c>
      <c r="BB676">
        <f t="shared" si="583"/>
        <v>-23.687325282052711</v>
      </c>
      <c r="BC676">
        <f t="shared" si="584"/>
        <v>-2.5331358749726776</v>
      </c>
      <c r="BD676">
        <f t="shared" si="573"/>
        <v>-325.13799473495772</v>
      </c>
      <c r="BF676">
        <f t="shared" si="574"/>
        <v>-93.614692214482005</v>
      </c>
      <c r="BG676">
        <f t="shared" si="575"/>
        <v>-235.81892019125095</v>
      </c>
      <c r="BH676">
        <f t="shared" si="585"/>
        <v>-55.818920191250953</v>
      </c>
      <c r="BI676">
        <f t="shared" si="586"/>
        <v>-55.818920191250953</v>
      </c>
      <c r="BJ676">
        <f t="shared" si="576"/>
        <v>0</v>
      </c>
      <c r="BK676">
        <f t="shared" si="587"/>
        <v>0</v>
      </c>
      <c r="BM676">
        <f t="shared" si="588"/>
        <v>-69.927366932429294</v>
      </c>
      <c r="BN676">
        <f t="shared" si="577"/>
        <v>-90.68092545629321</v>
      </c>
      <c r="BQ676" s="56">
        <f t="shared" si="589"/>
        <v>-6.7853644817675729</v>
      </c>
    </row>
    <row r="677" spans="1:69" x14ac:dyDescent="0.25">
      <c r="BD677">
        <f t="shared" si="573"/>
        <v>-180</v>
      </c>
    </row>
    <row r="678" spans="1:69" x14ac:dyDescent="0.25">
      <c r="BD678">
        <f t="shared" si="573"/>
        <v>-180</v>
      </c>
    </row>
    <row r="679" spans="1:69" x14ac:dyDescent="0.25">
      <c r="C679" s="565" t="s">
        <v>46</v>
      </c>
      <c r="D679" s="565"/>
      <c r="E679" s="565"/>
      <c r="F679" s="565"/>
      <c r="G679" s="565"/>
      <c r="H679" s="565"/>
      <c r="J679" s="7" t="s">
        <v>76</v>
      </c>
      <c r="M679" s="7" t="s">
        <v>37</v>
      </c>
      <c r="N679" s="5"/>
      <c r="O679" s="5"/>
      <c r="P679" s="5"/>
      <c r="Q679" s="5"/>
      <c r="R679" s="5"/>
      <c r="S679" s="5"/>
      <c r="T679" s="5"/>
      <c r="U679" s="5"/>
      <c r="V679" s="5"/>
      <c r="X679" s="7" t="s">
        <v>105</v>
      </c>
      <c r="Y679" s="5"/>
      <c r="Z679" s="5"/>
      <c r="AD679" s="5"/>
      <c r="AE679" s="5"/>
      <c r="AF679" s="5"/>
      <c r="AG679" s="5"/>
      <c r="AH679" s="5"/>
      <c r="AJ679" s="7" t="s">
        <v>87</v>
      </c>
      <c r="AK679" s="5"/>
      <c r="AL679" s="5"/>
      <c r="AM679" s="5"/>
      <c r="AN679" s="5"/>
      <c r="AO679" s="5"/>
      <c r="AQ679" s="7" t="s">
        <v>438</v>
      </c>
      <c r="AR679" s="5"/>
      <c r="AT679" s="7" t="s">
        <v>108</v>
      </c>
      <c r="AU679" s="5"/>
      <c r="AV679" s="5"/>
      <c r="AW679" s="5"/>
      <c r="AX679" s="5"/>
      <c r="AY679" s="5"/>
      <c r="BA679" s="7" t="s">
        <v>109</v>
      </c>
      <c r="BB679" s="5"/>
      <c r="BC679" s="5"/>
      <c r="BF679" s="7" t="s">
        <v>110</v>
      </c>
      <c r="BG679" s="5"/>
      <c r="BH679" s="5"/>
      <c r="BJ679" t="s">
        <v>85</v>
      </c>
      <c r="BK679" s="4">
        <f>SUM(BK683:BK1300)</f>
        <v>0</v>
      </c>
    </row>
    <row r="680" spans="1:69" x14ac:dyDescent="0.25">
      <c r="C680" s="2" t="s">
        <v>47</v>
      </c>
      <c r="D680" s="2"/>
      <c r="E680" s="2"/>
      <c r="F680" s="2" t="s">
        <v>48</v>
      </c>
      <c r="G680" s="2"/>
      <c r="H680" s="2"/>
      <c r="M680" s="2" t="s">
        <v>50</v>
      </c>
      <c r="N680" s="2"/>
      <c r="O680" s="2" t="s">
        <v>64</v>
      </c>
      <c r="P680" s="2"/>
      <c r="Q680" s="2" t="s">
        <v>65</v>
      </c>
      <c r="R680" s="2"/>
      <c r="S680" s="2" t="s">
        <v>66</v>
      </c>
      <c r="T680" s="2"/>
      <c r="U680" s="2" t="s">
        <v>67</v>
      </c>
      <c r="V680" s="2"/>
      <c r="AD680" s="2"/>
      <c r="AE680" s="2" t="s">
        <v>91</v>
      </c>
      <c r="AF680" s="2"/>
      <c r="AG680" s="2" t="s">
        <v>92</v>
      </c>
      <c r="AH680" s="2"/>
      <c r="AJ680" s="2" t="s">
        <v>90</v>
      </c>
      <c r="AK680" s="2"/>
      <c r="AL680" s="2" t="s">
        <v>91</v>
      </c>
      <c r="AM680" s="2"/>
      <c r="AN680" s="2" t="s">
        <v>92</v>
      </c>
      <c r="AO680" s="2"/>
      <c r="AQ680" s="2" t="s">
        <v>83</v>
      </c>
      <c r="AR680" s="2"/>
      <c r="AT680" s="2" t="s">
        <v>90</v>
      </c>
      <c r="AU680" s="2"/>
      <c r="AV680" s="2"/>
      <c r="AW680" s="2" t="s">
        <v>91</v>
      </c>
      <c r="AX680" s="2"/>
      <c r="AY680" s="2"/>
    </row>
    <row r="681" spans="1:69" x14ac:dyDescent="0.25">
      <c r="A681" s="2" t="s">
        <v>44</v>
      </c>
      <c r="B681" s="2"/>
      <c r="C681" s="2" t="s">
        <v>68</v>
      </c>
      <c r="D681" s="2" t="s">
        <v>69</v>
      </c>
      <c r="E681" s="2"/>
      <c r="F681" s="2" t="s">
        <v>68</v>
      </c>
      <c r="G681" s="2"/>
      <c r="H681" s="2" t="s">
        <v>69</v>
      </c>
      <c r="J681" s="2" t="s">
        <v>68</v>
      </c>
      <c r="M681" s="2" t="s">
        <v>68</v>
      </c>
      <c r="N681" s="2" t="s">
        <v>69</v>
      </c>
      <c r="O681" s="2" t="s">
        <v>68</v>
      </c>
      <c r="P681" s="2" t="s">
        <v>69</v>
      </c>
      <c r="Q681" s="2" t="s">
        <v>68</v>
      </c>
      <c r="R681" s="2" t="s">
        <v>69</v>
      </c>
      <c r="S681" s="2" t="s">
        <v>68</v>
      </c>
      <c r="T681" s="2" t="s">
        <v>69</v>
      </c>
      <c r="U681" s="2" t="s">
        <v>68</v>
      </c>
      <c r="V681" s="2" t="s">
        <v>69</v>
      </c>
      <c r="X681" s="2" t="s">
        <v>71</v>
      </c>
      <c r="Y681" s="2" t="s">
        <v>72</v>
      </c>
      <c r="Z681" s="2" t="s">
        <v>73</v>
      </c>
      <c r="AC681" s="2" t="s">
        <v>88</v>
      </c>
      <c r="AD681" s="2" t="s">
        <v>89</v>
      </c>
      <c r="AE681" s="2" t="s">
        <v>88</v>
      </c>
      <c r="AF681" s="2" t="s">
        <v>89</v>
      </c>
      <c r="AG681" s="2" t="s">
        <v>97</v>
      </c>
      <c r="AH681" s="2" t="s">
        <v>98</v>
      </c>
      <c r="AJ681" s="2" t="s">
        <v>88</v>
      </c>
      <c r="AK681" s="2" t="s">
        <v>89</v>
      </c>
      <c r="AL681" s="2" t="s">
        <v>88</v>
      </c>
      <c r="AM681" s="2" t="s">
        <v>89</v>
      </c>
      <c r="AN681" s="2" t="s">
        <v>100</v>
      </c>
      <c r="AO681" s="2" t="s">
        <v>99</v>
      </c>
      <c r="AQ681" s="2" t="s">
        <v>88</v>
      </c>
      <c r="AR681" s="2" t="s">
        <v>89</v>
      </c>
      <c r="AT681" s="2" t="s">
        <v>88</v>
      </c>
      <c r="AU681" s="2" t="s">
        <v>89</v>
      </c>
      <c r="AV681" s="2" t="s">
        <v>69</v>
      </c>
      <c r="AW681" s="2" t="s">
        <v>88</v>
      </c>
      <c r="AX681" s="2" t="s">
        <v>89</v>
      </c>
      <c r="AY681" s="2" t="s">
        <v>69</v>
      </c>
      <c r="BA681" s="2" t="s">
        <v>437</v>
      </c>
      <c r="BB681" s="2" t="s">
        <v>435</v>
      </c>
      <c r="BC681" s="2" t="s">
        <v>436</v>
      </c>
      <c r="BF681" s="2" t="s">
        <v>71</v>
      </c>
      <c r="BG681" s="2" t="s">
        <v>72</v>
      </c>
      <c r="BH681" s="2" t="s">
        <v>104</v>
      </c>
    </row>
    <row r="682" spans="1:69" x14ac:dyDescent="0.25">
      <c r="A682">
        <f>Fesr</f>
        <v>120571.9267225427</v>
      </c>
      <c r="B682">
        <f t="shared" ref="B682:B692" si="591">A682/1000</f>
        <v>120.5719267225427</v>
      </c>
      <c r="C682">
        <f t="shared" ref="C682:C686" si="592">SQRT((A682/Fesr)^2+1)</f>
        <v>1.4142135623730951</v>
      </c>
      <c r="D682">
        <f t="shared" ref="D682:D686" si="593">ATAN(A682/Fesr)</f>
        <v>0.78539816339744828</v>
      </c>
      <c r="F682">
        <f t="shared" ref="F682:F687" si="594">(Ro/(Ro+Rdcr))/SQRT((A682/(Q*Fo))^2+(1-(A682^2/Fo^2))^2)</f>
        <v>1.765992829999019E-3</v>
      </c>
      <c r="G682">
        <f t="shared" ref="G682:G687" si="595">-ATAN(A682*Fo/(Q*(Fo^2-A682^2)))</f>
        <v>1.4307611662482494E-2</v>
      </c>
      <c r="H682">
        <f t="shared" ref="H682:H687" si="596">IF(G682&gt;0,G682-Pi,G682)</f>
        <v>-3.1272850383375177</v>
      </c>
      <c r="J682">
        <f t="shared" ref="J682:J688" si="597">Vin/Vramp</f>
        <v>15</v>
      </c>
      <c r="M682">
        <f t="shared" ref="M682:M687" si="598">1/(2*Pi*_Rfb1*(Cc1ea_u+Cc2ea_u)*A682)</f>
        <v>1.239180638741293E-2</v>
      </c>
      <c r="N682">
        <f t="shared" ref="N682:N688" si="599">-Pi/2</f>
        <v>-1.5707963250000001</v>
      </c>
      <c r="O682">
        <f t="shared" ref="O682:O687" si="600">SQRT(1+(A682/Fz1_u)^2)</f>
        <v>30.851059642799346</v>
      </c>
      <c r="P682">
        <f t="shared" ref="P682:P687" si="601">ATAN(A682/Fz1_u)</f>
        <v>1.5383768506580182</v>
      </c>
      <c r="Q682">
        <f t="shared" ref="Q682:Q687" si="602">SQRT(1+(A682/Fz2_u)^2)</f>
        <v>26.116879001933842</v>
      </c>
      <c r="R682">
        <f t="shared" ref="R682:R687" si="603">ATAN(A682/Fz2_u)</f>
        <v>1.5324975504437117</v>
      </c>
      <c r="S682">
        <f t="shared" ref="S682:S687" si="604">1/SQRT(1+(A682/Fp1_u)^2)</f>
        <v>0.7127536826366675</v>
      </c>
      <c r="T682">
        <f t="shared" ref="T682:T687" si="605">-ATAN(A682/Fp1_u)</f>
        <v>-0.77738000762718584</v>
      </c>
      <c r="U682">
        <f t="shared" ref="U682:U687" si="606">1/SQRT(1+(A682/Fp2_u)^2)</f>
        <v>0.7932209278926009</v>
      </c>
      <c r="V682">
        <f t="shared" ref="V682:V687" si="607">-ATAN(A682/Fp2_u)</f>
        <v>-0.6547159498300319</v>
      </c>
      <c r="X682">
        <f t="shared" ref="X682:X686" si="608">20*LOG(C682*J682*O682*Q682*F682*M682*S682*U682)</f>
        <v>-13.494903834588911</v>
      </c>
      <c r="Y682">
        <f t="shared" ref="Y682:Y686" si="609">(180/Pi)*(D682+H682+N682+P682+R682+T682+V682)</f>
        <v>-130.28514569933191</v>
      </c>
      <c r="Z682">
        <f t="shared" ref="Z682:Z687" si="610">Y682+180</f>
        <v>49.714854300668094</v>
      </c>
      <c r="AC682">
        <v>1</v>
      </c>
      <c r="AD682">
        <f t="shared" ref="AD682:AD687" si="611">Rcea1_u*Cc1ea_u*A682*2*Pi</f>
        <v>30.834848484848479</v>
      </c>
      <c r="AE682">
        <f t="shared" ref="AE682:AE687" si="612">-Rcea1_u*Cc1ea_u*Cc2ea_u*(A682*2*Pi)^2</f>
        <v>-2.8031680440771352E-3</v>
      </c>
      <c r="AF682">
        <f t="shared" ref="AF682:AF687" si="613">(Cc2ea_u+Cc1ea_u)*A682*2*Pi</f>
        <v>3.6515151515151508E-3</v>
      </c>
      <c r="AG682">
        <f t="shared" ref="AG682:AG687" si="614">AC682*AE682/(AE682^2+AF682^2)+AD682*AF682/(AE682^2+AF682^2)</f>
        <v>5180.93160576644</v>
      </c>
      <c r="AH682">
        <f t="shared" ref="AH682:AH687" si="615">AD682*AE682/(AE682^2+AF682^2)-AC682*AF682/(AE682^2+AF682^2)</f>
        <v>-4251.1180350416016</v>
      </c>
      <c r="AJ682">
        <f t="shared" ref="AJ682:AJ688" si="616">_Rfb1</f>
        <v>22100</v>
      </c>
      <c r="AK682">
        <f t="shared" ref="AK682:AK687" si="617">_Rfb1*Rcea2_u*Cc3ea_u*A682*2*Pi</f>
        <v>21748.409090909088</v>
      </c>
      <c r="AL682">
        <v>1</v>
      </c>
      <c r="AM682">
        <f t="shared" ref="AM682:AM687" si="618">(_Rfb1+Rcea2_u)*Cc3ea_u*A682*2*Pi</f>
        <v>26.097727272727273</v>
      </c>
      <c r="AN682">
        <f t="shared" ref="AN682:AN687" si="619">AJ682*AL682/(AL682^2+AM682^2)+AK682*AM682/(AL682^2+AM682^2)</f>
        <v>864.52354631938431</v>
      </c>
      <c r="AO682">
        <f t="shared" ref="AO682:AO687" si="620">AK682*AL682/(AL682^2+AM682^2)-AJ682*AM682/(AL682^2+AM682^2)</f>
        <v>-813.69064178520171</v>
      </c>
      <c r="AQ682">
        <f t="shared" ref="AQ682:AQ687" si="621">Eadcg/(1+(Eadcg*A682/GBP)^2)</f>
        <v>0.17196502944358741</v>
      </c>
      <c r="AR682">
        <f t="shared" ref="AR682:AR687" si="622">-(A682*Eadcg*Eadcg/GBP)/(1+(Eadcg*A682/GBP)^2)</f>
        <v>-41.468309857824238</v>
      </c>
      <c r="AT682">
        <f t="shared" ref="AT682:AT687" si="623">-AR682*AH682+AG682*AQ682</f>
        <v>-175395.74086315924</v>
      </c>
      <c r="AU682">
        <f t="shared" ref="AU682:AU687" si="624">AQ682*AH682+AG682*AR682</f>
        <v>-215575.52081818171</v>
      </c>
      <c r="AV682">
        <f t="shared" ref="AV682:AV687" si="625">IF(AT682&lt;0,ATAN(AU682/AT682)+Pi,ATAN(AU682/AT682))</f>
        <v>4.0294004293550838</v>
      </c>
      <c r="AW682">
        <f t="shared" ref="AW682:AW687" si="626">AG682-AH682*AO682/_Rfb2+AG682*AN682/_Rfb2+AN682-AO682*AR682+AQ682*AN682</f>
        <v>-27300.189778064843</v>
      </c>
      <c r="AX682">
        <f t="shared" ref="AX682:AX687" si="627">AH682+AH682*AN682/_Rfb2+AG682*AO682/_Rfb2+AO682+AO682*AQ682+AN682*AR682</f>
        <v>-42974.224188670036</v>
      </c>
      <c r="AY682">
        <f t="shared" ref="AY682:AY687" si="628">IF(AW682&lt;0,ATAN(AX682/AW682)+Pi,ATAN(AX682/AW682))</f>
        <v>4.1464393130306032</v>
      </c>
      <c r="BA682">
        <f t="shared" ref="BA682:BA687" si="629">SQRT(AT682^2+AU682^2)/SQRT(AW682^2+AX682^2)</f>
        <v>5.4586676107250538</v>
      </c>
      <c r="BB682">
        <f t="shared" ref="BB682:BB687" si="630">20*LOG(BA682)</f>
        <v>14.741733000891557</v>
      </c>
      <c r="BC682">
        <f t="shared" ref="BC682:BC687" si="631">AV682-AY682</f>
        <v>-0.1170388836755194</v>
      </c>
      <c r="BD682">
        <f t="shared" ref="BD682:BD687" si="632">BC682*180/Pi</f>
        <v>-6.705834081192382</v>
      </c>
      <c r="BF682">
        <f t="shared" ref="BF682:BF686" si="633">20*LOG(BA682*J682*F682*C682)</f>
        <v>-13.78636314150909</v>
      </c>
      <c r="BG682">
        <f t="shared" ref="BG682:BG686" si="634">(180/Pi)*(D682+H682+BC682)</f>
        <v>-140.88606826566325</v>
      </c>
      <c r="BH682">
        <f t="shared" ref="BH682:BH687" si="635">IF(BG682&gt;180,BG682-180,BG682+180)</f>
        <v>39.113931734336745</v>
      </c>
      <c r="BI682">
        <f t="shared" ref="BI682:BI687" si="636">IF(BH682&gt;180,BH682-360,BH682)</f>
        <v>39.113931734336745</v>
      </c>
    </row>
    <row r="683" spans="1:69" x14ac:dyDescent="0.25">
      <c r="A683">
        <f>Fo+1</f>
        <v>5078.5136278873315</v>
      </c>
      <c r="B683">
        <f t="shared" si="591"/>
        <v>5.0785136278873315</v>
      </c>
      <c r="C683">
        <f t="shared" si="592"/>
        <v>1.0008866625248121</v>
      </c>
      <c r="D683">
        <f t="shared" si="593"/>
        <v>4.2095317509078183E-2</v>
      </c>
      <c r="F683">
        <f t="shared" si="594"/>
        <v>2.9305281350548764</v>
      </c>
      <c r="G683">
        <f t="shared" si="595"/>
        <v>1.569635105673659</v>
      </c>
      <c r="H683">
        <f t="shared" si="596"/>
        <v>-1.5719575443263412</v>
      </c>
      <c r="J683">
        <f t="shared" si="597"/>
        <v>15</v>
      </c>
      <c r="M683">
        <f t="shared" si="598"/>
        <v>0.29420103620449228</v>
      </c>
      <c r="N683">
        <f t="shared" si="599"/>
        <v>-1.5707963250000001</v>
      </c>
      <c r="O683">
        <f t="shared" si="600"/>
        <v>1.6391471708558201</v>
      </c>
      <c r="P683">
        <f t="shared" si="601"/>
        <v>0.91464317021458941</v>
      </c>
      <c r="Q683">
        <f t="shared" si="602"/>
        <v>1.4860457056480609</v>
      </c>
      <c r="R683">
        <f t="shared" si="603"/>
        <v>0.83263791697008249</v>
      </c>
      <c r="S683">
        <f t="shared" si="604"/>
        <v>0.9991420497559379</v>
      </c>
      <c r="T683">
        <f t="shared" si="605"/>
        <v>-4.1426391392626639E-2</v>
      </c>
      <c r="U683">
        <f t="shared" si="606"/>
        <v>0.99947764889839308</v>
      </c>
      <c r="V683">
        <f t="shared" si="607"/>
        <v>-3.2323260449856492E-2</v>
      </c>
      <c r="X683">
        <f t="shared" si="608"/>
        <v>29.962333867971335</v>
      </c>
      <c r="Y683">
        <f t="shared" si="609"/>
        <v>-81.768360696130785</v>
      </c>
      <c r="Z683">
        <f t="shared" si="610"/>
        <v>98.231639303869215</v>
      </c>
      <c r="AC683">
        <v>1</v>
      </c>
      <c r="AD683">
        <f t="shared" si="611"/>
        <v>1.2987699749088131</v>
      </c>
      <c r="AE683">
        <f t="shared" si="612"/>
        <v>-4.9731318787026855E-6</v>
      </c>
      <c r="AF683">
        <f t="shared" si="613"/>
        <v>1.538025472718903E-4</v>
      </c>
      <c r="AG683">
        <f t="shared" si="614"/>
        <v>8225.564353726546</v>
      </c>
      <c r="AH683">
        <f t="shared" si="615"/>
        <v>-6767.8125932968806</v>
      </c>
      <c r="AJ683">
        <f t="shared" si="616"/>
        <v>22100</v>
      </c>
      <c r="AK683">
        <f t="shared" si="617"/>
        <v>916.04733336653533</v>
      </c>
      <c r="AL683">
        <v>1</v>
      </c>
      <c r="AM683">
        <f t="shared" si="618"/>
        <v>1.0992414836035995</v>
      </c>
      <c r="AN683">
        <f t="shared" si="619"/>
        <v>10463.534881318637</v>
      </c>
      <c r="AO683">
        <f t="shared" si="620"/>
        <v>-10585.904273312179</v>
      </c>
      <c r="AQ683">
        <f t="shared" si="621"/>
        <v>96.001349234097873</v>
      </c>
      <c r="AR683">
        <f t="shared" si="622"/>
        <v>-975.08832076187412</v>
      </c>
      <c r="AT683">
        <f t="shared" si="623"/>
        <v>-5809549.7406592714</v>
      </c>
      <c r="AU683">
        <f t="shared" si="624"/>
        <v>-8670370.8733139671</v>
      </c>
      <c r="AV683">
        <f t="shared" si="625"/>
        <v>4.122050289804557</v>
      </c>
      <c r="AW683">
        <f t="shared" si="626"/>
        <v>-9295480.6978592221</v>
      </c>
      <c r="AX683">
        <f t="shared" si="627"/>
        <v>-11274886.383137498</v>
      </c>
      <c r="AY683">
        <f t="shared" si="628"/>
        <v>4.0229215271709862</v>
      </c>
      <c r="BA683">
        <f t="shared" si="629"/>
        <v>0.71422939020062026</v>
      </c>
      <c r="BB683">
        <f t="shared" si="630"/>
        <v>-2.9232456552721442</v>
      </c>
      <c r="BC683">
        <f t="shared" si="631"/>
        <v>9.9128762633570844E-2</v>
      </c>
      <c r="BD683">
        <f t="shared" si="632"/>
        <v>5.6796597337477062</v>
      </c>
      <c r="BF683">
        <f t="shared" si="633"/>
        <v>29.945195471576614</v>
      </c>
      <c r="BG683">
        <f t="shared" si="634"/>
        <v>-81.974989199527371</v>
      </c>
      <c r="BH683">
        <f t="shared" si="635"/>
        <v>98.025010800472629</v>
      </c>
      <c r="BI683">
        <f t="shared" si="636"/>
        <v>98.025010800472629</v>
      </c>
    </row>
    <row r="684" spans="1:69" x14ac:dyDescent="0.25">
      <c r="A684">
        <f>Fz1_u</f>
        <v>3910.248716862965</v>
      </c>
      <c r="B684">
        <f t="shared" si="591"/>
        <v>3.9102487168629652</v>
      </c>
      <c r="C684">
        <f t="shared" si="592"/>
        <v>1.0005257414499322</v>
      </c>
      <c r="D684">
        <f t="shared" si="593"/>
        <v>3.241947613687849E-2</v>
      </c>
      <c r="F684">
        <f t="shared" si="594"/>
        <v>2.0559595140848357</v>
      </c>
      <c r="G684">
        <f t="shared" si="595"/>
        <v>-0.57064748256865105</v>
      </c>
      <c r="H684">
        <f t="shared" si="596"/>
        <v>-0.57064748256865105</v>
      </c>
      <c r="J684">
        <f t="shared" si="597"/>
        <v>15</v>
      </c>
      <c r="M684">
        <f t="shared" si="598"/>
        <v>0.38209947240945524</v>
      </c>
      <c r="N684">
        <f t="shared" si="599"/>
        <v>-1.5707963250000001</v>
      </c>
      <c r="O684">
        <f t="shared" si="600"/>
        <v>1.4142135623730951</v>
      </c>
      <c r="P684">
        <f t="shared" si="601"/>
        <v>0.78539816339744828</v>
      </c>
      <c r="Q684">
        <f t="shared" si="602"/>
        <v>1.3100931966727383</v>
      </c>
      <c r="R684">
        <f t="shared" si="603"/>
        <v>0.70238357442486143</v>
      </c>
      <c r="S684">
        <f t="shared" si="604"/>
        <v>0.9994911085022854</v>
      </c>
      <c r="T684">
        <f t="shared" si="605"/>
        <v>-3.1904064485022428E-2</v>
      </c>
      <c r="U684">
        <f t="shared" si="606"/>
        <v>0.99969023197439488</v>
      </c>
      <c r="V684">
        <f t="shared" si="607"/>
        <v>-2.4891123704300886E-2</v>
      </c>
      <c r="X684">
        <f t="shared" si="608"/>
        <v>26.779441895196243</v>
      </c>
      <c r="Y684">
        <f t="shared" si="609"/>
        <v>-38.84870329187379</v>
      </c>
      <c r="Z684">
        <f t="shared" si="610"/>
        <v>141.15129670812621</v>
      </c>
      <c r="AC684">
        <v>1</v>
      </c>
      <c r="AD684">
        <f t="shared" si="611"/>
        <v>1.0000000000000002</v>
      </c>
      <c r="AE684">
        <f t="shared" si="612"/>
        <v>-2.9482580708564697E-6</v>
      </c>
      <c r="AF684">
        <f t="shared" si="613"/>
        <v>1.1842169917940152E-4</v>
      </c>
      <c r="AG684">
        <f t="shared" si="614"/>
        <v>8229.0637851231131</v>
      </c>
      <c r="AH684">
        <f t="shared" si="615"/>
        <v>-8649.2712975549293</v>
      </c>
      <c r="AJ684">
        <f t="shared" si="616"/>
        <v>22100</v>
      </c>
      <c r="AK684">
        <f t="shared" si="617"/>
        <v>705.31914893617045</v>
      </c>
      <c r="AL684">
        <v>1</v>
      </c>
      <c r="AM684">
        <f t="shared" si="618"/>
        <v>0.84637118569112091</v>
      </c>
      <c r="AN684">
        <f t="shared" si="619"/>
        <v>13224.015332344532</v>
      </c>
      <c r="AO684">
        <f t="shared" si="620"/>
        <v>-10487.106387497834</v>
      </c>
      <c r="AQ684">
        <f t="shared" si="621"/>
        <v>160.87469473474442</v>
      </c>
      <c r="AR684">
        <f t="shared" si="622"/>
        <v>-1258.1201373245112</v>
      </c>
      <c r="AT684">
        <f t="shared" si="623"/>
        <v>-9557974.2682523392</v>
      </c>
      <c r="AU684">
        <f t="shared" si="624"/>
        <v>-11744599.73906339</v>
      </c>
      <c r="AV684">
        <f t="shared" si="625"/>
        <v>4.029278643510688</v>
      </c>
      <c r="AW684">
        <f t="shared" si="626"/>
        <v>-11040771.315608602</v>
      </c>
      <c r="AX684">
        <f t="shared" si="627"/>
        <v>-18392453.631047815</v>
      </c>
      <c r="AY684">
        <f t="shared" si="628"/>
        <v>4.171757654379185</v>
      </c>
      <c r="BA684">
        <f t="shared" si="629"/>
        <v>0.70587645005587807</v>
      </c>
      <c r="BB684">
        <f t="shared" si="630"/>
        <v>-3.0254261419812045</v>
      </c>
      <c r="BC684">
        <f t="shared" si="631"/>
        <v>-0.14247901086849701</v>
      </c>
      <c r="BD684">
        <f t="shared" si="632"/>
        <v>-8.1634460012915611</v>
      </c>
      <c r="BF684">
        <f t="shared" si="633"/>
        <v>26.761255537134939</v>
      </c>
      <c r="BG684">
        <f t="shared" si="634"/>
        <v>-39.001639220810027</v>
      </c>
      <c r="BH684">
        <f t="shared" si="635"/>
        <v>140.99836077918997</v>
      </c>
      <c r="BI684">
        <f t="shared" si="636"/>
        <v>140.99836077918997</v>
      </c>
    </row>
    <row r="685" spans="1:69" x14ac:dyDescent="0.25">
      <c r="A685">
        <f>Fz2_u</f>
        <v>4620.016350946511</v>
      </c>
      <c r="B685">
        <f t="shared" si="591"/>
        <v>4.6200163509465106</v>
      </c>
      <c r="C685">
        <f t="shared" si="592"/>
        <v>1.0007338466298781</v>
      </c>
      <c r="D685">
        <f t="shared" si="593"/>
        <v>3.8298776351184997E-2</v>
      </c>
      <c r="F685">
        <f t="shared" si="594"/>
        <v>2.8135128634920838</v>
      </c>
      <c r="G685">
        <f t="shared" si="595"/>
        <v>-1.0621258930994908</v>
      </c>
      <c r="H685">
        <f t="shared" si="596"/>
        <v>-1.0621258930994908</v>
      </c>
      <c r="J685">
        <f t="shared" si="597"/>
        <v>15</v>
      </c>
      <c r="M685">
        <f t="shared" si="598"/>
        <v>0.32339798351514243</v>
      </c>
      <c r="N685">
        <f t="shared" si="599"/>
        <v>-1.5707963250000001</v>
      </c>
      <c r="O685">
        <f t="shared" si="600"/>
        <v>1.5478943740304154</v>
      </c>
      <c r="P685">
        <f t="shared" si="601"/>
        <v>0.86841275237003512</v>
      </c>
      <c r="Q685">
        <f t="shared" si="602"/>
        <v>1.4142135623730951</v>
      </c>
      <c r="R685">
        <f t="shared" si="603"/>
        <v>0.78539816339744828</v>
      </c>
      <c r="S685">
        <f t="shared" si="604"/>
        <v>0.99928981379727577</v>
      </c>
      <c r="T685">
        <f t="shared" si="605"/>
        <v>-3.7690059150602258E-2</v>
      </c>
      <c r="U685">
        <f t="shared" si="606"/>
        <v>0.99956765050184082</v>
      </c>
      <c r="V685">
        <f t="shared" si="607"/>
        <v>-2.9406824245388288E-2</v>
      </c>
      <c r="X685">
        <f t="shared" si="608"/>
        <v>29.503120658139977</v>
      </c>
      <c r="Y685">
        <f t="shared" si="609"/>
        <v>-57.74895535480271</v>
      </c>
      <c r="Z685">
        <f t="shared" si="610"/>
        <v>122.25104464519728</v>
      </c>
      <c r="AC685">
        <v>1</v>
      </c>
      <c r="AD685">
        <f t="shared" si="611"/>
        <v>1.1815147028941331</v>
      </c>
      <c r="AE685">
        <f t="shared" si="612"/>
        <v>-4.1157004367992092E-6</v>
      </c>
      <c r="AF685">
        <f t="shared" si="613"/>
        <v>1.3991697872216898E-4</v>
      </c>
      <c r="AG685">
        <f t="shared" si="614"/>
        <v>8227.0458221996996</v>
      </c>
      <c r="AH685">
        <f t="shared" si="615"/>
        <v>-7389.0964879745907</v>
      </c>
      <c r="AJ685">
        <f t="shared" si="616"/>
        <v>22100</v>
      </c>
      <c r="AK685">
        <f t="shared" si="617"/>
        <v>833.34494470086213</v>
      </c>
      <c r="AL685">
        <v>1</v>
      </c>
      <c r="AM685">
        <f t="shared" si="618"/>
        <v>1</v>
      </c>
      <c r="AN685">
        <f t="shared" si="619"/>
        <v>11466.67247235043</v>
      </c>
      <c r="AO685">
        <f t="shared" si="620"/>
        <v>-10633.32752764957</v>
      </c>
      <c r="AQ685">
        <f t="shared" si="621"/>
        <v>115.76994540843084</v>
      </c>
      <c r="AR685">
        <f t="shared" si="622"/>
        <v>-1069.718081470271</v>
      </c>
      <c r="AT685">
        <f t="shared" si="623"/>
        <v>-6951805.4732061783</v>
      </c>
      <c r="AU685">
        <f t="shared" si="624"/>
        <v>-9656054.9701219182</v>
      </c>
      <c r="AV685">
        <f t="shared" si="625"/>
        <v>4.0884037174112091</v>
      </c>
      <c r="AW685">
        <f t="shared" si="626"/>
        <v>-10023638.429009179</v>
      </c>
      <c r="AX685">
        <f t="shared" si="627"/>
        <v>-13557032.514024882</v>
      </c>
      <c r="AY685">
        <f t="shared" si="628"/>
        <v>4.0757270301125192</v>
      </c>
      <c r="BA685">
        <f t="shared" si="629"/>
        <v>0.70569688539398601</v>
      </c>
      <c r="BB685">
        <f t="shared" si="630"/>
        <v>-3.0276359865643157</v>
      </c>
      <c r="BC685">
        <f t="shared" si="631"/>
        <v>1.267668729868987E-2</v>
      </c>
      <c r="BD685">
        <f t="shared" si="632"/>
        <v>0.72632068125196836</v>
      </c>
      <c r="BF685">
        <f t="shared" si="633"/>
        <v>29.485539069843366</v>
      </c>
      <c r="BG685">
        <f t="shared" si="634"/>
        <v>-57.934652126503678</v>
      </c>
      <c r="BH685">
        <f t="shared" si="635"/>
        <v>122.06534787349632</v>
      </c>
      <c r="BI685">
        <f t="shared" si="636"/>
        <v>122.06534787349632</v>
      </c>
    </row>
    <row r="686" spans="1:69" x14ac:dyDescent="0.25">
      <c r="A686">
        <f>Fp1_u</f>
        <v>122521.12646170623</v>
      </c>
      <c r="B686">
        <f t="shared" si="591"/>
        <v>122.52112646170623</v>
      </c>
      <c r="C686">
        <f t="shared" si="592"/>
        <v>1.4256906789960371</v>
      </c>
      <c r="D686">
        <f t="shared" si="593"/>
        <v>0.79341631916771083</v>
      </c>
      <c r="F686">
        <f t="shared" si="594"/>
        <v>1.7101587633222405E-3</v>
      </c>
      <c r="G686">
        <f t="shared" si="595"/>
        <v>1.4079231471381933E-2</v>
      </c>
      <c r="H686">
        <f t="shared" si="596"/>
        <v>-3.1275134185286184</v>
      </c>
      <c r="J686">
        <f t="shared" si="597"/>
        <v>15</v>
      </c>
      <c r="M686">
        <f t="shared" si="598"/>
        <v>1.2194664013067721E-2</v>
      </c>
      <c r="N686">
        <f t="shared" si="599"/>
        <v>-1.5707963250000001</v>
      </c>
      <c r="O686">
        <f t="shared" si="600"/>
        <v>31.349286718803949</v>
      </c>
      <c r="P686">
        <f t="shared" si="601"/>
        <v>1.5388922623098742</v>
      </c>
      <c r="Q686">
        <f t="shared" si="602"/>
        <v>26.538477745724776</v>
      </c>
      <c r="R686">
        <f t="shared" si="603"/>
        <v>1.5331062676442944</v>
      </c>
      <c r="S686">
        <f t="shared" si="604"/>
        <v>0.70710678118654746</v>
      </c>
      <c r="T686">
        <f t="shared" si="605"/>
        <v>-0.78539816339744828</v>
      </c>
      <c r="U686">
        <f t="shared" si="606"/>
        <v>0.78847057285614774</v>
      </c>
      <c r="V686">
        <f t="shared" si="607"/>
        <v>-0.66247788809582331</v>
      </c>
      <c r="X686">
        <f t="shared" si="608"/>
        <v>-13.686059959873884</v>
      </c>
      <c r="Y686">
        <f t="shared" si="609"/>
        <v>-130.67854938545327</v>
      </c>
      <c r="Z686">
        <f t="shared" si="610"/>
        <v>49.321450614546734</v>
      </c>
      <c r="AC686">
        <v>1</v>
      </c>
      <c r="AD686">
        <f t="shared" si="611"/>
        <v>31.333333333333332</v>
      </c>
      <c r="AE686">
        <f t="shared" si="612"/>
        <v>-2.8945342571208626E-3</v>
      </c>
      <c r="AF686">
        <f t="shared" si="613"/>
        <v>3.7105465742879136E-3</v>
      </c>
      <c r="AG686">
        <f t="shared" si="614"/>
        <v>5119.0634198554981</v>
      </c>
      <c r="AH686">
        <f t="shared" si="615"/>
        <v>-4262.7963607171532</v>
      </c>
      <c r="AJ686">
        <f t="shared" si="616"/>
        <v>22100</v>
      </c>
      <c r="AK686">
        <f t="shared" si="617"/>
        <v>22100.000000000004</v>
      </c>
      <c r="AL686">
        <v>1</v>
      </c>
      <c r="AM686">
        <f t="shared" si="618"/>
        <v>26.519630484988458</v>
      </c>
      <c r="AN686">
        <f t="shared" si="619"/>
        <v>863.54078855297769</v>
      </c>
      <c r="AO686">
        <f t="shared" si="620"/>
        <v>-800.78262114051722</v>
      </c>
      <c r="AQ686">
        <f t="shared" si="621"/>
        <v>0.16653702947501911</v>
      </c>
      <c r="AR686">
        <f t="shared" si="622"/>
        <v>-40.808608897731432</v>
      </c>
      <c r="AT686">
        <f t="shared" si="623"/>
        <v>-173106.27587954223</v>
      </c>
      <c r="AU686">
        <f t="shared" si="624"/>
        <v>-209611.77046673733</v>
      </c>
      <c r="AV686">
        <f t="shared" si="625"/>
        <v>4.0220879304120576</v>
      </c>
      <c r="AW686">
        <f t="shared" si="626"/>
        <v>-26307.506847953864</v>
      </c>
      <c r="AX686">
        <f t="shared" si="627"/>
        <v>-42329.118293486317</v>
      </c>
      <c r="AY686">
        <f t="shared" si="628"/>
        <v>4.1563111599720166</v>
      </c>
      <c r="BA686">
        <f t="shared" si="629"/>
        <v>5.4546757210569039</v>
      </c>
      <c r="BB686">
        <f t="shared" si="630"/>
        <v>14.735378740130736</v>
      </c>
      <c r="BC686">
        <f t="shared" si="631"/>
        <v>-0.13422322955995902</v>
      </c>
      <c r="BD686">
        <f t="shared" si="632"/>
        <v>-7.6904245751888372</v>
      </c>
      <c r="BF686">
        <f t="shared" si="633"/>
        <v>-14.001561270302968</v>
      </c>
      <c r="BG686">
        <f t="shared" si="634"/>
        <v>-141.42433749510968</v>
      </c>
      <c r="BH686">
        <f t="shared" si="635"/>
        <v>38.575662504890317</v>
      </c>
      <c r="BI686">
        <f t="shared" si="636"/>
        <v>38.575662504890317</v>
      </c>
    </row>
    <row r="687" spans="1:69" x14ac:dyDescent="0.25">
      <c r="A687">
        <f>Fp2_u</f>
        <v>157061.65679399576</v>
      </c>
      <c r="B687">
        <f t="shared" si="591"/>
        <v>157.06165679399575</v>
      </c>
      <c r="C687">
        <f>SQRT((A687/Fesr)^2+1)</f>
        <v>1.6422142245215565</v>
      </c>
      <c r="D687">
        <f>ATAN(A687/Fesr)</f>
        <v>0.91608037696486477</v>
      </c>
      <c r="F687">
        <f t="shared" si="594"/>
        <v>1.0400220278530428E-3</v>
      </c>
      <c r="G687">
        <f t="shared" si="595"/>
        <v>1.097586159221435E-2</v>
      </c>
      <c r="H687">
        <f t="shared" si="596"/>
        <v>-3.130616788407786</v>
      </c>
      <c r="J687">
        <f t="shared" si="597"/>
        <v>15</v>
      </c>
      <c r="M687">
        <f t="shared" si="598"/>
        <v>9.5128499355051112E-3</v>
      </c>
      <c r="N687">
        <f t="shared" si="599"/>
        <v>-1.5707963250000001</v>
      </c>
      <c r="O687">
        <f t="shared" si="600"/>
        <v>40.179112871131323</v>
      </c>
      <c r="P687">
        <f t="shared" si="601"/>
        <v>1.5459052030905958</v>
      </c>
      <c r="Q687">
        <f t="shared" si="602"/>
        <v>34.010613763719519</v>
      </c>
      <c r="R687">
        <f t="shared" si="603"/>
        <v>1.5413895025495084</v>
      </c>
      <c r="S687">
        <f t="shared" si="604"/>
        <v>0.61507248007035575</v>
      </c>
      <c r="T687">
        <f t="shared" si="605"/>
        <v>-0.90831843869907336</v>
      </c>
      <c r="U687">
        <f t="shared" si="606"/>
        <v>0.70710678118654746</v>
      </c>
      <c r="V687">
        <f t="shared" si="607"/>
        <v>-0.78539816339744828</v>
      </c>
      <c r="X687">
        <f>20*LOG(C687*J687*O687*Q687*F687*M687*S687*U687)</f>
        <v>-16.781992731248433</v>
      </c>
      <c r="Y687">
        <f>(180/Pi)*(D687+H687+N687+P687+R687+T687+V687)</f>
        <v>-137.03744625258179</v>
      </c>
      <c r="Z687">
        <f t="shared" si="610"/>
        <v>42.962553747418212</v>
      </c>
      <c r="AC687">
        <v>1</v>
      </c>
      <c r="AD687">
        <f t="shared" si="611"/>
        <v>40.166666666666671</v>
      </c>
      <c r="AE687">
        <f t="shared" si="612"/>
        <v>-4.7566049170392954E-3</v>
      </c>
      <c r="AF687">
        <f t="shared" si="613"/>
        <v>4.7566049170392937E-3</v>
      </c>
      <c r="AG687">
        <f t="shared" si="614"/>
        <v>4117.0821783371493</v>
      </c>
      <c r="AH687">
        <f t="shared" si="615"/>
        <v>-4327.3161619118137</v>
      </c>
      <c r="AJ687">
        <f t="shared" si="616"/>
        <v>22100</v>
      </c>
      <c r="AK687">
        <f t="shared" si="617"/>
        <v>28330.319148936178</v>
      </c>
      <c r="AL687">
        <v>1</v>
      </c>
      <c r="AM687">
        <f t="shared" si="618"/>
        <v>33.995909291926694</v>
      </c>
      <c r="AN687">
        <f t="shared" si="619"/>
        <v>851.73022468957856</v>
      </c>
      <c r="AO687">
        <f t="shared" si="620"/>
        <v>-625.02431080307747</v>
      </c>
      <c r="AQ687">
        <f t="shared" si="621"/>
        <v>0.10134335056139189</v>
      </c>
      <c r="AR687">
        <f t="shared" si="622"/>
        <v>-31.83430908845386</v>
      </c>
      <c r="AT687">
        <f t="shared" si="623"/>
        <v>-137339.88131927326</v>
      </c>
      <c r="AU687">
        <f t="shared" si="624"/>
        <v>-131503.01132653633</v>
      </c>
      <c r="AV687">
        <f t="shared" si="625"/>
        <v>3.9052831421101373</v>
      </c>
      <c r="AW687">
        <f t="shared" si="626"/>
        <v>-14647.039323293222</v>
      </c>
      <c r="AX687">
        <f t="shared" si="627"/>
        <v>-33652.189586663873</v>
      </c>
      <c r="AY687">
        <f t="shared" si="628"/>
        <v>4.3018705227397049</v>
      </c>
      <c r="BA687">
        <f t="shared" si="629"/>
        <v>5.1808520458174883</v>
      </c>
      <c r="BB687">
        <f t="shared" si="630"/>
        <v>14.288023798637488</v>
      </c>
      <c r="BC687">
        <f t="shared" si="631"/>
        <v>-0.39658738062956767</v>
      </c>
      <c r="BD687">
        <f t="shared" si="632"/>
        <v>-22.72278314418713</v>
      </c>
      <c r="BF687">
        <f>20*LOG(BA687*J687*F687*C687)</f>
        <v>-17.540704072035748</v>
      </c>
      <c r="BG687">
        <f>(180/Pi)*(D687+H687+BC687)</f>
        <v>-149.60637324289894</v>
      </c>
      <c r="BH687">
        <f t="shared" si="635"/>
        <v>30.39362675710106</v>
      </c>
      <c r="BI687">
        <f t="shared" si="636"/>
        <v>30.39362675710106</v>
      </c>
    </row>
    <row r="688" spans="1:69" x14ac:dyDescent="0.25">
      <c r="A688">
        <f>'Bode Plots Calculations'!BK5*1000</f>
        <v>32500</v>
      </c>
      <c r="B688">
        <f t="shared" si="591"/>
        <v>32.5</v>
      </c>
      <c r="C688">
        <f>SQRT((A688/Fesr)^2+1)</f>
        <v>1.0356913026463006</v>
      </c>
      <c r="D688">
        <f>ATAN(A688/Fesr)</f>
        <v>0.26329110384844784</v>
      </c>
      <c r="F688">
        <f t="shared" ref="F688" si="637">(Ro/(Ro+Rdcr))/SQRT((A688/(Q*Fo))^2+(1-(A688^2/Fo^2))^2)</f>
        <v>2.4835927543769214E-2</v>
      </c>
      <c r="G688">
        <f t="shared" ref="G688" si="638">-ATAN(A688*Fo/(Q*(Fo^2-A688^2)))</f>
        <v>5.4261784761113777E-2</v>
      </c>
      <c r="H688">
        <f t="shared" ref="H688" si="639">IF(G688&gt;0,G688-Pi,G688)</f>
        <v>-3.0873308652388864</v>
      </c>
      <c r="J688">
        <f t="shared" si="597"/>
        <v>15</v>
      </c>
      <c r="M688">
        <f t="shared" ref="M688" si="640">1/(2*Pi*_Rfb1*(Cc1ea_u+Cc2ea_u)*A688)</f>
        <v>4.5972429898556565E-2</v>
      </c>
      <c r="N688">
        <f t="shared" si="599"/>
        <v>-1.5707963250000001</v>
      </c>
      <c r="O688">
        <f t="shared" ref="O688" si="641">SQRT(1+(A688/Fz1_u)^2)</f>
        <v>8.3714332894727033</v>
      </c>
      <c r="P688">
        <f t="shared" ref="P688" si="642">ATAN(A688/Fz1_u)</f>
        <v>1.4510565437568246</v>
      </c>
      <c r="Q688">
        <f t="shared" ref="Q688" si="643">SQRT(1+(A688/Fz2_u)^2)</f>
        <v>7.1053288161677219</v>
      </c>
      <c r="R688">
        <f t="shared" ref="R688" si="644">ATAN(A688/Fz2_u)</f>
        <v>1.4295880775794358</v>
      </c>
      <c r="S688">
        <f t="shared" ref="S688" si="645">1/SQRT(1+(A688/Fp1_u)^2)</f>
        <v>0.96657251680878464</v>
      </c>
      <c r="T688">
        <f t="shared" ref="T688" si="646">-ATAN(A688/Fp1_u)</f>
        <v>-0.25928900513866554</v>
      </c>
      <c r="U688">
        <f t="shared" ref="U688" si="647">1/SQRT(1+(A688/Fp2_u)^2)</f>
        <v>0.97925487137031797</v>
      </c>
      <c r="V688">
        <f t="shared" ref="V688" si="648">-ATAN(A688/Fp2_u)</f>
        <v>-0.20404536170617243</v>
      </c>
      <c r="X688">
        <f>20*LOG(C688*J688*O688*Q688*F688*M688*S688*U688)</f>
        <v>-1.1727675144298894E-2</v>
      </c>
      <c r="Y688">
        <f>(180/Pi)*(D688+H688+N688+P688+R688+T688+V688)</f>
        <v>-113.30388417537927</v>
      </c>
      <c r="Z688">
        <f t="shared" ref="Z688" si="649">Y688+180</f>
        <v>66.696115824620733</v>
      </c>
      <c r="AC688">
        <v>1</v>
      </c>
      <c r="AD688">
        <f t="shared" ref="AD688" si="650">Rcea1_u*Cc1ea_u*A688*2*Pi</f>
        <v>8.3114917626195002</v>
      </c>
      <c r="AE688">
        <f t="shared" ref="AE688" si="651">-Rcea1_u*Cc1ea_u*Cc2ea_u*(A688*2*Pi)^2</f>
        <v>-2.0366830716945155E-4</v>
      </c>
      <c r="AF688">
        <f t="shared" ref="AF688" si="652">(Cc2ea_u+Cc1ea_u)*A688*2*Pi</f>
        <v>9.8426097724500002E-4</v>
      </c>
      <c r="AG688">
        <f t="shared" ref="AG688" si="653">AC688*AE688/(AE688^2+AF688^2)+AD688*AF688/(AE688^2+AF688^2)</f>
        <v>7896.0704171521656</v>
      </c>
      <c r="AH688">
        <f t="shared" ref="AH688" si="654">AD688*AE688/(AE688^2+AF688^2)-AC688*AF688/(AE688^2+AF688^2)</f>
        <v>-2649.8859097844174</v>
      </c>
      <c r="AJ688">
        <f t="shared" si="616"/>
        <v>22100</v>
      </c>
      <c r="AK688">
        <f t="shared" ref="AK688" si="655">_Rfb1*Rcea2_u*Cc3ea_u*A688*2*Pi</f>
        <v>5862.2542964007753</v>
      </c>
      <c r="AL688">
        <v>1</v>
      </c>
      <c r="AM688">
        <f t="shared" ref="AM688" si="656">(_Rfb1+Rcea2_u)*Cc3ea_u*A688*2*Pi</f>
        <v>7.0346071379902506</v>
      </c>
      <c r="AN688">
        <f t="shared" ref="AN688" si="657">AJ688*AL688/(AL688^2+AM688^2)+AK688*AM688/(AL688^2+AM688^2)</f>
        <v>1254.5861292785328</v>
      </c>
      <c r="AO688">
        <f t="shared" ref="AO688" si="658">AK688*AL688/(AL688^2+AM688^2)-AJ688*AM688/(AL688^2+AM688^2)</f>
        <v>-2963.2662438455504</v>
      </c>
      <c r="AQ688">
        <f t="shared" ref="AQ688" si="659">Eadcg/(1+(Eadcg*A688/GBP)^2)</f>
        <v>2.3663038334122102</v>
      </c>
      <c r="AR688">
        <f t="shared" ref="AR688" si="660">-(A688*Eadcg*Eadcg/GBP)/(1+(Eadcg*A688/GBP)^2)</f>
        <v>-153.80974917179367</v>
      </c>
      <c r="AT688">
        <f t="shared" ref="AT688" si="661">-AR688*AH688+AG688*AQ688</f>
        <v>-388893.78542081156</v>
      </c>
      <c r="AU688">
        <f t="shared" ref="AU688" si="662">AQ688*AH688+AG688*AR688</f>
        <v>-1220763.0454914225</v>
      </c>
      <c r="AV688">
        <f t="shared" ref="AV688" si="663">IF(AT688&lt;0,ATAN(AU688/AT688)+Pi,ATAN(AU688/AT688))</f>
        <v>4.4039872338312476</v>
      </c>
      <c r="AW688">
        <f t="shared" ref="AW688" si="664">AG688-AH688*AO688/_Rfb2+AG688*AN688/_Rfb2+AN688-AO688*AR688+AQ688*AN688</f>
        <v>-443160.29450375232</v>
      </c>
      <c r="AX688">
        <f t="shared" ref="AX688" si="665">AH688+AH688*AN688/_Rfb2+AG688*AO688/_Rfb2+AO688+AO688*AQ688+AN688*AR688</f>
        <v>-212092.00996112518</v>
      </c>
      <c r="AY688">
        <f t="shared" ref="AY688" si="666">IF(AW688&lt;0,ATAN(AX688/AW688)+Pi,ATAN(AX688/AW688))</f>
        <v>3.5879658877578797</v>
      </c>
      <c r="BA688">
        <f t="shared" ref="BA688" si="667">SQRT(AT688^2+AU688^2)/SQRT(AW688^2+AX688^2)</f>
        <v>2.6078057805194996</v>
      </c>
      <c r="BB688">
        <f t="shared" ref="BB688" si="668">20*LOG(BA688)</f>
        <v>8.3255048731795718</v>
      </c>
      <c r="BC688">
        <f t="shared" ref="BC688" si="669">AV688-AY688</f>
        <v>0.81602134607336785</v>
      </c>
      <c r="BD688">
        <f t="shared" ref="BD688" si="670">BC688*180/Pi</f>
        <v>46.754579176013223</v>
      </c>
      <c r="BF688">
        <v>0</v>
      </c>
      <c r="BG688">
        <f>(180/Pi)*(D688+H688+BC688)</f>
        <v>-115.05098051368076</v>
      </c>
      <c r="BH688">
        <f t="shared" ref="BH688:BH690" si="671">IF(BG688&gt;180,BG688-180,BG688+180)</f>
        <v>64.949019486319244</v>
      </c>
      <c r="BI688">
        <f t="shared" ref="BI688:BI690" si="672">IF(BH688&gt;180,BH688-360,BH688)</f>
        <v>64.949019486319244</v>
      </c>
    </row>
    <row r="689" spans="1:61" x14ac:dyDescent="0.25">
      <c r="A689">
        <v>1000000</v>
      </c>
      <c r="B689">
        <f t="shared" si="591"/>
        <v>1000</v>
      </c>
      <c r="BG689">
        <f>BG688</f>
        <v>-115.05098051368076</v>
      </c>
      <c r="BH689">
        <f t="shared" si="671"/>
        <v>64.949019486319244</v>
      </c>
      <c r="BI689">
        <f t="shared" si="672"/>
        <v>64.949019486319244</v>
      </c>
    </row>
    <row r="690" spans="1:61" x14ac:dyDescent="0.25">
      <c r="A690">
        <f>'Bode Plots Calculations'!BK5*1000</f>
        <v>32500</v>
      </c>
      <c r="B690">
        <f t="shared" si="591"/>
        <v>32.5</v>
      </c>
      <c r="BG690">
        <f>BG688</f>
        <v>-115.05098051368076</v>
      </c>
      <c r="BH690">
        <f t="shared" si="671"/>
        <v>64.949019486319244</v>
      </c>
      <c r="BI690">
        <f t="shared" si="672"/>
        <v>64.949019486319244</v>
      </c>
    </row>
    <row r="691" spans="1:61" x14ac:dyDescent="0.25">
      <c r="A691">
        <f>'Bode Plots Calculations'!BK5*1000</f>
        <v>32500</v>
      </c>
      <c r="B691">
        <f t="shared" si="591"/>
        <v>32.5</v>
      </c>
      <c r="BG691">
        <v>-90</v>
      </c>
    </row>
    <row r="692" spans="1:61" x14ac:dyDescent="0.25">
      <c r="A692">
        <f>'Bode Plots Calculations'!BK5*1000</f>
        <v>32500</v>
      </c>
      <c r="B692">
        <f t="shared" si="591"/>
        <v>32.5</v>
      </c>
      <c r="BG692">
        <v>-80</v>
      </c>
    </row>
  </sheetData>
  <mergeCells count="8">
    <mergeCell ref="A1:G1"/>
    <mergeCell ref="C6:H6"/>
    <mergeCell ref="C679:H679"/>
    <mergeCell ref="O7:P7"/>
    <mergeCell ref="U7:V7"/>
    <mergeCell ref="S7:T7"/>
    <mergeCell ref="Q7:R7"/>
    <mergeCell ref="M7:N7"/>
  </mergeCells>
  <phoneticPr fontId="5" type="noConversion"/>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2:B9"/>
  <sheetViews>
    <sheetView zoomScaleNormal="100" workbookViewId="0">
      <selection activeCell="B2" sqref="B2"/>
    </sheetView>
  </sheetViews>
  <sheetFormatPr defaultColWidth="9.109375" defaultRowHeight="13.2" x14ac:dyDescent="0.25"/>
  <cols>
    <col min="1" max="1" width="10.5546875" style="385" customWidth="1"/>
    <col min="2" max="2" width="133.6640625" style="385" customWidth="1"/>
    <col min="3" max="16384" width="9.109375" style="385"/>
  </cols>
  <sheetData>
    <row r="2" spans="1:2" x14ac:dyDescent="0.25">
      <c r="A2" s="385" t="str">
        <f>IF(RDSON_sense=1, "SCH_RDSON", "SCH_SHUNT")</f>
        <v>SCH_RDSON</v>
      </c>
    </row>
    <row r="5" spans="1:2" ht="403.5" customHeight="1" x14ac:dyDescent="0.25">
      <c r="B5" s="346"/>
    </row>
    <row r="6" spans="1:2" ht="12" customHeight="1" x14ac:dyDescent="0.25">
      <c r="B6" s="346"/>
    </row>
    <row r="7" spans="1:2" ht="34.5" customHeight="1" x14ac:dyDescent="0.25"/>
    <row r="8" spans="1:2" ht="404.1" customHeight="1" x14ac:dyDescent="0.25">
      <c r="B8" s="346"/>
    </row>
    <row r="9" spans="1:2" x14ac:dyDescent="0.25">
      <c r="B9" s="346"/>
    </row>
  </sheetData>
  <phoneticPr fontId="106"/>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Q209"/>
  <sheetViews>
    <sheetView topLeftCell="I1" workbookViewId="0">
      <selection activeCell="P9" sqref="P9"/>
    </sheetView>
  </sheetViews>
  <sheetFormatPr defaultRowHeight="13.2" x14ac:dyDescent="0.25"/>
  <cols>
    <col min="1" max="1" width="19.88671875" customWidth="1"/>
    <col min="2" max="2" width="13.109375" bestFit="1" customWidth="1"/>
    <col min="4" max="4" width="61.5546875" customWidth="1"/>
    <col min="8" max="8" width="11" bestFit="1" customWidth="1"/>
    <col min="10" max="10" width="12.44140625" bestFit="1" customWidth="1"/>
    <col min="11" max="11" width="12.44140625" customWidth="1"/>
    <col min="12" max="12" width="10" customWidth="1"/>
    <col min="13" max="13" width="11" customWidth="1"/>
    <col min="14" max="14" width="11.44140625" customWidth="1"/>
    <col min="15" max="15" width="10.33203125" bestFit="1" customWidth="1"/>
    <col min="16" max="16" width="8" customWidth="1"/>
    <col min="17" max="17" width="11.88671875" style="40" customWidth="1"/>
    <col min="18" max="18" width="10.33203125" style="9" customWidth="1"/>
    <col min="19" max="19" width="9.44140625" bestFit="1" customWidth="1"/>
    <col min="20" max="20" width="11.5546875" customWidth="1"/>
    <col min="21" max="21" width="12.5546875" bestFit="1" customWidth="1"/>
    <col min="22" max="22" width="12.33203125" bestFit="1" customWidth="1"/>
    <col min="23" max="23" width="10.5546875" bestFit="1" customWidth="1"/>
    <col min="24" max="25" width="10.33203125" customWidth="1"/>
    <col min="26" max="27" width="12.44140625" customWidth="1"/>
    <col min="28" max="28" width="11.109375" bestFit="1" customWidth="1"/>
    <col min="29" max="29" width="11.88671875" customWidth="1"/>
    <col min="30" max="30" width="12.44140625" customWidth="1"/>
    <col min="31" max="31" width="9.5546875" bestFit="1" customWidth="1"/>
    <col min="32" max="32" width="11.5546875" customWidth="1"/>
    <col min="33" max="34" width="12.6640625" customWidth="1"/>
    <col min="35" max="35" width="14.33203125" customWidth="1"/>
    <col min="36" max="36" width="10.88671875" bestFit="1" customWidth="1"/>
    <col min="37" max="37" width="10" customWidth="1"/>
    <col min="38" max="38" width="11.33203125" customWidth="1"/>
    <col min="39" max="39" width="10.6640625" customWidth="1"/>
    <col min="41" max="41" width="10" style="4" bestFit="1" customWidth="1"/>
    <col min="42" max="42" width="15" customWidth="1"/>
    <col min="43" max="43" width="14.88671875" style="10" customWidth="1"/>
    <col min="55" max="55" width="28.44140625" customWidth="1"/>
    <col min="58" max="58" width="12.44140625" bestFit="1" customWidth="1"/>
  </cols>
  <sheetData>
    <row r="1" spans="1:69" ht="12.75" customHeight="1" x14ac:dyDescent="0.25">
      <c r="A1" s="566" t="s">
        <v>195</v>
      </c>
      <c r="B1" s="566"/>
      <c r="C1" s="566"/>
      <c r="D1" s="566"/>
    </row>
    <row r="2" spans="1:69" ht="12.75" customHeight="1" x14ac:dyDescent="0.25">
      <c r="A2" s="566"/>
      <c r="B2" s="566"/>
      <c r="C2" s="566"/>
      <c r="D2" s="566"/>
    </row>
    <row r="3" spans="1:69" ht="12.75" customHeight="1" x14ac:dyDescent="0.25">
      <c r="A3" s="566"/>
      <c r="B3" s="566"/>
      <c r="C3" s="566"/>
      <c r="D3" s="566"/>
      <c r="AG3">
        <f>VsdBot</f>
        <v>0.9</v>
      </c>
      <c r="AK3">
        <f>Iq</f>
        <v>2E-3</v>
      </c>
    </row>
    <row r="4" spans="1:69" ht="12.75" customHeight="1" x14ac:dyDescent="0.25">
      <c r="A4" s="566"/>
      <c r="B4" s="566"/>
      <c r="C4" s="566"/>
      <c r="D4" s="566"/>
    </row>
    <row r="5" spans="1:69" x14ac:dyDescent="0.25">
      <c r="A5" s="11"/>
      <c r="B5" s="12"/>
      <c r="C5" s="6"/>
      <c r="D5" s="6"/>
    </row>
    <row r="6" spans="1:69" ht="13.5" customHeight="1" thickBot="1" x14ac:dyDescent="0.3">
      <c r="A6" s="567" t="s">
        <v>198</v>
      </c>
      <c r="B6" s="567"/>
      <c r="C6" s="567"/>
      <c r="D6" s="567"/>
      <c r="BH6">
        <v>80</v>
      </c>
      <c r="BI6">
        <v>100</v>
      </c>
      <c r="BJ6">
        <v>120</v>
      </c>
      <c r="BK6">
        <v>140</v>
      </c>
      <c r="BL6">
        <v>160</v>
      </c>
      <c r="BM6">
        <v>180</v>
      </c>
      <c r="BN6">
        <v>20</v>
      </c>
      <c r="BO6">
        <v>30</v>
      </c>
      <c r="BP6">
        <v>40</v>
      </c>
      <c r="BQ6">
        <v>50</v>
      </c>
    </row>
    <row r="7" spans="1:69" ht="13.8" thickBot="1" x14ac:dyDescent="0.3">
      <c r="A7" s="567"/>
      <c r="B7" s="567"/>
      <c r="C7" s="567"/>
      <c r="D7" s="567"/>
      <c r="G7" s="13" t="s">
        <v>118</v>
      </c>
      <c r="H7" s="14"/>
      <c r="I7" s="15"/>
      <c r="J7" s="15"/>
      <c r="K7" s="497"/>
      <c r="L7" s="497"/>
      <c r="M7" s="497"/>
      <c r="N7" s="13" t="s">
        <v>143</v>
      </c>
      <c r="O7" s="14"/>
      <c r="P7" s="14"/>
      <c r="Q7" s="16"/>
      <c r="R7" s="67" t="s">
        <v>36</v>
      </c>
      <c r="S7" s="17"/>
      <c r="T7" s="15"/>
      <c r="U7" s="13" t="s">
        <v>127</v>
      </c>
      <c r="V7" s="18"/>
      <c r="W7" s="15"/>
      <c r="X7" s="13" t="s">
        <v>256</v>
      </c>
      <c r="Y7" s="14"/>
      <c r="Z7" s="14"/>
      <c r="AA7" s="479"/>
      <c r="AB7" s="14"/>
      <c r="AC7" s="15"/>
      <c r="AD7" s="13" t="s">
        <v>255</v>
      </c>
      <c r="AE7" s="18"/>
      <c r="AF7" s="68"/>
      <c r="AG7" s="15"/>
      <c r="AH7" s="415" t="s">
        <v>619</v>
      </c>
      <c r="AI7" s="69" t="s">
        <v>372</v>
      </c>
      <c r="AJ7" s="14" t="s">
        <v>371</v>
      </c>
      <c r="AK7" s="70" t="s">
        <v>237</v>
      </c>
      <c r="AL7" s="71"/>
      <c r="AM7" s="72"/>
      <c r="AN7" s="73"/>
      <c r="AO7" s="13" t="s">
        <v>254</v>
      </c>
      <c r="AP7" s="14"/>
      <c r="AQ7" s="14"/>
      <c r="AR7" s="14"/>
      <c r="AS7" s="14"/>
    </row>
    <row r="8" spans="1:69" ht="66.599999999999994" thickBot="1" x14ac:dyDescent="0.55000000000000004">
      <c r="A8" s="19" t="s">
        <v>189</v>
      </c>
      <c r="B8" s="19"/>
      <c r="C8" s="19"/>
      <c r="D8" s="6"/>
      <c r="G8" s="20" t="s">
        <v>120</v>
      </c>
      <c r="H8" s="21" t="s">
        <v>6</v>
      </c>
      <c r="I8" s="21" t="s">
        <v>247</v>
      </c>
      <c r="J8" s="22" t="s">
        <v>248</v>
      </c>
      <c r="K8" s="498" t="s">
        <v>742</v>
      </c>
      <c r="L8" s="498" t="s">
        <v>743</v>
      </c>
      <c r="M8" s="498" t="s">
        <v>741</v>
      </c>
      <c r="N8" s="20" t="s">
        <v>252</v>
      </c>
      <c r="O8" s="21" t="s">
        <v>165</v>
      </c>
      <c r="P8" s="21" t="s">
        <v>121</v>
      </c>
      <c r="Q8" s="74" t="s">
        <v>373</v>
      </c>
      <c r="R8" s="75" t="s">
        <v>157</v>
      </c>
      <c r="S8" s="23" t="s">
        <v>164</v>
      </c>
      <c r="T8" s="74" t="s">
        <v>374</v>
      </c>
      <c r="U8" s="20" t="s">
        <v>157</v>
      </c>
      <c r="V8" s="21" t="s">
        <v>163</v>
      </c>
      <c r="W8" s="74" t="s">
        <v>375</v>
      </c>
      <c r="X8" s="20" t="s">
        <v>157</v>
      </c>
      <c r="Y8" s="21" t="s">
        <v>162</v>
      </c>
      <c r="Z8" s="21" t="s">
        <v>744</v>
      </c>
      <c r="AA8" s="499" t="s">
        <v>731</v>
      </c>
      <c r="AB8" s="76" t="s">
        <v>377</v>
      </c>
      <c r="AC8" s="74" t="s">
        <v>376</v>
      </c>
      <c r="AD8" s="20" t="s">
        <v>157</v>
      </c>
      <c r="AE8" s="21" t="s">
        <v>162</v>
      </c>
      <c r="AF8" s="21" t="s">
        <v>172</v>
      </c>
      <c r="AG8" s="77" t="s">
        <v>746</v>
      </c>
      <c r="AH8" s="77" t="s">
        <v>620</v>
      </c>
      <c r="AI8" s="74" t="s">
        <v>172</v>
      </c>
      <c r="AJ8" s="78" t="s">
        <v>171</v>
      </c>
      <c r="AK8" s="79" t="s">
        <v>197</v>
      </c>
      <c r="AL8" s="80" t="s">
        <v>270</v>
      </c>
      <c r="AM8" s="81" t="s">
        <v>379</v>
      </c>
      <c r="AN8" s="82" t="s">
        <v>253</v>
      </c>
      <c r="AO8" s="83" t="s">
        <v>122</v>
      </c>
      <c r="AP8" s="21" t="s">
        <v>123</v>
      </c>
      <c r="AQ8" s="84" t="s">
        <v>124</v>
      </c>
      <c r="AR8" s="21" t="s">
        <v>257</v>
      </c>
      <c r="AS8" s="21" t="s">
        <v>258</v>
      </c>
      <c r="BF8" t="s">
        <v>220</v>
      </c>
      <c r="BH8" t="s">
        <v>212</v>
      </c>
      <c r="BI8" t="s">
        <v>213</v>
      </c>
      <c r="BJ8" t="s">
        <v>214</v>
      </c>
      <c r="BK8" t="s">
        <v>215</v>
      </c>
      <c r="BL8" t="s">
        <v>216</v>
      </c>
      <c r="BM8" t="s">
        <v>217</v>
      </c>
      <c r="BN8" t="s">
        <v>221</v>
      </c>
      <c r="BO8" t="s">
        <v>222</v>
      </c>
      <c r="BP8" t="s">
        <v>223</v>
      </c>
      <c r="BQ8" t="s">
        <v>224</v>
      </c>
    </row>
    <row r="9" spans="1:69" x14ac:dyDescent="0.25">
      <c r="A9" s="24" t="s">
        <v>125</v>
      </c>
      <c r="B9" s="25" t="s">
        <v>201</v>
      </c>
      <c r="C9" s="26" t="s">
        <v>148</v>
      </c>
      <c r="D9" s="27" t="s">
        <v>188</v>
      </c>
      <c r="G9">
        <v>0</v>
      </c>
      <c r="H9">
        <f t="shared" ref="H9:H72" si="0">Iout*(G9/200)</f>
        <v>0</v>
      </c>
      <c r="I9" s="407">
        <f t="shared" ref="I9:I73" si="1">(Vout+Rdcr*H9+RdsonBot*H9)/(Vin-RdsonTop*H9+RdsonBot*H9)</f>
        <v>0.21249999999999999</v>
      </c>
      <c r="J9" s="408">
        <f t="shared" ref="J9:J72" si="2">(Vin-Vout)*I9/(Fsw*Lout2)</f>
        <v>1.8091216216216213</v>
      </c>
      <c r="K9" s="408">
        <f>H9+J9/2</f>
        <v>0.90456081081081063</v>
      </c>
      <c r="L9" s="408">
        <f>H9-J9/2</f>
        <v>-0.90456081081081063</v>
      </c>
      <c r="M9" s="63">
        <f t="shared" ref="M9:M72" si="3">IF(MIN(Vin, -L9/(CossTop+CossBot)*0.00000002)&lt;0, 0, MIN(Vin, -L9/(CossTop+CossBot)*0.00000002))</f>
        <v>24</v>
      </c>
      <c r="N9" s="407">
        <f t="shared" ref="N9:N40" si="4">SQRT(H9^2+(J9^2)/12)</f>
        <v>0.52224842762000767</v>
      </c>
      <c r="O9" s="407">
        <f t="shared" ref="O9:O73" si="5">(N9^2*Rdcr*(1+Ltc*Ta-Ltc*25))/(1-N9^2*Rdcr*Ltc*ThetaCa)</f>
        <v>1.3638658949373772E-3</v>
      </c>
      <c r="P9">
        <f t="shared" ref="P9:P72" si="6">Core_Loss</f>
        <v>0.2</v>
      </c>
      <c r="Q9" s="407">
        <f>O9+P9</f>
        <v>0.20136386589493738</v>
      </c>
      <c r="R9" s="9">
        <f>J9/(2*SQRT(3))</f>
        <v>0.52224842762000767</v>
      </c>
      <c r="S9" s="9">
        <f t="shared" ref="S9:S73" si="7">RCoutEsr*R9^2</f>
        <v>2.7274342015157038E-3</v>
      </c>
      <c r="T9" s="9">
        <f>S9</f>
        <v>2.7274342015157038E-3</v>
      </c>
      <c r="U9" s="407">
        <f t="shared" ref="U9:U40" si="8">SQRT(I9)*SQRT(H9^2+(J9^2)/12)</f>
        <v>0.24074462980969838</v>
      </c>
      <c r="V9" s="409">
        <f t="shared" ref="V9:V73" si="9">RCinEsr*U9^2</f>
        <v>1.1591595356441744E-4</v>
      </c>
      <c r="W9" s="407">
        <f>V9</f>
        <v>1.1591595356441744E-4</v>
      </c>
      <c r="X9" s="407">
        <f t="shared" ref="X9:X40" si="10">SQRT(I9)*SQRT(H9^2+(J9^2)/12)</f>
        <v>0.24074462980969838</v>
      </c>
      <c r="Y9" s="407">
        <f t="shared" ref="Y9:Y73" si="11">RdsonTop*X9^2</f>
        <v>3.4774786069325232E-4</v>
      </c>
      <c r="Z9" s="407">
        <f t="shared" ref="Z9:Z72" si="12">IF(L9&lt;0, (Vin*K9*Tf/2)*Fsw, (Vin*L9*Tr/2+Vin*K9*Tf/2)*Fsw)</f>
        <v>1.1362504663405732E-2</v>
      </c>
      <c r="AA9" s="407">
        <f t="shared" ref="AA9:AA72" si="13">(0.5*CossTop*(Vin-M9)^2-0.5*CossBot*(Vin-M9)^2+(QossBot*(Vin-M9)/Vin)*Vin)*Fsw</f>
        <v>0</v>
      </c>
      <c r="AB9" s="407">
        <f t="shared" ref="AB9:AB72" si="14">IF(L9&gt;0,0,-L9*VsdTop*Deadtime*Fsw)</f>
        <v>6.5128378378378361E-3</v>
      </c>
      <c r="AC9" s="407">
        <f t="shared" ref="AC9:AC40" si="15">(AB9+AA9+Z9+Y9*(1+RdsonTopTc*Ta-RdsonTopTc*25))/(1-Y9*RdsonTopTc*ThetaJaTop)</f>
        <v>1.8224357858228363E-2</v>
      </c>
      <c r="AD9" s="407">
        <f t="shared" ref="AD9:AD40" si="16">SQRT(1-I9)*SQRT(H9^2+(J9^2)/12)</f>
        <v>0.46344950465974361</v>
      </c>
      <c r="AE9" s="407">
        <f t="shared" ref="AE9:AE73" si="17">RdsonBot*AD9^2</f>
        <v>1.2887126602161702E-3</v>
      </c>
      <c r="AF9" s="407">
        <f t="shared" ref="AF9:AF72" si="18">IF(L9&lt;0, Deadtime*Fsw*IF(VfdSky&gt;0,0,VsdBot)*K9, Deadtime*Fsw*IF(VfdSky&gt;0,0,VsdBot)*(K9+L9))</f>
        <v>7.3269425675675653E-3</v>
      </c>
      <c r="AG9" s="407">
        <f t="shared" ref="AG9:AG40" si="19">(AF9+AE9*(1+RdsonBotTc*Ta-RdsonBotTc*25))/(1-AE9*RdsonBotTc*ThetaJaBot)</f>
        <v>8.6178764210733394E-3</v>
      </c>
      <c r="AH9" s="407">
        <f t="shared" ref="AH9:AH40" si="20">IF(RDSON_sense=1, 0, AD9^2*Rshunt)</f>
        <v>0</v>
      </c>
      <c r="AI9">
        <f t="shared" ref="AI9:AI72" si="21">2*Deadtime*Fsw*IF(VfdSky&gt;0,VfdSky,0)*H9</f>
        <v>0</v>
      </c>
      <c r="AJ9" s="408">
        <f t="shared" ref="AJ9:AJ72" si="22">IF(QrrSky&gt;0,QrrSky,QrrBot)*Fsw*(Vin-H9*RdsonTop)</f>
        <v>0.4536</v>
      </c>
      <c r="AK9">
        <f t="shared" ref="AK9:AK73" si="23">Iq*Vin</f>
        <v>4.8000000000000001E-2</v>
      </c>
      <c r="AL9" s="408">
        <f t="shared" ref="AL9:AL72" si="24">IF(Ext_VCC=1, Vdd*(QgTop+QgBot)*Fsw, Vin*(QgTop+QgBot)*Fsw)</f>
        <v>5.1750000000000004E-2</v>
      </c>
      <c r="AM9" s="408">
        <f t="shared" ref="AM9:AM73" si="25">(Vin-Vdd)*Fsw*(QgTop+QgBot)+(RdsonDRT+RdsonDRT2)*Fsw*QgTop*Vdd/(RdsonDRT+2*RGateTop+RdsonDRT2)+(RdsonDRB+RdsonDRB2)*Fsw*QgBot*Vdd/(RdsonDRB+2*RGateBot+RdsonDRB2)</f>
        <v>0.13648893249607535</v>
      </c>
      <c r="AN9" s="408">
        <f>SUM(AK9:AL9)</f>
        <v>9.9750000000000005E-2</v>
      </c>
      <c r="AO9" s="408">
        <f t="shared" ref="AO9:AO40" si="26">SUM(Q9,T9,W9,AC9,AJ9,AI9,AG9,AN9, AH9)</f>
        <v>0.78439945032931924</v>
      </c>
      <c r="AP9">
        <f t="shared" ref="AP9:AP72" si="27">Vout*H9</f>
        <v>0</v>
      </c>
      <c r="AQ9" s="10">
        <f>AP9/(AP9+AO9)</f>
        <v>0</v>
      </c>
      <c r="AR9" s="63">
        <f t="shared" ref="AR9:AR40" si="28">ThetaJaTop*AC9</f>
        <v>0.91121789291141819</v>
      </c>
      <c r="AS9" s="63">
        <f>AG9*ThetaJaBot</f>
        <v>0.43089382105366697</v>
      </c>
      <c r="AU9">
        <f>AQ9*100</f>
        <v>0</v>
      </c>
      <c r="BC9" t="s">
        <v>225</v>
      </c>
      <c r="BD9" s="28">
        <v>70</v>
      </c>
      <c r="BE9" s="28">
        <v>70</v>
      </c>
      <c r="BF9" s="28">
        <v>70</v>
      </c>
      <c r="BG9" s="29">
        <f>250000*(5-Vdd)*BF9/1000000000+((250000*BF9/1000000000*Vdd)*2.5/(2*4))</f>
        <v>-2.7343749999999972E-3</v>
      </c>
      <c r="BH9">
        <f t="shared" ref="BH9:BQ17" si="29">BH$6*$BG9</f>
        <v>-0.21874999999999978</v>
      </c>
      <c r="BI9">
        <f t="shared" si="29"/>
        <v>-0.27343749999999972</v>
      </c>
      <c r="BJ9">
        <f t="shared" si="29"/>
        <v>-0.32812499999999967</v>
      </c>
      <c r="BK9">
        <f t="shared" si="29"/>
        <v>-0.38281249999999961</v>
      </c>
      <c r="BL9">
        <f t="shared" si="29"/>
        <v>-0.43749999999999956</v>
      </c>
      <c r="BM9">
        <f t="shared" si="29"/>
        <v>-0.4921874999999995</v>
      </c>
      <c r="BN9">
        <f t="shared" si="29"/>
        <v>-5.4687499999999944E-2</v>
      </c>
      <c r="BO9">
        <f t="shared" si="29"/>
        <v>-8.2031249999999917E-2</v>
      </c>
      <c r="BP9">
        <f t="shared" si="29"/>
        <v>-0.10937499999999989</v>
      </c>
      <c r="BQ9">
        <f t="shared" si="29"/>
        <v>-0.13671874999999986</v>
      </c>
    </row>
    <row r="10" spans="1:69" x14ac:dyDescent="0.25">
      <c r="A10" s="357"/>
      <c r="B10" s="34"/>
      <c r="C10" s="26"/>
      <c r="D10" s="27"/>
      <c r="G10">
        <v>1</v>
      </c>
      <c r="H10">
        <f t="shared" si="0"/>
        <v>0.03</v>
      </c>
      <c r="I10" s="407">
        <f t="shared" ref="I10" si="30">(Vout+Rdcr*H10+RdsonBot*H10)/(Vin-RdsonTop*H10+RdsonBot*H10)</f>
        <v>0.21251374999999997</v>
      </c>
      <c r="J10" s="408">
        <f t="shared" si="2"/>
        <v>1.8092386824324318</v>
      </c>
      <c r="K10" s="408">
        <f t="shared" ref="K10:K73" si="31">H10+J10/2</f>
        <v>0.93461934121621593</v>
      </c>
      <c r="L10" s="408">
        <f t="shared" ref="L10:L73" si="32">H10-J10/2</f>
        <v>-0.87461934121621587</v>
      </c>
      <c r="M10" s="63">
        <f t="shared" si="3"/>
        <v>24</v>
      </c>
      <c r="N10" s="407">
        <f t="shared" si="4"/>
        <v>0.52314311378514788</v>
      </c>
      <c r="O10" s="407">
        <f t="shared" ref="O10" si="33">(N10^2*Rdcr*(1+Ltc*Ta-Ltc*25))/(1-N10^2*Rdcr*Ltc*ThetaCa)</f>
        <v>1.3685434039855599E-3</v>
      </c>
      <c r="P10">
        <f t="shared" si="6"/>
        <v>0.2</v>
      </c>
      <c r="Q10" s="407">
        <f t="shared" ref="Q10:Q73" si="34">O10+P10</f>
        <v>0.20136854340398558</v>
      </c>
      <c r="R10" s="9">
        <f>J10/(2*SQRT(3))</f>
        <v>0.52228222016532422</v>
      </c>
      <c r="S10" s="9">
        <f t="shared" ref="S10" si="35">RCoutEsr*R10^2</f>
        <v>2.7277871750082021E-3</v>
      </c>
      <c r="T10" s="9">
        <f>S10</f>
        <v>2.7277871750082021E-3</v>
      </c>
      <c r="U10" s="407">
        <f t="shared" si="8"/>
        <v>0.24116486176740159</v>
      </c>
      <c r="V10" s="409">
        <f t="shared" ref="V10" si="36">RCinEsr*U10^2</f>
        <v>1.1632098110257984E-4</v>
      </c>
      <c r="W10" s="407">
        <f>V10</f>
        <v>1.1632098110257984E-4</v>
      </c>
      <c r="X10" s="407">
        <f t="shared" si="10"/>
        <v>0.24116486176740159</v>
      </c>
      <c r="Y10" s="407">
        <f t="shared" ref="Y10" si="37">RdsonTop*X10^2</f>
        <v>3.4896294330773951E-4</v>
      </c>
      <c r="Z10" s="407">
        <f t="shared" si="12"/>
        <v>1.174008037509326E-2</v>
      </c>
      <c r="AA10" s="407">
        <f t="shared" si="13"/>
        <v>0</v>
      </c>
      <c r="AB10" s="407">
        <f t="shared" si="14"/>
        <v>6.2972592567567542E-3</v>
      </c>
      <c r="AC10" s="407">
        <f t="shared" si="15"/>
        <v>1.8387585892376421E-2</v>
      </c>
      <c r="AD10" s="407">
        <f t="shared" si="16"/>
        <v>0.46423940693302873</v>
      </c>
      <c r="AE10" s="407">
        <f t="shared" ref="AE10" si="38">RdsonBot*AD10^2</f>
        <v>1.2931093616971815E-3</v>
      </c>
      <c r="AF10" s="407">
        <f t="shared" si="18"/>
        <v>7.5704166638513488E-3</v>
      </c>
      <c r="AG10" s="407">
        <f t="shared" si="19"/>
        <v>8.8658189202375035E-3</v>
      </c>
      <c r="AH10" s="407">
        <f t="shared" si="20"/>
        <v>0</v>
      </c>
      <c r="AI10">
        <f t="shared" si="21"/>
        <v>0</v>
      </c>
      <c r="AJ10" s="408">
        <f t="shared" si="22"/>
        <v>0.45359659800000002</v>
      </c>
      <c r="AK10">
        <f t="shared" si="23"/>
        <v>4.8000000000000001E-2</v>
      </c>
      <c r="AL10" s="408">
        <f t="shared" si="24"/>
        <v>5.1750000000000004E-2</v>
      </c>
      <c r="AM10" s="408">
        <f t="shared" si="25"/>
        <v>0.13648893249607535</v>
      </c>
      <c r="AN10" s="408">
        <f>SUM(AK10:AL10)</f>
        <v>9.9750000000000005E-2</v>
      </c>
      <c r="AO10" s="408">
        <f t="shared" si="26"/>
        <v>0.78481265437271031</v>
      </c>
      <c r="AP10">
        <f t="shared" si="27"/>
        <v>0.153</v>
      </c>
      <c r="AQ10" s="10">
        <f>AP10/(AP10+AO10)</f>
        <v>0.16314559127200043</v>
      </c>
      <c r="AR10" s="63">
        <f t="shared" si="28"/>
        <v>0.91937929461882106</v>
      </c>
      <c r="AS10" s="63">
        <f>AG10*ThetaJaBot</f>
        <v>0.44329094601187519</v>
      </c>
      <c r="AU10">
        <f>AQ10*100</f>
        <v>16.314559127200042</v>
      </c>
      <c r="BD10" s="28"/>
      <c r="BE10" s="28"/>
      <c r="BF10" s="28"/>
      <c r="BG10" s="29"/>
    </row>
    <row r="11" spans="1:69" x14ac:dyDescent="0.25">
      <c r="A11" s="30" t="s">
        <v>4</v>
      </c>
      <c r="B11" s="5">
        <f>Vin</f>
        <v>24</v>
      </c>
      <c r="C11" s="417" t="s">
        <v>0</v>
      </c>
      <c r="D11" s="31" t="s">
        <v>4</v>
      </c>
      <c r="G11">
        <v>2</v>
      </c>
      <c r="H11">
        <f t="shared" si="0"/>
        <v>0.06</v>
      </c>
      <c r="I11" s="407">
        <f t="shared" si="1"/>
        <v>0.21252749999999998</v>
      </c>
      <c r="J11" s="408">
        <f t="shared" si="2"/>
        <v>1.8093557432432426</v>
      </c>
      <c r="K11" s="408">
        <f t="shared" si="31"/>
        <v>0.96467787162162133</v>
      </c>
      <c r="L11" s="408">
        <f t="shared" si="32"/>
        <v>-0.84467787162162122</v>
      </c>
      <c r="M11" s="63">
        <f t="shared" si="3"/>
        <v>24</v>
      </c>
      <c r="N11" s="407">
        <f t="shared" si="4"/>
        <v>0.52575090787743028</v>
      </c>
      <c r="O11" s="407">
        <f t="shared" si="5"/>
        <v>1.3822229119847818E-3</v>
      </c>
      <c r="P11">
        <f t="shared" si="6"/>
        <v>0.2</v>
      </c>
      <c r="Q11" s="407">
        <f t="shared" si="34"/>
        <v>0.20138222291198479</v>
      </c>
      <c r="R11" s="9">
        <f t="shared" ref="R11:R74" si="39">J11/(2*SQRT(3))</f>
        <v>0.52231601271064076</v>
      </c>
      <c r="S11" s="9">
        <f t="shared" si="7"/>
        <v>2.7281401713394227E-3</v>
      </c>
      <c r="T11" s="9">
        <f t="shared" ref="T11:T74" si="40">S11</f>
        <v>2.7281401713394227E-3</v>
      </c>
      <c r="U11" s="407">
        <f t="shared" si="8"/>
        <v>0.24237487499003255</v>
      </c>
      <c r="V11" s="409">
        <f t="shared" si="9"/>
        <v>1.1749116005286781E-4</v>
      </c>
      <c r="W11" s="407">
        <f t="shared" ref="W11:W74" si="41">V11</f>
        <v>1.1749116005286781E-4</v>
      </c>
      <c r="X11" s="407">
        <f t="shared" si="10"/>
        <v>0.24237487499003255</v>
      </c>
      <c r="Y11" s="407">
        <f t="shared" si="11"/>
        <v>3.5247348015860343E-4</v>
      </c>
      <c r="Z11" s="407">
        <f t="shared" si="12"/>
        <v>1.2117656086780792E-2</v>
      </c>
      <c r="AA11" s="407">
        <f t="shared" si="13"/>
        <v>0</v>
      </c>
      <c r="AB11" s="407">
        <f t="shared" si="14"/>
        <v>6.0816806756756733E-3</v>
      </c>
      <c r="AC11" s="407">
        <f t="shared" si="15"/>
        <v>1.8553118139038722E-2</v>
      </c>
      <c r="AD11" s="407">
        <f t="shared" si="16"/>
        <v>0.46654950124023098</v>
      </c>
      <c r="AE11" s="407">
        <f t="shared" si="17"/>
        <v>1.3060106226450499E-3</v>
      </c>
      <c r="AF11" s="407">
        <f t="shared" si="18"/>
        <v>7.8138907601351323E-3</v>
      </c>
      <c r="AG11" s="407">
        <f t="shared" si="19"/>
        <v>9.1222841427788335E-3</v>
      </c>
      <c r="AH11" s="407">
        <f t="shared" si="20"/>
        <v>0</v>
      </c>
      <c r="AI11">
        <f t="shared" si="21"/>
        <v>0</v>
      </c>
      <c r="AJ11" s="408">
        <f t="shared" si="22"/>
        <v>0.45359319599999998</v>
      </c>
      <c r="AK11">
        <f t="shared" si="23"/>
        <v>4.8000000000000001E-2</v>
      </c>
      <c r="AL11" s="408">
        <f t="shared" si="24"/>
        <v>5.1750000000000004E-2</v>
      </c>
      <c r="AM11" s="408">
        <f t="shared" si="25"/>
        <v>0.13648893249607535</v>
      </c>
      <c r="AN11" s="408">
        <f t="shared" ref="AN11:AN74" si="42">SUM(AK11:AL11)</f>
        <v>9.9750000000000005E-2</v>
      </c>
      <c r="AO11" s="408">
        <f t="shared" si="26"/>
        <v>0.78524645252519465</v>
      </c>
      <c r="AP11">
        <f t="shared" si="27"/>
        <v>0.30599999999999999</v>
      </c>
      <c r="AQ11" s="10">
        <f t="shared" ref="AQ11:AQ74" si="43">AP11/(AP11+AO11)</f>
        <v>0.28041328271162019</v>
      </c>
      <c r="AR11" s="63">
        <f t="shared" si="28"/>
        <v>0.92765590695193612</v>
      </c>
      <c r="AS11" s="63">
        <f t="shared" ref="AS11:AS74" si="44">AG11*ThetaJaBot</f>
        <v>0.45611420713894169</v>
      </c>
      <c r="AT11" s="10"/>
      <c r="AU11">
        <f t="shared" ref="AU11:AU74" si="45">AQ11*100</f>
        <v>28.041328271162019</v>
      </c>
      <c r="BC11" t="s">
        <v>226</v>
      </c>
      <c r="BD11" s="28">
        <v>90</v>
      </c>
      <c r="BE11" s="28">
        <v>90</v>
      </c>
      <c r="BF11" s="28">
        <v>90</v>
      </c>
      <c r="BG11" s="29">
        <f>250000*(12-Vdd)*BF11/1000000000+((250000*BF9/1000000000*Vdd)*2.5/(2*4))</f>
        <v>0.14226562500000001</v>
      </c>
      <c r="BH11">
        <f t="shared" si="29"/>
        <v>11.381250000000001</v>
      </c>
      <c r="BI11">
        <f t="shared" si="29"/>
        <v>14.2265625</v>
      </c>
      <c r="BJ11">
        <f t="shared" si="29"/>
        <v>17.071875000000002</v>
      </c>
      <c r="BK11">
        <f t="shared" si="29"/>
        <v>19.917187500000001</v>
      </c>
      <c r="BL11">
        <f t="shared" si="29"/>
        <v>22.762500000000003</v>
      </c>
      <c r="BM11">
        <f t="shared" si="29"/>
        <v>25.607812500000001</v>
      </c>
      <c r="BN11">
        <f t="shared" si="29"/>
        <v>2.8453125000000004</v>
      </c>
      <c r="BO11">
        <f t="shared" si="29"/>
        <v>4.2679687500000005</v>
      </c>
      <c r="BP11">
        <f t="shared" si="29"/>
        <v>5.6906250000000007</v>
      </c>
      <c r="BQ11">
        <f t="shared" si="29"/>
        <v>7.11328125</v>
      </c>
    </row>
    <row r="12" spans="1:69" x14ac:dyDescent="0.25">
      <c r="A12" s="32" t="s">
        <v>5</v>
      </c>
      <c r="B12" s="5">
        <f>Vout</f>
        <v>5.0999999999999996</v>
      </c>
      <c r="C12" s="417" t="s">
        <v>0</v>
      </c>
      <c r="D12" s="31" t="s">
        <v>5</v>
      </c>
      <c r="G12">
        <v>3</v>
      </c>
      <c r="H12">
        <f t="shared" si="0"/>
        <v>0.09</v>
      </c>
      <c r="I12" s="407">
        <f t="shared" si="1"/>
        <v>0.21254124999999999</v>
      </c>
      <c r="J12" s="408">
        <f t="shared" si="2"/>
        <v>1.8094728040540535</v>
      </c>
      <c r="K12" s="408">
        <f t="shared" si="31"/>
        <v>0.99473640202702673</v>
      </c>
      <c r="L12" s="408">
        <f t="shared" si="32"/>
        <v>-0.8147364020270268</v>
      </c>
      <c r="M12" s="63">
        <f t="shared" si="3"/>
        <v>24</v>
      </c>
      <c r="N12" s="407">
        <f t="shared" si="4"/>
        <v>0.53004652536445951</v>
      </c>
      <c r="O12" s="407">
        <f t="shared" si="5"/>
        <v>1.4049044780372576E-3</v>
      </c>
      <c r="P12">
        <f t="shared" si="6"/>
        <v>0.2</v>
      </c>
      <c r="Q12" s="407">
        <f t="shared" si="34"/>
        <v>0.20140490447803727</v>
      </c>
      <c r="R12" s="9">
        <f t="shared" si="39"/>
        <v>0.52234980525595742</v>
      </c>
      <c r="S12" s="9">
        <f t="shared" si="7"/>
        <v>2.7284931905093663E-3</v>
      </c>
      <c r="T12" s="9">
        <f t="shared" si="40"/>
        <v>2.7284931905093663E-3</v>
      </c>
      <c r="U12" s="407">
        <f t="shared" si="8"/>
        <v>0.24436308939308915</v>
      </c>
      <c r="V12" s="409">
        <f t="shared" si="9"/>
        <v>1.1942663891546976E-4</v>
      </c>
      <c r="W12" s="407">
        <f t="shared" si="41"/>
        <v>1.1942663891546976E-4</v>
      </c>
      <c r="X12" s="407">
        <f t="shared" si="10"/>
        <v>0.24436308939308915</v>
      </c>
      <c r="Y12" s="407">
        <f t="shared" si="11"/>
        <v>3.5827991674640928E-4</v>
      </c>
      <c r="Z12" s="407">
        <f t="shared" si="12"/>
        <v>1.2495231798468322E-2</v>
      </c>
      <c r="AA12" s="407">
        <f t="shared" si="13"/>
        <v>0</v>
      </c>
      <c r="AB12" s="407">
        <f t="shared" si="14"/>
        <v>5.8661020945945924E-3</v>
      </c>
      <c r="AC12" s="407">
        <f t="shared" si="15"/>
        <v>1.8720955278269027E-2</v>
      </c>
      <c r="AD12" s="407">
        <f t="shared" si="16"/>
        <v>0.47035731055571117</v>
      </c>
      <c r="AE12" s="407">
        <f t="shared" si="17"/>
        <v>1.3274159975592103E-3</v>
      </c>
      <c r="AF12" s="407">
        <f t="shared" si="18"/>
        <v>8.0573648564189158E-3</v>
      </c>
      <c r="AG12" s="407">
        <f t="shared" si="19"/>
        <v>9.3872730172534381E-3</v>
      </c>
      <c r="AH12" s="407">
        <f t="shared" si="20"/>
        <v>0</v>
      </c>
      <c r="AI12">
        <f t="shared" si="21"/>
        <v>0</v>
      </c>
      <c r="AJ12" s="408">
        <f t="shared" si="22"/>
        <v>0.45358979399999999</v>
      </c>
      <c r="AK12">
        <f t="shared" si="23"/>
        <v>4.8000000000000001E-2</v>
      </c>
      <c r="AL12" s="408">
        <f t="shared" si="24"/>
        <v>5.1750000000000004E-2</v>
      </c>
      <c r="AM12" s="408">
        <f t="shared" si="25"/>
        <v>0.13648893249607535</v>
      </c>
      <c r="AN12" s="408">
        <f t="shared" si="42"/>
        <v>9.9750000000000005E-2</v>
      </c>
      <c r="AO12" s="408">
        <f t="shared" si="26"/>
        <v>0.78570084660298456</v>
      </c>
      <c r="AP12">
        <f t="shared" si="27"/>
        <v>0.45899999999999996</v>
      </c>
      <c r="AQ12" s="10">
        <f t="shared" si="43"/>
        <v>0.36876330666335982</v>
      </c>
      <c r="AR12" s="63">
        <f t="shared" si="28"/>
        <v>0.93604776391345135</v>
      </c>
      <c r="AS12" s="63">
        <f t="shared" si="44"/>
        <v>0.4693636508626719</v>
      </c>
      <c r="AT12" s="10"/>
      <c r="AU12">
        <f t="shared" si="45"/>
        <v>36.876330666335981</v>
      </c>
      <c r="BC12" t="s">
        <v>231</v>
      </c>
      <c r="BD12" s="28">
        <v>60</v>
      </c>
      <c r="BE12" s="28">
        <v>60</v>
      </c>
      <c r="BF12" s="28">
        <v>60</v>
      </c>
      <c r="BG12" s="29">
        <f>250000*(18-Vdd)*BF12/1000000000+((250000*BF9/1000000000*Vdd)*2.5/(2*4))</f>
        <v>0.198515625</v>
      </c>
      <c r="BH12">
        <f t="shared" si="29"/>
        <v>15.88125</v>
      </c>
      <c r="BI12">
        <f t="shared" si="29"/>
        <v>19.8515625</v>
      </c>
      <c r="BJ12">
        <f t="shared" si="29"/>
        <v>23.821874999999999</v>
      </c>
      <c r="BK12">
        <f t="shared" si="29"/>
        <v>27.792187500000001</v>
      </c>
      <c r="BL12">
        <f t="shared" si="29"/>
        <v>31.762499999999999</v>
      </c>
      <c r="BM12">
        <f t="shared" si="29"/>
        <v>35.732812500000001</v>
      </c>
      <c r="BN12">
        <f t="shared" si="29"/>
        <v>3.9703124999999999</v>
      </c>
      <c r="BO12">
        <f t="shared" si="29"/>
        <v>5.9554687499999996</v>
      </c>
      <c r="BP12">
        <f t="shared" si="29"/>
        <v>7.9406249999999998</v>
      </c>
      <c r="BQ12">
        <f t="shared" si="29"/>
        <v>9.92578125</v>
      </c>
    </row>
    <row r="13" spans="1:69" x14ac:dyDescent="0.25">
      <c r="A13" s="32" t="s">
        <v>7</v>
      </c>
      <c r="B13" s="5">
        <f>Fsw/1000</f>
        <v>300</v>
      </c>
      <c r="C13" s="417" t="s">
        <v>3</v>
      </c>
      <c r="D13" s="31" t="s">
        <v>173</v>
      </c>
      <c r="G13">
        <v>4</v>
      </c>
      <c r="H13">
        <f t="shared" si="0"/>
        <v>0.12</v>
      </c>
      <c r="I13" s="407">
        <f t="shared" si="1"/>
        <v>0.21255500000000002</v>
      </c>
      <c r="J13" s="408">
        <f t="shared" si="2"/>
        <v>1.8095898648648649</v>
      </c>
      <c r="K13" s="408">
        <f t="shared" si="31"/>
        <v>1.0247949324324326</v>
      </c>
      <c r="L13" s="408">
        <f t="shared" si="32"/>
        <v>-0.78479493243243248</v>
      </c>
      <c r="M13" s="63">
        <f t="shared" si="3"/>
        <v>24</v>
      </c>
      <c r="N13" s="407">
        <f t="shared" si="4"/>
        <v>0.53598938725669132</v>
      </c>
      <c r="O13" s="407">
        <f t="shared" si="5"/>
        <v>1.4365882001389552E-3</v>
      </c>
      <c r="P13">
        <f t="shared" si="6"/>
        <v>0.2</v>
      </c>
      <c r="Q13" s="407">
        <f t="shared" si="34"/>
        <v>0.20143658820013896</v>
      </c>
      <c r="R13" s="9">
        <f t="shared" si="39"/>
        <v>0.52238359780127419</v>
      </c>
      <c r="S13" s="9">
        <f t="shared" si="7"/>
        <v>2.728846232518034E-3</v>
      </c>
      <c r="T13" s="9">
        <f t="shared" si="40"/>
        <v>2.728846232518034E-3</v>
      </c>
      <c r="U13" s="407">
        <f t="shared" si="8"/>
        <v>0.24711087207018448</v>
      </c>
      <c r="V13" s="409">
        <f t="shared" si="9"/>
        <v>1.2212756619057417E-4</v>
      </c>
      <c r="W13" s="407">
        <f t="shared" si="41"/>
        <v>1.2212756619057417E-4</v>
      </c>
      <c r="X13" s="407">
        <f t="shared" si="10"/>
        <v>0.24711087207018448</v>
      </c>
      <c r="Y13" s="407">
        <f t="shared" si="11"/>
        <v>3.663826985717225E-4</v>
      </c>
      <c r="Z13" s="407">
        <f t="shared" si="12"/>
        <v>1.287280751015586E-2</v>
      </c>
      <c r="AA13" s="407">
        <f t="shared" si="13"/>
        <v>0</v>
      </c>
      <c r="AB13" s="407">
        <f t="shared" si="14"/>
        <v>5.650523513513514E-3</v>
      </c>
      <c r="AC13" s="407">
        <f t="shared" si="15"/>
        <v>1.8891097996533691E-2</v>
      </c>
      <c r="AD13" s="407">
        <f t="shared" si="16"/>
        <v>0.47562678662635932</v>
      </c>
      <c r="AE13" s="407">
        <f t="shared" si="17"/>
        <v>1.357325040939098E-3</v>
      </c>
      <c r="AF13" s="407">
        <f t="shared" si="18"/>
        <v>8.3008389527027028E-3</v>
      </c>
      <c r="AG13" s="407">
        <f t="shared" si="19"/>
        <v>9.6607865591441817E-3</v>
      </c>
      <c r="AH13" s="407">
        <f t="shared" si="20"/>
        <v>0</v>
      </c>
      <c r="AI13">
        <f t="shared" si="21"/>
        <v>0</v>
      </c>
      <c r="AJ13" s="408">
        <f t="shared" si="22"/>
        <v>0.453586392</v>
      </c>
      <c r="AK13">
        <f t="shared" si="23"/>
        <v>4.8000000000000001E-2</v>
      </c>
      <c r="AL13" s="408">
        <f t="shared" si="24"/>
        <v>5.1750000000000004E-2</v>
      </c>
      <c r="AM13" s="408">
        <f t="shared" si="25"/>
        <v>0.13648893249607535</v>
      </c>
      <c r="AN13" s="408">
        <f t="shared" si="42"/>
        <v>9.9750000000000005E-2</v>
      </c>
      <c r="AO13" s="408">
        <f t="shared" si="26"/>
        <v>0.78617583855452544</v>
      </c>
      <c r="AP13">
        <f t="shared" si="27"/>
        <v>0.61199999999999999</v>
      </c>
      <c r="AQ13" s="10">
        <f t="shared" si="43"/>
        <v>0.43771318536923309</v>
      </c>
      <c r="AR13" s="63">
        <f t="shared" si="28"/>
        <v>0.94455489982668461</v>
      </c>
      <c r="AS13" s="63">
        <f t="shared" si="44"/>
        <v>0.48303932795720911</v>
      </c>
      <c r="AT13" s="10"/>
      <c r="AU13">
        <f t="shared" si="45"/>
        <v>43.77131853692331</v>
      </c>
      <c r="BC13" t="s">
        <v>227</v>
      </c>
      <c r="BD13" s="28">
        <v>30</v>
      </c>
      <c r="BE13" s="28">
        <v>30</v>
      </c>
      <c r="BF13" s="28">
        <v>30</v>
      </c>
      <c r="BG13" s="29">
        <f>500000*(5-Vdd)*BF13/1000000000+((500000*BF9/1000000000*Vdd)*2.5/(2*4))</f>
        <v>4.4531250000000001E-2</v>
      </c>
      <c r="BH13">
        <f t="shared" si="29"/>
        <v>3.5625</v>
      </c>
      <c r="BI13">
        <f t="shared" si="29"/>
        <v>4.453125</v>
      </c>
      <c r="BJ13">
        <f t="shared" si="29"/>
        <v>5.34375</v>
      </c>
      <c r="BK13">
        <f t="shared" si="29"/>
        <v>6.234375</v>
      </c>
      <c r="BL13">
        <f t="shared" si="29"/>
        <v>7.125</v>
      </c>
      <c r="BM13">
        <f t="shared" si="29"/>
        <v>8.015625</v>
      </c>
      <c r="BN13">
        <f t="shared" si="29"/>
        <v>0.890625</v>
      </c>
      <c r="BO13">
        <f t="shared" si="29"/>
        <v>1.3359375</v>
      </c>
      <c r="BP13">
        <f t="shared" si="29"/>
        <v>1.78125</v>
      </c>
      <c r="BQ13">
        <f t="shared" si="29"/>
        <v>2.2265625</v>
      </c>
    </row>
    <row r="14" spans="1:69" x14ac:dyDescent="0.25">
      <c r="A14" s="32" t="s">
        <v>6</v>
      </c>
      <c r="B14" s="5">
        <f>Iout</f>
        <v>6</v>
      </c>
      <c r="C14" s="417" t="s">
        <v>2</v>
      </c>
      <c r="D14" s="31" t="s">
        <v>174</v>
      </c>
      <c r="G14">
        <v>5</v>
      </c>
      <c r="H14">
        <f t="shared" si="0"/>
        <v>0.15000000000000002</v>
      </c>
      <c r="I14" s="407">
        <f t="shared" si="1"/>
        <v>0.21256874999999997</v>
      </c>
      <c r="J14" s="408">
        <f t="shared" si="2"/>
        <v>1.809706925675675</v>
      </c>
      <c r="K14" s="408">
        <f t="shared" si="31"/>
        <v>1.0548534628378374</v>
      </c>
      <c r="L14" s="408">
        <f t="shared" si="32"/>
        <v>-0.7548534628378375</v>
      </c>
      <c r="M14" s="63">
        <f t="shared" si="3"/>
        <v>24</v>
      </c>
      <c r="N14" s="407">
        <f t="shared" si="4"/>
        <v>0.54352546374253885</v>
      </c>
      <c r="O14" s="407">
        <f t="shared" si="5"/>
        <v>1.4772742151806495E-3</v>
      </c>
      <c r="P14">
        <f t="shared" si="6"/>
        <v>0.2</v>
      </c>
      <c r="Q14" s="407">
        <f t="shared" si="34"/>
        <v>0.20147727421518066</v>
      </c>
      <c r="R14" s="9">
        <f t="shared" si="39"/>
        <v>0.52241739034659052</v>
      </c>
      <c r="S14" s="9">
        <f t="shared" si="7"/>
        <v>2.7291992973654195E-3</v>
      </c>
      <c r="T14" s="9">
        <f t="shared" si="40"/>
        <v>2.7291992973654195E-3</v>
      </c>
      <c r="U14" s="407">
        <f t="shared" si="8"/>
        <v>0.2505933861640896</v>
      </c>
      <c r="V14" s="409">
        <f t="shared" si="9"/>
        <v>1.2559409037836907E-4</v>
      </c>
      <c r="W14" s="407">
        <f t="shared" si="41"/>
        <v>1.2559409037836907E-4</v>
      </c>
      <c r="X14" s="407">
        <f t="shared" si="10"/>
        <v>0.2505933861640896</v>
      </c>
      <c r="Y14" s="407">
        <f t="shared" si="11"/>
        <v>3.7678227113510724E-4</v>
      </c>
      <c r="Z14" s="407">
        <f t="shared" si="12"/>
        <v>1.3250383221843385E-2</v>
      </c>
      <c r="AA14" s="407">
        <f t="shared" si="13"/>
        <v>0</v>
      </c>
      <c r="AB14" s="407">
        <f t="shared" si="14"/>
        <v>5.4349449324324296E-3</v>
      </c>
      <c r="AC14" s="407">
        <f t="shared" si="15"/>
        <v>1.906354698671683E-2</v>
      </c>
      <c r="AD14" s="407">
        <f t="shared" si="16"/>
        <v>0.48230994655652432</v>
      </c>
      <c r="AE14" s="407">
        <f t="shared" si="17"/>
        <v>1.3957373072841441E-3</v>
      </c>
      <c r="AF14" s="407">
        <f t="shared" si="18"/>
        <v>8.5443130489864828E-3</v>
      </c>
      <c r="AG14" s="407">
        <f t="shared" si="19"/>
        <v>9.9428258708721875E-3</v>
      </c>
      <c r="AH14" s="407">
        <f t="shared" si="20"/>
        <v>0</v>
      </c>
      <c r="AI14">
        <f t="shared" si="21"/>
        <v>0</v>
      </c>
      <c r="AJ14" s="408">
        <f t="shared" si="22"/>
        <v>0.45358298999999996</v>
      </c>
      <c r="AK14">
        <f t="shared" si="23"/>
        <v>4.8000000000000001E-2</v>
      </c>
      <c r="AL14" s="408">
        <f t="shared" si="24"/>
        <v>5.1750000000000004E-2</v>
      </c>
      <c r="AM14" s="408">
        <f t="shared" si="25"/>
        <v>0.13648893249607535</v>
      </c>
      <c r="AN14" s="408">
        <f t="shared" si="42"/>
        <v>9.9750000000000005E-2</v>
      </c>
      <c r="AO14" s="408">
        <f t="shared" si="26"/>
        <v>0.78667143046051347</v>
      </c>
      <c r="AP14">
        <f t="shared" si="27"/>
        <v>0.76500000000000001</v>
      </c>
      <c r="AQ14" s="10">
        <f t="shared" si="43"/>
        <v>0.49301674631784587</v>
      </c>
      <c r="AR14" s="63">
        <f t="shared" si="28"/>
        <v>0.95317734933584153</v>
      </c>
      <c r="AS14" s="63">
        <f t="shared" si="44"/>
        <v>0.49714129354360936</v>
      </c>
      <c r="AT14" s="10"/>
      <c r="AU14">
        <f t="shared" si="45"/>
        <v>49.301674631784586</v>
      </c>
      <c r="BC14" t="s">
        <v>230</v>
      </c>
      <c r="BD14" s="28">
        <v>45</v>
      </c>
      <c r="BE14" s="28">
        <v>45</v>
      </c>
      <c r="BF14" s="28">
        <v>45</v>
      </c>
      <c r="BG14" s="29">
        <f>500000*(12-Vdd)*BF14/1000000000+((500000*BF9/1000000000*Vdd)*2.5/(2*4))</f>
        <v>0.18328125000000001</v>
      </c>
      <c r="BH14">
        <f t="shared" si="29"/>
        <v>14.662500000000001</v>
      </c>
      <c r="BI14">
        <f t="shared" si="29"/>
        <v>18.328125</v>
      </c>
      <c r="BJ14">
        <f t="shared" si="29"/>
        <v>21.993750000000002</v>
      </c>
      <c r="BK14">
        <f t="shared" si="29"/>
        <v>25.659375000000001</v>
      </c>
      <c r="BL14">
        <f t="shared" si="29"/>
        <v>29.325000000000003</v>
      </c>
      <c r="BM14">
        <f t="shared" si="29"/>
        <v>32.990625000000001</v>
      </c>
      <c r="BN14">
        <f t="shared" si="29"/>
        <v>3.6656250000000004</v>
      </c>
      <c r="BO14">
        <f t="shared" si="29"/>
        <v>5.4984375000000005</v>
      </c>
      <c r="BP14">
        <f t="shared" si="29"/>
        <v>7.3312500000000007</v>
      </c>
      <c r="BQ14">
        <f t="shared" si="29"/>
        <v>9.1640625</v>
      </c>
    </row>
    <row r="15" spans="1:69" x14ac:dyDescent="0.25">
      <c r="A15" s="33" t="s">
        <v>156</v>
      </c>
      <c r="B15" s="5">
        <f>Ta</f>
        <v>25</v>
      </c>
      <c r="C15" s="417" t="s">
        <v>719</v>
      </c>
      <c r="D15" s="31" t="s">
        <v>175</v>
      </c>
      <c r="G15">
        <v>6</v>
      </c>
      <c r="H15">
        <f t="shared" si="0"/>
        <v>0.18</v>
      </c>
      <c r="I15" s="407">
        <f t="shared" si="1"/>
        <v>0.21258249999999998</v>
      </c>
      <c r="J15" s="408">
        <f t="shared" si="2"/>
        <v>1.809823986486486</v>
      </c>
      <c r="K15" s="408">
        <f t="shared" si="31"/>
        <v>1.0849119932432429</v>
      </c>
      <c r="L15" s="408">
        <f t="shared" si="32"/>
        <v>-0.72491199324324307</v>
      </c>
      <c r="M15" s="63">
        <f t="shared" si="3"/>
        <v>24</v>
      </c>
      <c r="N15" s="407">
        <f t="shared" si="4"/>
        <v>0.55258957509633944</v>
      </c>
      <c r="O15" s="407">
        <f t="shared" si="5"/>
        <v>1.5269626989494153E-3</v>
      </c>
      <c r="P15">
        <f t="shared" si="6"/>
        <v>0.2</v>
      </c>
      <c r="Q15" s="407">
        <f t="shared" si="34"/>
        <v>0.20152696269894943</v>
      </c>
      <c r="R15" s="9">
        <f t="shared" si="39"/>
        <v>0.52245118289190717</v>
      </c>
      <c r="S15" s="9">
        <f t="shared" si="7"/>
        <v>2.7295523850515303E-3</v>
      </c>
      <c r="T15" s="9">
        <f t="shared" si="40"/>
        <v>2.7295523850515303E-3</v>
      </c>
      <c r="U15" s="407">
        <f t="shared" si="8"/>
        <v>0.25478065073612177</v>
      </c>
      <c r="V15" s="409">
        <f t="shared" si="9"/>
        <v>1.2982635997904336E-4</v>
      </c>
      <c r="W15" s="407">
        <f t="shared" si="41"/>
        <v>1.2982635997904336E-4</v>
      </c>
      <c r="X15" s="407">
        <f t="shared" si="10"/>
        <v>0.25478065073612177</v>
      </c>
      <c r="Y15" s="407">
        <f t="shared" si="11"/>
        <v>3.8947907993713008E-4</v>
      </c>
      <c r="Z15" s="407">
        <f t="shared" si="12"/>
        <v>1.3627958933530915E-2</v>
      </c>
      <c r="AA15" s="407">
        <f t="shared" si="13"/>
        <v>0</v>
      </c>
      <c r="AB15" s="407">
        <f t="shared" si="14"/>
        <v>5.2193663513513504E-3</v>
      </c>
      <c r="AC15" s="407">
        <f t="shared" si="15"/>
        <v>1.9238302948125754E-2</v>
      </c>
      <c r="AD15" s="407">
        <f t="shared" si="16"/>
        <v>0.49034891507540962</v>
      </c>
      <c r="AE15" s="407">
        <f t="shared" si="17"/>
        <v>1.4426523510937877E-3</v>
      </c>
      <c r="AF15" s="407">
        <f t="shared" si="18"/>
        <v>8.7877871452702681E-3</v>
      </c>
      <c r="AG15" s="407">
        <f t="shared" si="19"/>
        <v>1.0233392141810665E-2</v>
      </c>
      <c r="AH15" s="407">
        <f t="shared" si="20"/>
        <v>0</v>
      </c>
      <c r="AI15">
        <f t="shared" si="21"/>
        <v>0</v>
      </c>
      <c r="AJ15" s="408">
        <f t="shared" si="22"/>
        <v>0.45357958799999998</v>
      </c>
      <c r="AK15">
        <f t="shared" si="23"/>
        <v>4.8000000000000001E-2</v>
      </c>
      <c r="AL15" s="408">
        <f t="shared" si="24"/>
        <v>5.1750000000000004E-2</v>
      </c>
      <c r="AM15" s="408">
        <f t="shared" si="25"/>
        <v>0.13648893249607535</v>
      </c>
      <c r="AN15" s="408">
        <f t="shared" si="42"/>
        <v>9.9750000000000005E-2</v>
      </c>
      <c r="AO15" s="408">
        <f t="shared" si="26"/>
        <v>0.78718762453391633</v>
      </c>
      <c r="AP15">
        <f t="shared" si="27"/>
        <v>0.91799999999999993</v>
      </c>
      <c r="AQ15" s="10">
        <f t="shared" si="43"/>
        <v>0.5383571794634151</v>
      </c>
      <c r="AR15" s="63">
        <f t="shared" si="28"/>
        <v>0.9619151474062877</v>
      </c>
      <c r="AS15" s="63">
        <f t="shared" si="44"/>
        <v>0.51166960709053322</v>
      </c>
      <c r="AT15" s="10"/>
      <c r="AU15">
        <f t="shared" si="45"/>
        <v>53.835717946341511</v>
      </c>
      <c r="BC15" t="s">
        <v>228</v>
      </c>
      <c r="BD15" s="28">
        <v>20</v>
      </c>
      <c r="BE15" s="28">
        <v>20</v>
      </c>
      <c r="BF15" s="28">
        <v>20</v>
      </c>
      <c r="BG15" s="29">
        <f>1000000*(5-Vdd)*BF15/1000000000+((1000000*BF9/1000000000*Vdd)*2.5/(2*4))</f>
        <v>0.1140625</v>
      </c>
      <c r="BH15">
        <f t="shared" si="29"/>
        <v>9.125</v>
      </c>
      <c r="BI15">
        <f t="shared" si="29"/>
        <v>11.40625</v>
      </c>
      <c r="BJ15">
        <f t="shared" si="29"/>
        <v>13.6875</v>
      </c>
      <c r="BK15">
        <f t="shared" si="29"/>
        <v>15.96875</v>
      </c>
      <c r="BL15">
        <f t="shared" si="29"/>
        <v>18.25</v>
      </c>
      <c r="BM15">
        <f t="shared" si="29"/>
        <v>20.53125</v>
      </c>
      <c r="BN15">
        <f t="shared" si="29"/>
        <v>2.28125</v>
      </c>
      <c r="BO15">
        <f t="shared" si="29"/>
        <v>3.421875</v>
      </c>
      <c r="BP15">
        <f t="shared" si="29"/>
        <v>4.5625</v>
      </c>
      <c r="BQ15">
        <f t="shared" si="29"/>
        <v>5.703125</v>
      </c>
    </row>
    <row r="16" spans="1:69" x14ac:dyDescent="0.25">
      <c r="A16" s="406" t="s">
        <v>618</v>
      </c>
      <c r="B16" s="5">
        <v>7.5</v>
      </c>
      <c r="C16" s="417" t="s">
        <v>0</v>
      </c>
      <c r="D16" s="417" t="s">
        <v>623</v>
      </c>
      <c r="G16">
        <v>7</v>
      </c>
      <c r="H16">
        <f t="shared" si="0"/>
        <v>0.21000000000000002</v>
      </c>
      <c r="I16" s="407">
        <f t="shared" si="1"/>
        <v>0.21259625000000001</v>
      </c>
      <c r="J16" s="408">
        <f t="shared" si="2"/>
        <v>1.8099410472972972</v>
      </c>
      <c r="K16" s="408">
        <f t="shared" si="31"/>
        <v>1.1149705236486487</v>
      </c>
      <c r="L16" s="408">
        <f t="shared" si="32"/>
        <v>-0.69497052364864853</v>
      </c>
      <c r="M16" s="63">
        <f t="shared" si="3"/>
        <v>24</v>
      </c>
      <c r="N16" s="407">
        <f t="shared" si="4"/>
        <v>0.56310793775051371</v>
      </c>
      <c r="O16" s="407">
        <f t="shared" si="5"/>
        <v>1.58565386613051E-3</v>
      </c>
      <c r="P16">
        <f t="shared" si="6"/>
        <v>0.2</v>
      </c>
      <c r="Q16" s="407">
        <f t="shared" si="34"/>
        <v>0.20158565386613053</v>
      </c>
      <c r="R16" s="9">
        <f t="shared" si="39"/>
        <v>0.52248497543722394</v>
      </c>
      <c r="S16" s="9">
        <f t="shared" si="7"/>
        <v>2.7299054955763655E-3</v>
      </c>
      <c r="T16" s="9">
        <f t="shared" si="40"/>
        <v>2.7299054955763655E-3</v>
      </c>
      <c r="U16" s="407">
        <f t="shared" si="8"/>
        <v>0.25963871388218024</v>
      </c>
      <c r="V16" s="409">
        <f t="shared" si="9"/>
        <v>1.3482452349278533E-4</v>
      </c>
      <c r="W16" s="407">
        <f t="shared" si="41"/>
        <v>1.3482452349278533E-4</v>
      </c>
      <c r="X16" s="407">
        <f t="shared" si="10"/>
        <v>0.25963871388218024</v>
      </c>
      <c r="Y16" s="407">
        <f t="shared" si="11"/>
        <v>4.0447357047835594E-4</v>
      </c>
      <c r="Z16" s="407">
        <f t="shared" si="12"/>
        <v>1.4005534645218452E-2</v>
      </c>
      <c r="AA16" s="407">
        <f t="shared" si="13"/>
        <v>0</v>
      </c>
      <c r="AB16" s="407">
        <f t="shared" si="14"/>
        <v>5.0037877702702686E-3</v>
      </c>
      <c r="AC16" s="407">
        <f t="shared" si="15"/>
        <v>1.9415366586496154E-2</v>
      </c>
      <c r="AD16" s="407">
        <f t="shared" si="16"/>
        <v>0.49967818424586413</v>
      </c>
      <c r="AE16" s="407">
        <f t="shared" si="17"/>
        <v>1.4980697268674624E-3</v>
      </c>
      <c r="AF16" s="407">
        <f t="shared" si="18"/>
        <v>9.0312612415540533E-3</v>
      </c>
      <c r="AG16" s="407">
        <f t="shared" si="19"/>
        <v>1.0532486648300808E-2</v>
      </c>
      <c r="AH16" s="407">
        <f t="shared" si="20"/>
        <v>0</v>
      </c>
      <c r="AI16">
        <f t="shared" si="21"/>
        <v>0</v>
      </c>
      <c r="AJ16" s="408">
        <f t="shared" si="22"/>
        <v>0.45357618600000005</v>
      </c>
      <c r="AK16">
        <f t="shared" si="23"/>
        <v>4.8000000000000001E-2</v>
      </c>
      <c r="AL16" s="408">
        <f t="shared" si="24"/>
        <v>5.1750000000000004E-2</v>
      </c>
      <c r="AM16" s="408">
        <f t="shared" si="25"/>
        <v>0.13648893249607535</v>
      </c>
      <c r="AN16" s="408">
        <f t="shared" si="42"/>
        <v>9.9750000000000005E-2</v>
      </c>
      <c r="AO16" s="408">
        <f t="shared" si="26"/>
        <v>0.78772442311999669</v>
      </c>
      <c r="AP16">
        <f t="shared" si="27"/>
        <v>1.071</v>
      </c>
      <c r="AQ16" s="10">
        <f t="shared" si="43"/>
        <v>0.57620160723032454</v>
      </c>
      <c r="AR16" s="63">
        <f t="shared" si="28"/>
        <v>0.97076832932480772</v>
      </c>
      <c r="AS16" s="63">
        <f t="shared" si="44"/>
        <v>0.52662433241504036</v>
      </c>
      <c r="AT16" s="10"/>
      <c r="AU16">
        <f t="shared" si="45"/>
        <v>57.620160723032456</v>
      </c>
      <c r="BC16" t="s">
        <v>229</v>
      </c>
      <c r="BD16" s="28">
        <v>25</v>
      </c>
      <c r="BE16" s="28">
        <v>25</v>
      </c>
      <c r="BF16" s="28">
        <v>25</v>
      </c>
      <c r="BG16" s="29">
        <f>1000000*(12-Vdd)*BF16/1000000000+((1000000*BF9/1000000000*Vdd)*2.5/(2*4))</f>
        <v>0.27656249999999999</v>
      </c>
      <c r="BH16">
        <f t="shared" si="29"/>
        <v>22.125</v>
      </c>
      <c r="BI16">
        <f t="shared" si="29"/>
        <v>27.65625</v>
      </c>
      <c r="BJ16">
        <f t="shared" si="29"/>
        <v>33.1875</v>
      </c>
      <c r="BK16">
        <f t="shared" si="29"/>
        <v>38.71875</v>
      </c>
      <c r="BL16">
        <f t="shared" si="29"/>
        <v>44.25</v>
      </c>
      <c r="BM16">
        <f t="shared" si="29"/>
        <v>49.78125</v>
      </c>
      <c r="BN16">
        <f t="shared" si="29"/>
        <v>5.53125</v>
      </c>
      <c r="BO16">
        <f t="shared" si="29"/>
        <v>8.296875</v>
      </c>
      <c r="BP16">
        <f t="shared" si="29"/>
        <v>11.0625</v>
      </c>
      <c r="BQ16">
        <f t="shared" si="29"/>
        <v>13.828125</v>
      </c>
    </row>
    <row r="17" spans="1:69" x14ac:dyDescent="0.25">
      <c r="A17" s="34" t="s">
        <v>128</v>
      </c>
      <c r="B17" s="26" t="s">
        <v>201</v>
      </c>
      <c r="C17" s="34" t="s">
        <v>148</v>
      </c>
      <c r="D17" s="27" t="s">
        <v>188</v>
      </c>
      <c r="G17">
        <v>8</v>
      </c>
      <c r="H17">
        <f t="shared" si="0"/>
        <v>0.24</v>
      </c>
      <c r="I17" s="407">
        <f t="shared" si="1"/>
        <v>0.21260999999999997</v>
      </c>
      <c r="J17" s="408">
        <f t="shared" si="2"/>
        <v>1.8100581081081073</v>
      </c>
      <c r="K17" s="408">
        <f t="shared" si="31"/>
        <v>1.1450290540540538</v>
      </c>
      <c r="L17" s="408">
        <f t="shared" si="32"/>
        <v>-0.66502905405405366</v>
      </c>
      <c r="M17" s="63">
        <f t="shared" si="3"/>
        <v>23.751037644787633</v>
      </c>
      <c r="N17" s="407">
        <f t="shared" si="4"/>
        <v>0.57500075034211195</v>
      </c>
      <c r="O17" s="407">
        <f t="shared" si="5"/>
        <v>1.6533479703096979E-3</v>
      </c>
      <c r="P17">
        <f t="shared" si="6"/>
        <v>0.2</v>
      </c>
      <c r="Q17" s="407">
        <f t="shared" si="34"/>
        <v>0.2016533479703097</v>
      </c>
      <c r="R17" s="9">
        <f t="shared" si="39"/>
        <v>0.52251876798254027</v>
      </c>
      <c r="S17" s="9">
        <f t="shared" si="7"/>
        <v>2.7302586289399172E-3</v>
      </c>
      <c r="T17" s="9">
        <f t="shared" si="40"/>
        <v>2.7302586289399172E-3</v>
      </c>
      <c r="U17" s="407">
        <f t="shared" si="8"/>
        <v>0.26513084450869079</v>
      </c>
      <c r="V17" s="409">
        <f t="shared" si="9"/>
        <v>1.4058872941978315E-4</v>
      </c>
      <c r="W17" s="407">
        <f t="shared" si="41"/>
        <v>1.4058872941978315E-4</v>
      </c>
      <c r="X17" s="407">
        <f t="shared" si="10"/>
        <v>0.26513084450869079</v>
      </c>
      <c r="Y17" s="407">
        <f t="shared" si="11"/>
        <v>4.2176618825934948E-4</v>
      </c>
      <c r="Z17" s="407">
        <f t="shared" si="12"/>
        <v>1.4383110356905978E-2</v>
      </c>
      <c r="AA17" s="407">
        <f t="shared" si="13"/>
        <v>1.4937741312742007E-3</v>
      </c>
      <c r="AB17" s="407">
        <f t="shared" si="14"/>
        <v>4.788209189189185E-3</v>
      </c>
      <c r="AC17" s="407">
        <f t="shared" si="15"/>
        <v>2.1088638760585841E-2</v>
      </c>
      <c r="AD17" s="407">
        <f t="shared" si="16"/>
        <v>0.51022690852609898</v>
      </c>
      <c r="AE17" s="407">
        <f t="shared" si="17"/>
        <v>1.561988989104601E-3</v>
      </c>
      <c r="AF17" s="407">
        <f t="shared" si="18"/>
        <v>9.2747353378378351E-3</v>
      </c>
      <c r="AG17" s="407">
        <f t="shared" si="19"/>
        <v>1.0840110753670017E-2</v>
      </c>
      <c r="AH17" s="407">
        <f t="shared" si="20"/>
        <v>0</v>
      </c>
      <c r="AI17">
        <f t="shared" si="21"/>
        <v>0</v>
      </c>
      <c r="AJ17" s="408">
        <f t="shared" si="22"/>
        <v>0.45357278400000001</v>
      </c>
      <c r="AK17">
        <f t="shared" si="23"/>
        <v>4.8000000000000001E-2</v>
      </c>
      <c r="AL17" s="408">
        <f t="shared" si="24"/>
        <v>5.1750000000000004E-2</v>
      </c>
      <c r="AM17" s="408">
        <f t="shared" si="25"/>
        <v>0.13648893249607535</v>
      </c>
      <c r="AN17" s="408">
        <f t="shared" si="42"/>
        <v>9.9750000000000005E-2</v>
      </c>
      <c r="AO17" s="408">
        <f t="shared" si="26"/>
        <v>0.78977572884292524</v>
      </c>
      <c r="AP17">
        <f t="shared" si="27"/>
        <v>1.224</v>
      </c>
      <c r="AQ17" s="10">
        <f t="shared" si="43"/>
        <v>0.60781346327144659</v>
      </c>
      <c r="AR17" s="63">
        <f t="shared" si="28"/>
        <v>1.0544319380292921</v>
      </c>
      <c r="AS17" s="63">
        <f t="shared" si="44"/>
        <v>0.5420055376835009</v>
      </c>
      <c r="AT17" s="10"/>
      <c r="AU17">
        <f t="shared" si="45"/>
        <v>60.781346327144661</v>
      </c>
      <c r="BC17" t="s">
        <v>232</v>
      </c>
      <c r="BD17" s="28">
        <v>50</v>
      </c>
      <c r="BE17" s="28">
        <v>50</v>
      </c>
      <c r="BF17" s="28">
        <v>50</v>
      </c>
      <c r="BG17" s="29">
        <f>500000*(18-Vdd)*BF17/1000000000+((500000*BF15/1000000000*Vdd)*2.5/(2*4))</f>
        <v>0.28593750000000001</v>
      </c>
      <c r="BH17">
        <f t="shared" si="29"/>
        <v>22.875</v>
      </c>
      <c r="BI17">
        <f t="shared" si="29"/>
        <v>28.59375</v>
      </c>
      <c r="BJ17">
        <f t="shared" si="29"/>
        <v>34.3125</v>
      </c>
      <c r="BK17">
        <f t="shared" si="29"/>
        <v>40.03125</v>
      </c>
      <c r="BL17">
        <f t="shared" si="29"/>
        <v>45.75</v>
      </c>
      <c r="BM17">
        <f t="shared" si="29"/>
        <v>51.46875</v>
      </c>
      <c r="BN17">
        <f t="shared" si="29"/>
        <v>5.71875</v>
      </c>
      <c r="BO17">
        <f t="shared" si="29"/>
        <v>8.578125</v>
      </c>
      <c r="BP17">
        <f t="shared" si="29"/>
        <v>11.4375</v>
      </c>
      <c r="BQ17">
        <f t="shared" si="29"/>
        <v>14.296875</v>
      </c>
    </row>
    <row r="18" spans="1:69" x14ac:dyDescent="0.25">
      <c r="A18" s="45" t="s">
        <v>126</v>
      </c>
      <c r="B18" s="48">
        <f>Lout2*1000000</f>
        <v>7.4</v>
      </c>
      <c r="C18" s="419" t="s">
        <v>11</v>
      </c>
      <c r="D18" s="31" t="s">
        <v>190</v>
      </c>
      <c r="G18">
        <v>9</v>
      </c>
      <c r="H18">
        <f t="shared" si="0"/>
        <v>0.27</v>
      </c>
      <c r="I18" s="407">
        <f t="shared" si="1"/>
        <v>0.21262375</v>
      </c>
      <c r="J18" s="408">
        <f t="shared" si="2"/>
        <v>1.8101751689189187</v>
      </c>
      <c r="K18" s="408">
        <f t="shared" si="31"/>
        <v>1.1750875844594595</v>
      </c>
      <c r="L18" s="408">
        <f t="shared" si="32"/>
        <v>-0.63508758445945934</v>
      </c>
      <c r="M18" s="63">
        <f t="shared" si="3"/>
        <v>22.681699444980687</v>
      </c>
      <c r="N18" s="407">
        <f t="shared" si="4"/>
        <v>0.58818464661551617</v>
      </c>
      <c r="O18" s="407">
        <f t="shared" si="5"/>
        <v>1.7300453039759969E-3</v>
      </c>
      <c r="P18">
        <f t="shared" si="6"/>
        <v>0.2</v>
      </c>
      <c r="Q18" s="407">
        <f t="shared" si="34"/>
        <v>0.20173004530397601</v>
      </c>
      <c r="R18" s="9">
        <f t="shared" si="39"/>
        <v>0.52255256052785704</v>
      </c>
      <c r="S18" s="9">
        <f t="shared" si="7"/>
        <v>2.7306117851421969E-3</v>
      </c>
      <c r="T18" s="9">
        <f t="shared" si="40"/>
        <v>2.7306117851421969E-3</v>
      </c>
      <c r="U18" s="407">
        <f t="shared" si="8"/>
        <v>0.27121866294580987</v>
      </c>
      <c r="V18" s="409">
        <f t="shared" si="9"/>
        <v>1.4711912626022563E-4</v>
      </c>
      <c r="W18" s="407">
        <f t="shared" si="41"/>
        <v>1.4711912626022563E-4</v>
      </c>
      <c r="X18" s="407">
        <f t="shared" si="10"/>
        <v>0.27121866294580987</v>
      </c>
      <c r="Y18" s="407">
        <f t="shared" si="11"/>
        <v>4.4135737878067693E-4</v>
      </c>
      <c r="Z18" s="407">
        <f t="shared" si="12"/>
        <v>1.4760686068593513E-2</v>
      </c>
      <c r="AA18" s="407">
        <f t="shared" si="13"/>
        <v>7.909803330115879E-3</v>
      </c>
      <c r="AB18" s="407">
        <f t="shared" si="14"/>
        <v>4.5726306081081067E-3</v>
      </c>
      <c r="AC18" s="407">
        <f t="shared" si="15"/>
        <v>2.7686921351004975E-2</v>
      </c>
      <c r="AD18" s="407">
        <f t="shared" si="16"/>
        <v>0.52192108156703809</v>
      </c>
      <c r="AE18" s="407">
        <f t="shared" si="17"/>
        <v>1.634409692304641E-3</v>
      </c>
      <c r="AF18" s="407">
        <f t="shared" si="18"/>
        <v>9.518209434121622E-3</v>
      </c>
      <c r="AG18" s="407">
        <f t="shared" si="19"/>
        <v>1.1156265908252338E-2</v>
      </c>
      <c r="AH18" s="407">
        <f t="shared" si="20"/>
        <v>0</v>
      </c>
      <c r="AI18">
        <f t="shared" si="21"/>
        <v>0</v>
      </c>
      <c r="AJ18" s="408">
        <f t="shared" si="22"/>
        <v>0.45356938200000002</v>
      </c>
      <c r="AK18">
        <f t="shared" si="23"/>
        <v>4.8000000000000001E-2</v>
      </c>
      <c r="AL18" s="408">
        <f t="shared" si="24"/>
        <v>5.1750000000000004E-2</v>
      </c>
      <c r="AM18" s="408">
        <f t="shared" si="25"/>
        <v>0.13648893249607535</v>
      </c>
      <c r="AN18" s="408">
        <f t="shared" si="42"/>
        <v>9.9750000000000005E-2</v>
      </c>
      <c r="AO18" s="408">
        <f t="shared" si="26"/>
        <v>0.79677034547463577</v>
      </c>
      <c r="AP18">
        <f t="shared" si="27"/>
        <v>1.377</v>
      </c>
      <c r="AQ18" s="10">
        <f t="shared" si="43"/>
        <v>0.63346158110337847</v>
      </c>
      <c r="AR18" s="63">
        <f t="shared" si="28"/>
        <v>1.3843460675502488</v>
      </c>
      <c r="AS18" s="63">
        <f t="shared" si="44"/>
        <v>0.55781329541261693</v>
      </c>
      <c r="AT18" s="10"/>
      <c r="AU18">
        <f t="shared" si="45"/>
        <v>63.346158110337846</v>
      </c>
      <c r="BC18" t="s">
        <v>233</v>
      </c>
      <c r="BE18" s="28"/>
      <c r="BF18" s="29"/>
    </row>
    <row r="19" spans="1:69" x14ac:dyDescent="0.25">
      <c r="A19" s="45" t="s">
        <v>12</v>
      </c>
      <c r="B19" s="49">
        <f>Rdcr*1000</f>
        <v>5</v>
      </c>
      <c r="C19" s="417" t="s">
        <v>621</v>
      </c>
      <c r="D19" s="31" t="s">
        <v>191</v>
      </c>
      <c r="G19">
        <v>10</v>
      </c>
      <c r="H19">
        <f t="shared" si="0"/>
        <v>0.30000000000000004</v>
      </c>
      <c r="I19" s="407">
        <f t="shared" si="1"/>
        <v>0.21263750000000001</v>
      </c>
      <c r="J19" s="408">
        <f t="shared" si="2"/>
        <v>1.8102922297297297</v>
      </c>
      <c r="K19" s="408">
        <f t="shared" si="31"/>
        <v>1.2051461148648648</v>
      </c>
      <c r="L19" s="408">
        <f t="shared" si="32"/>
        <v>-0.6051461148648648</v>
      </c>
      <c r="M19" s="63">
        <f t="shared" si="3"/>
        <v>21.612361245173741</v>
      </c>
      <c r="N19" s="407">
        <f t="shared" si="4"/>
        <v>0.60257488863901365</v>
      </c>
      <c r="O19" s="407">
        <f t="shared" si="5"/>
        <v>1.8157461985248262E-3</v>
      </c>
      <c r="P19">
        <f t="shared" si="6"/>
        <v>0.2</v>
      </c>
      <c r="Q19" s="407">
        <f t="shared" si="34"/>
        <v>0.20181574619852483</v>
      </c>
      <c r="R19" s="9">
        <f t="shared" si="39"/>
        <v>0.52258635307317369</v>
      </c>
      <c r="S19" s="9">
        <f t="shared" si="7"/>
        <v>2.7309649641831975E-3</v>
      </c>
      <c r="T19" s="9">
        <f t="shared" si="40"/>
        <v>2.7309649641831975E-3</v>
      </c>
      <c r="U19" s="407">
        <f t="shared" si="8"/>
        <v>0.27786315203198581</v>
      </c>
      <c r="V19" s="409">
        <f t="shared" si="9"/>
        <v>1.5441586251430093E-4</v>
      </c>
      <c r="W19" s="407">
        <f t="shared" si="41"/>
        <v>1.5441586251430093E-4</v>
      </c>
      <c r="X19" s="407">
        <f t="shared" si="10"/>
        <v>0.27786315203198581</v>
      </c>
      <c r="Y19" s="407">
        <f t="shared" si="11"/>
        <v>4.6324758754290275E-4</v>
      </c>
      <c r="Z19" s="407">
        <f t="shared" si="12"/>
        <v>1.5138261780281041E-2</v>
      </c>
      <c r="AA19" s="407">
        <f t="shared" si="13"/>
        <v>1.4325832528957555E-2</v>
      </c>
      <c r="AB19" s="407">
        <f t="shared" si="14"/>
        <v>4.3570520270270266E-3</v>
      </c>
      <c r="AC19" s="407">
        <f t="shared" si="15"/>
        <v>3.4287570650685849E-2</v>
      </c>
      <c r="AD19" s="407">
        <f t="shared" si="16"/>
        <v>0.53468548246718761</v>
      </c>
      <c r="AE19" s="407">
        <f t="shared" si="17"/>
        <v>1.7153313909670151E-3</v>
      </c>
      <c r="AF19" s="407">
        <f t="shared" si="18"/>
        <v>9.7616835304054038E-3</v>
      </c>
      <c r="AG19" s="407">
        <f t="shared" si="19"/>
        <v>1.1480953649411032E-2</v>
      </c>
      <c r="AH19" s="407">
        <f t="shared" si="20"/>
        <v>0</v>
      </c>
      <c r="AI19">
        <f t="shared" si="21"/>
        <v>0</v>
      </c>
      <c r="AJ19" s="408">
        <f t="shared" si="22"/>
        <v>0.45356598000000004</v>
      </c>
      <c r="AK19">
        <f t="shared" si="23"/>
        <v>4.8000000000000001E-2</v>
      </c>
      <c r="AL19" s="408">
        <f t="shared" si="24"/>
        <v>5.1750000000000004E-2</v>
      </c>
      <c r="AM19" s="408">
        <f t="shared" si="25"/>
        <v>0.13648893249607535</v>
      </c>
      <c r="AN19" s="408">
        <f t="shared" si="42"/>
        <v>9.9750000000000005E-2</v>
      </c>
      <c r="AO19" s="408">
        <f t="shared" si="26"/>
        <v>0.80378563132531922</v>
      </c>
      <c r="AP19">
        <f t="shared" si="27"/>
        <v>1.53</v>
      </c>
      <c r="AQ19" s="10">
        <f t="shared" si="43"/>
        <v>0.65558720538147186</v>
      </c>
      <c r="AR19" s="63">
        <f t="shared" si="28"/>
        <v>1.7143785325342924</v>
      </c>
      <c r="AS19" s="63">
        <f t="shared" si="44"/>
        <v>0.5740476824705516</v>
      </c>
      <c r="AT19" s="10"/>
      <c r="AU19">
        <f t="shared" si="45"/>
        <v>65.558720538147185</v>
      </c>
      <c r="BC19" t="s">
        <v>234</v>
      </c>
      <c r="BE19" s="28"/>
      <c r="BF19" s="29"/>
    </row>
    <row r="20" spans="1:69" x14ac:dyDescent="0.25">
      <c r="A20" s="45" t="s">
        <v>155</v>
      </c>
      <c r="B20" s="49">
        <f>Ltc*1000000</f>
        <v>4000</v>
      </c>
      <c r="C20" s="419" t="s">
        <v>154</v>
      </c>
      <c r="D20" s="31" t="s">
        <v>176</v>
      </c>
      <c r="G20">
        <v>11</v>
      </c>
      <c r="H20">
        <f t="shared" si="0"/>
        <v>0.33</v>
      </c>
      <c r="I20" s="407">
        <f t="shared" si="1"/>
        <v>0.21265124999999996</v>
      </c>
      <c r="J20" s="408">
        <f t="shared" si="2"/>
        <v>1.8104092905405398</v>
      </c>
      <c r="K20" s="408">
        <f t="shared" si="31"/>
        <v>1.2352046452702699</v>
      </c>
      <c r="L20" s="408">
        <f t="shared" si="32"/>
        <v>-0.57520464527026993</v>
      </c>
      <c r="M20" s="63">
        <f t="shared" si="3"/>
        <v>20.543023045366784</v>
      </c>
      <c r="N20" s="407">
        <f t="shared" si="4"/>
        <v>0.61808722410861372</v>
      </c>
      <c r="O20" s="407">
        <f t="shared" si="5"/>
        <v>1.9104510242615928E-3</v>
      </c>
      <c r="P20">
        <f t="shared" si="6"/>
        <v>0.2</v>
      </c>
      <c r="Q20" s="407">
        <f t="shared" si="34"/>
        <v>0.20191045102426161</v>
      </c>
      <c r="R20" s="9">
        <f t="shared" si="39"/>
        <v>0.52262014561849002</v>
      </c>
      <c r="S20" s="9">
        <f t="shared" si="7"/>
        <v>2.7313181660629173E-3</v>
      </c>
      <c r="T20" s="9">
        <f t="shared" si="40"/>
        <v>2.7313181660629173E-3</v>
      </c>
      <c r="U20" s="407">
        <f t="shared" si="8"/>
        <v>0.28502551349150951</v>
      </c>
      <c r="V20" s="409">
        <f t="shared" si="9"/>
        <v>1.6247908668219735E-4</v>
      </c>
      <c r="W20" s="407">
        <f t="shared" si="41"/>
        <v>1.6247908668219735E-4</v>
      </c>
      <c r="X20" s="407">
        <f t="shared" si="10"/>
        <v>0.28502551349150951</v>
      </c>
      <c r="Y20" s="407">
        <f t="shared" si="11"/>
        <v>4.8743726004659208E-4</v>
      </c>
      <c r="Z20" s="407">
        <f t="shared" si="12"/>
        <v>1.5515837491968569E-2</v>
      </c>
      <c r="AA20" s="407">
        <f t="shared" si="13"/>
        <v>2.0741861727799297E-2</v>
      </c>
      <c r="AB20" s="407">
        <f t="shared" si="14"/>
        <v>4.141473445945943E-3</v>
      </c>
      <c r="AC20" s="407">
        <f t="shared" si="15"/>
        <v>4.0890596245799542E-2</v>
      </c>
      <c r="AD20" s="407">
        <f t="shared" si="16"/>
        <v>0.54844532386117861</v>
      </c>
      <c r="AE20" s="407">
        <f t="shared" si="17"/>
        <v>1.8047536395911586E-3</v>
      </c>
      <c r="AF20" s="407">
        <f t="shared" si="18"/>
        <v>1.0005157626689186E-2</v>
      </c>
      <c r="AG20" s="407">
        <f t="shared" si="19"/>
        <v>1.1814175601563483E-2</v>
      </c>
      <c r="AH20" s="407">
        <f t="shared" si="20"/>
        <v>0</v>
      </c>
      <c r="AI20">
        <f t="shared" si="21"/>
        <v>0</v>
      </c>
      <c r="AJ20" s="408">
        <f t="shared" si="22"/>
        <v>0.45356257799999999</v>
      </c>
      <c r="AK20">
        <f t="shared" si="23"/>
        <v>4.8000000000000001E-2</v>
      </c>
      <c r="AL20" s="408">
        <f t="shared" si="24"/>
        <v>5.1750000000000004E-2</v>
      </c>
      <c r="AM20" s="408">
        <f t="shared" si="25"/>
        <v>0.13648893249607535</v>
      </c>
      <c r="AN20" s="408">
        <f t="shared" si="42"/>
        <v>9.9750000000000005E-2</v>
      </c>
      <c r="AO20" s="408">
        <f t="shared" si="26"/>
        <v>0.81082159812436982</v>
      </c>
      <c r="AP20">
        <f t="shared" si="27"/>
        <v>1.6830000000000001</v>
      </c>
      <c r="AQ20" s="10">
        <f t="shared" si="43"/>
        <v>0.67486784189606919</v>
      </c>
      <c r="AR20" s="63">
        <f t="shared" si="28"/>
        <v>2.0445298122899769</v>
      </c>
      <c r="AS20" s="63">
        <f t="shared" si="44"/>
        <v>0.59070878007817418</v>
      </c>
      <c r="AT20" s="10"/>
      <c r="AU20">
        <f t="shared" si="45"/>
        <v>67.486784189606922</v>
      </c>
      <c r="BE20" s="28"/>
      <c r="BF20" s="29"/>
    </row>
    <row r="21" spans="1:69" x14ac:dyDescent="0.25">
      <c r="A21" s="35" t="s">
        <v>250</v>
      </c>
      <c r="B21" s="49">
        <f>ThetaCa</f>
        <v>20</v>
      </c>
      <c r="C21" s="419" t="s">
        <v>720</v>
      </c>
      <c r="D21" s="36" t="s">
        <v>251</v>
      </c>
      <c r="G21">
        <v>12</v>
      </c>
      <c r="H21">
        <f t="shared" si="0"/>
        <v>0.36</v>
      </c>
      <c r="I21" s="407">
        <f t="shared" si="1"/>
        <v>0.21266499999999999</v>
      </c>
      <c r="J21" s="408">
        <f t="shared" si="2"/>
        <v>1.810526351351351</v>
      </c>
      <c r="K21" s="408">
        <f t="shared" si="31"/>
        <v>1.2652631756756754</v>
      </c>
      <c r="L21" s="408">
        <f t="shared" si="32"/>
        <v>-0.5452631756756755</v>
      </c>
      <c r="M21" s="63">
        <f t="shared" si="3"/>
        <v>19.473684845559838</v>
      </c>
      <c r="N21" s="407">
        <f t="shared" si="4"/>
        <v>0.63463937718844421</v>
      </c>
      <c r="O21" s="407">
        <f t="shared" si="5"/>
        <v>2.0141601904056961E-3</v>
      </c>
      <c r="P21">
        <f t="shared" si="6"/>
        <v>0.2</v>
      </c>
      <c r="Q21" s="407">
        <f t="shared" si="34"/>
        <v>0.20201416019040572</v>
      </c>
      <c r="R21" s="9">
        <f t="shared" si="39"/>
        <v>0.52265393816380679</v>
      </c>
      <c r="S21" s="9">
        <f t="shared" si="7"/>
        <v>2.7316713907813641E-3</v>
      </c>
      <c r="T21" s="9">
        <f t="shared" si="40"/>
        <v>2.7316713907813641E-3</v>
      </c>
      <c r="U21" s="407">
        <f t="shared" si="8"/>
        <v>0.29266785548134916</v>
      </c>
      <c r="V21" s="409">
        <f t="shared" si="9"/>
        <v>1.7130894726410375E-4</v>
      </c>
      <c r="W21" s="407">
        <f t="shared" si="41"/>
        <v>1.7130894726410375E-4</v>
      </c>
      <c r="X21" s="407">
        <f t="shared" si="10"/>
        <v>0.29266785548134916</v>
      </c>
      <c r="Y21" s="407">
        <f t="shared" si="11"/>
        <v>5.1392684179231126E-4</v>
      </c>
      <c r="Z21" s="407">
        <f t="shared" si="12"/>
        <v>1.5893413203656101E-2</v>
      </c>
      <c r="AA21" s="407">
        <f t="shared" si="13"/>
        <v>2.7157890926640976E-2</v>
      </c>
      <c r="AB21" s="407">
        <f t="shared" si="14"/>
        <v>3.925894864864863E-3</v>
      </c>
      <c r="AC21" s="407">
        <f t="shared" si="15"/>
        <v>4.7496007731604499E-2</v>
      </c>
      <c r="AD21" s="407">
        <f t="shared" si="16"/>
        <v>0.56312757475201347</v>
      </c>
      <c r="AE21" s="407">
        <f t="shared" si="17"/>
        <v>1.9026759926765071E-3</v>
      </c>
      <c r="AF21" s="407">
        <f t="shared" si="18"/>
        <v>1.0248631722972969E-2</v>
      </c>
      <c r="AG21" s="407">
        <f t="shared" si="19"/>
        <v>1.2155933476208226E-2</v>
      </c>
      <c r="AH21" s="407">
        <f t="shared" si="20"/>
        <v>0</v>
      </c>
      <c r="AI21">
        <f t="shared" si="21"/>
        <v>0</v>
      </c>
      <c r="AJ21" s="408">
        <f t="shared" si="22"/>
        <v>0.45355917600000001</v>
      </c>
      <c r="AK21">
        <f t="shared" si="23"/>
        <v>4.8000000000000001E-2</v>
      </c>
      <c r="AL21" s="408">
        <f t="shared" si="24"/>
        <v>5.1750000000000004E-2</v>
      </c>
      <c r="AM21" s="408">
        <f t="shared" si="25"/>
        <v>0.13648893249607535</v>
      </c>
      <c r="AN21" s="408">
        <f t="shared" si="42"/>
        <v>9.9750000000000005E-2</v>
      </c>
      <c r="AO21" s="408">
        <f t="shared" si="26"/>
        <v>0.81787825773626399</v>
      </c>
      <c r="AP21">
        <f t="shared" si="27"/>
        <v>1.8359999999999999</v>
      </c>
      <c r="AQ21" s="10">
        <f t="shared" si="43"/>
        <v>0.69181771795594438</v>
      </c>
      <c r="AR21" s="63">
        <f t="shared" si="28"/>
        <v>2.3748003865802247</v>
      </c>
      <c r="AS21" s="63">
        <f t="shared" si="44"/>
        <v>0.60779667381041136</v>
      </c>
      <c r="AT21" s="10"/>
      <c r="AU21">
        <f t="shared" si="45"/>
        <v>69.181771795594443</v>
      </c>
      <c r="BE21" s="28"/>
      <c r="BF21" s="29"/>
    </row>
    <row r="22" spans="1:69" x14ac:dyDescent="0.25">
      <c r="A22" s="46" t="s">
        <v>127</v>
      </c>
      <c r="B22" s="49">
        <f>Cin*1000000</f>
        <v>110</v>
      </c>
      <c r="C22" s="420" t="s">
        <v>30</v>
      </c>
      <c r="D22" s="31" t="s">
        <v>177</v>
      </c>
      <c r="G22">
        <v>13</v>
      </c>
      <c r="H22">
        <f t="shared" si="0"/>
        <v>0.39</v>
      </c>
      <c r="I22" s="407">
        <f t="shared" si="1"/>
        <v>0.21267875</v>
      </c>
      <c r="J22" s="408">
        <f t="shared" si="2"/>
        <v>1.810643412162162</v>
      </c>
      <c r="K22" s="408">
        <f t="shared" si="31"/>
        <v>1.2953217060810811</v>
      </c>
      <c r="L22" s="408">
        <f t="shared" si="32"/>
        <v>-0.51532170608108097</v>
      </c>
      <c r="M22" s="63">
        <f t="shared" si="3"/>
        <v>18.404346645752891</v>
      </c>
      <c r="N22" s="407">
        <f t="shared" si="4"/>
        <v>0.65215217843219164</v>
      </c>
      <c r="O22" s="407">
        <f t="shared" si="5"/>
        <v>2.1268741450949352E-3</v>
      </c>
      <c r="P22">
        <f t="shared" si="6"/>
        <v>0.2</v>
      </c>
      <c r="Q22" s="407">
        <f t="shared" si="34"/>
        <v>0.20212687414509495</v>
      </c>
      <c r="R22" s="9">
        <f t="shared" si="39"/>
        <v>0.52268773070912344</v>
      </c>
      <c r="S22" s="9">
        <f t="shared" si="7"/>
        <v>2.7320246383385318E-3</v>
      </c>
      <c r="T22" s="9">
        <f t="shared" si="40"/>
        <v>2.7320246383385318E-3</v>
      </c>
      <c r="U22" s="407">
        <f t="shared" si="8"/>
        <v>0.30075371382595445</v>
      </c>
      <c r="V22" s="409">
        <f t="shared" si="9"/>
        <v>1.8090559276020822E-4</v>
      </c>
      <c r="W22" s="407">
        <f t="shared" si="41"/>
        <v>1.8090559276020822E-4</v>
      </c>
      <c r="X22" s="407">
        <f t="shared" si="10"/>
        <v>0.30075371382595445</v>
      </c>
      <c r="Y22" s="407">
        <f t="shared" si="11"/>
        <v>5.4271677828062468E-4</v>
      </c>
      <c r="Z22" s="407">
        <f t="shared" si="12"/>
        <v>1.6270988915343638E-2</v>
      </c>
      <c r="AA22" s="407">
        <f t="shared" si="13"/>
        <v>3.3573920125482652E-2</v>
      </c>
      <c r="AB22" s="407">
        <f t="shared" si="14"/>
        <v>3.7103162837837829E-3</v>
      </c>
      <c r="AC22" s="407">
        <f t="shared" si="15"/>
        <v>5.4103814712493391E-2</v>
      </c>
      <c r="AD22" s="407">
        <f t="shared" si="16"/>
        <v>0.57866196302655748</v>
      </c>
      <c r="AE22" s="407">
        <f t="shared" si="17"/>
        <v>2.0090980047224941E-3</v>
      </c>
      <c r="AF22" s="407">
        <f t="shared" si="18"/>
        <v>1.0492105819256756E-2</v>
      </c>
      <c r="AG22" s="407">
        <f t="shared" si="19"/>
        <v>1.2506229071954264E-2</v>
      </c>
      <c r="AH22" s="407">
        <f t="shared" si="20"/>
        <v>0</v>
      </c>
      <c r="AI22">
        <f t="shared" si="21"/>
        <v>0</v>
      </c>
      <c r="AJ22" s="408">
        <f t="shared" si="22"/>
        <v>0.45355577400000002</v>
      </c>
      <c r="AK22">
        <f t="shared" si="23"/>
        <v>4.8000000000000001E-2</v>
      </c>
      <c r="AL22" s="408">
        <f t="shared" si="24"/>
        <v>5.1750000000000004E-2</v>
      </c>
      <c r="AM22" s="408">
        <f t="shared" si="25"/>
        <v>0.13648893249607535</v>
      </c>
      <c r="AN22" s="408">
        <f t="shared" si="42"/>
        <v>9.9750000000000005E-2</v>
      </c>
      <c r="AO22" s="408">
        <f t="shared" si="26"/>
        <v>0.82495562216064144</v>
      </c>
      <c r="AP22">
        <f t="shared" si="27"/>
        <v>1.9889999999999999</v>
      </c>
      <c r="AQ22" s="10">
        <f t="shared" si="43"/>
        <v>0.70683417475958088</v>
      </c>
      <c r="AR22" s="63">
        <f t="shared" si="28"/>
        <v>2.7051907356246696</v>
      </c>
      <c r="AS22" s="63">
        <f t="shared" si="44"/>
        <v>0.62531145359771323</v>
      </c>
      <c r="AT22" s="10"/>
      <c r="AU22">
        <f t="shared" si="45"/>
        <v>70.683417475958095</v>
      </c>
      <c r="BE22" s="28"/>
      <c r="BF22" s="29"/>
    </row>
    <row r="23" spans="1:69" x14ac:dyDescent="0.25">
      <c r="A23" s="46" t="s">
        <v>159</v>
      </c>
      <c r="B23" s="49">
        <f>RCinEsr*1000</f>
        <v>2</v>
      </c>
      <c r="C23" s="417" t="s">
        <v>621</v>
      </c>
      <c r="D23" s="31" t="s">
        <v>178</v>
      </c>
      <c r="G23">
        <v>14</v>
      </c>
      <c r="H23">
        <f t="shared" si="0"/>
        <v>0.42000000000000004</v>
      </c>
      <c r="I23" s="407">
        <f t="shared" si="1"/>
        <v>0.21269249999999998</v>
      </c>
      <c r="J23" s="408">
        <f t="shared" si="2"/>
        <v>1.8107604729729725</v>
      </c>
      <c r="K23" s="408">
        <f t="shared" si="31"/>
        <v>1.3253802364864864</v>
      </c>
      <c r="L23" s="408">
        <f t="shared" si="32"/>
        <v>-0.48538023648648621</v>
      </c>
      <c r="M23" s="63">
        <f t="shared" si="3"/>
        <v>17.335008445945935</v>
      </c>
      <c r="N23" s="407">
        <f t="shared" si="4"/>
        <v>0.67055036415875724</v>
      </c>
      <c r="O23" s="407">
        <f t="shared" si="5"/>
        <v>2.248593375390363E-3</v>
      </c>
      <c r="P23">
        <f t="shared" si="6"/>
        <v>0.2</v>
      </c>
      <c r="Q23" s="407">
        <f t="shared" si="34"/>
        <v>0.20224859337539036</v>
      </c>
      <c r="R23" s="9">
        <f t="shared" si="39"/>
        <v>0.52272152325443988</v>
      </c>
      <c r="S23" s="9">
        <f t="shared" si="7"/>
        <v>2.7323779087344191E-3</v>
      </c>
      <c r="T23" s="9">
        <f t="shared" si="40"/>
        <v>2.7323779087344191E-3</v>
      </c>
      <c r="U23" s="407">
        <f t="shared" si="8"/>
        <v>0.30924842091003396</v>
      </c>
      <c r="V23" s="409">
        <f t="shared" si="9"/>
        <v>1.9126917167069907E-4</v>
      </c>
      <c r="W23" s="407">
        <f t="shared" si="41"/>
        <v>1.9126917167069907E-4</v>
      </c>
      <c r="X23" s="407">
        <f t="shared" si="10"/>
        <v>0.30924842091003396</v>
      </c>
      <c r="Y23" s="407">
        <f t="shared" si="11"/>
        <v>5.7380751501209717E-4</v>
      </c>
      <c r="Z23" s="407">
        <f t="shared" si="12"/>
        <v>1.6648564627031168E-2</v>
      </c>
      <c r="AA23" s="407">
        <f t="shared" si="13"/>
        <v>3.9989949324324391E-2</v>
      </c>
      <c r="AB23" s="407">
        <f t="shared" si="14"/>
        <v>3.4947377027027006E-3</v>
      </c>
      <c r="AC23" s="407">
        <f t="shared" si="15"/>
        <v>6.0714026802039488E-2</v>
      </c>
      <c r="AD23" s="407">
        <f t="shared" si="16"/>
        <v>0.59498168462406675</v>
      </c>
      <c r="AE23" s="407">
        <f t="shared" si="17"/>
        <v>2.1240192302285545E-3</v>
      </c>
      <c r="AF23" s="407">
        <f t="shared" si="18"/>
        <v>1.073557991554054E-2</v>
      </c>
      <c r="AG23" s="407">
        <f t="shared" si="19"/>
        <v>1.286506427455255E-2</v>
      </c>
      <c r="AH23" s="407">
        <f t="shared" si="20"/>
        <v>0</v>
      </c>
      <c r="AI23">
        <f t="shared" si="21"/>
        <v>0</v>
      </c>
      <c r="AJ23" s="408">
        <f t="shared" si="22"/>
        <v>0.45355237199999998</v>
      </c>
      <c r="AK23">
        <f t="shared" si="23"/>
        <v>4.8000000000000001E-2</v>
      </c>
      <c r="AL23" s="408">
        <f t="shared" si="24"/>
        <v>5.1750000000000004E-2</v>
      </c>
      <c r="AM23" s="408">
        <f t="shared" si="25"/>
        <v>0.13648893249607535</v>
      </c>
      <c r="AN23" s="408">
        <f t="shared" si="42"/>
        <v>9.9750000000000005E-2</v>
      </c>
      <c r="AO23" s="408">
        <f t="shared" si="26"/>
        <v>0.8320537035323875</v>
      </c>
      <c r="AP23">
        <f t="shared" si="27"/>
        <v>2.1419999999999999</v>
      </c>
      <c r="AQ23" s="10">
        <f t="shared" si="43"/>
        <v>0.72022909251970524</v>
      </c>
      <c r="AR23" s="63">
        <f t="shared" si="28"/>
        <v>3.0357013401019746</v>
      </c>
      <c r="AS23" s="63">
        <f t="shared" si="44"/>
        <v>0.64325321372762745</v>
      </c>
      <c r="AT23" s="10"/>
      <c r="AU23">
        <f t="shared" si="45"/>
        <v>72.022909251970518</v>
      </c>
      <c r="BE23" s="28"/>
      <c r="BF23" s="29"/>
    </row>
    <row r="24" spans="1:69" x14ac:dyDescent="0.25">
      <c r="A24" s="45" t="s">
        <v>36</v>
      </c>
      <c r="B24" s="49">
        <f>Cout*1000000</f>
        <v>132</v>
      </c>
      <c r="C24" s="419" t="s">
        <v>30</v>
      </c>
      <c r="D24" s="31" t="s">
        <v>199</v>
      </c>
      <c r="G24">
        <v>15</v>
      </c>
      <c r="H24">
        <f t="shared" si="0"/>
        <v>0.44999999999999996</v>
      </c>
      <c r="I24" s="407">
        <f t="shared" si="1"/>
        <v>0.21270624999999999</v>
      </c>
      <c r="J24" s="408">
        <f t="shared" si="2"/>
        <v>1.8108775337837835</v>
      </c>
      <c r="K24" s="408">
        <f t="shared" si="31"/>
        <v>1.3554387668918917</v>
      </c>
      <c r="L24" s="408">
        <f t="shared" si="32"/>
        <v>-0.45543876689189178</v>
      </c>
      <c r="M24" s="63">
        <f t="shared" si="3"/>
        <v>16.265670246138992</v>
      </c>
      <c r="N24" s="407">
        <f t="shared" si="4"/>
        <v>0.68976308990616708</v>
      </c>
      <c r="O24" s="407">
        <f t="shared" si="5"/>
        <v>2.3793184072815458E-3</v>
      </c>
      <c r="P24">
        <f t="shared" si="6"/>
        <v>0.2</v>
      </c>
      <c r="Q24" s="407">
        <f t="shared" si="34"/>
        <v>0.20237931840728154</v>
      </c>
      <c r="R24" s="9">
        <f t="shared" si="39"/>
        <v>0.52275531579975654</v>
      </c>
      <c r="S24" s="9">
        <f t="shared" si="7"/>
        <v>2.7327312019690322E-3</v>
      </c>
      <c r="T24" s="9">
        <f t="shared" si="40"/>
        <v>2.7327312019690322E-3</v>
      </c>
      <c r="U24" s="407">
        <f t="shared" si="8"/>
        <v>0.31811934277544729</v>
      </c>
      <c r="V24" s="409">
        <f t="shared" si="9"/>
        <v>2.0239983249576506E-4</v>
      </c>
      <c r="W24" s="407">
        <f t="shared" si="41"/>
        <v>2.0239983249576506E-4</v>
      </c>
      <c r="X24" s="407">
        <f t="shared" si="10"/>
        <v>0.31811934277544729</v>
      </c>
      <c r="Y24" s="407">
        <f t="shared" si="11"/>
        <v>6.0719949748729517E-4</v>
      </c>
      <c r="Z24" s="407">
        <f t="shared" si="12"/>
        <v>1.7026140338718694E-2</v>
      </c>
      <c r="AA24" s="407">
        <f t="shared" si="13"/>
        <v>4.6405978523166046E-2</v>
      </c>
      <c r="AB24" s="407">
        <f t="shared" si="14"/>
        <v>3.279159121621621E-3</v>
      </c>
      <c r="AC24" s="407">
        <f t="shared" si="15"/>
        <v>6.7326653623043131E-2</v>
      </c>
      <c r="AD24" s="407">
        <f t="shared" si="16"/>
        <v>0.61202385897040046</v>
      </c>
      <c r="AE24" s="407">
        <f t="shared" si="17"/>
        <v>2.2474392236941235E-3</v>
      </c>
      <c r="AF24" s="407">
        <f t="shared" si="18"/>
        <v>1.0979054011824321E-2</v>
      </c>
      <c r="AG24" s="407">
        <f t="shared" si="19"/>
        <v>1.3232441056929757E-2</v>
      </c>
      <c r="AH24" s="407">
        <f t="shared" si="20"/>
        <v>0</v>
      </c>
      <c r="AI24">
        <f t="shared" si="21"/>
        <v>0</v>
      </c>
      <c r="AJ24" s="408">
        <f t="shared" si="22"/>
        <v>0.45354897</v>
      </c>
      <c r="AK24">
        <f t="shared" si="23"/>
        <v>4.8000000000000001E-2</v>
      </c>
      <c r="AL24" s="408">
        <f t="shared" si="24"/>
        <v>5.1750000000000004E-2</v>
      </c>
      <c r="AM24" s="408">
        <f t="shared" si="25"/>
        <v>0.13648893249607535</v>
      </c>
      <c r="AN24" s="408">
        <f t="shared" si="42"/>
        <v>9.9750000000000005E-2</v>
      </c>
      <c r="AO24" s="408">
        <f t="shared" si="26"/>
        <v>0.83917251412171923</v>
      </c>
      <c r="AP24">
        <f t="shared" si="27"/>
        <v>2.2949999999999995</v>
      </c>
      <c r="AQ24" s="10">
        <f t="shared" si="43"/>
        <v>0.73225069445263813</v>
      </c>
      <c r="AR24" s="63">
        <f t="shared" si="28"/>
        <v>3.3663326811521568</v>
      </c>
      <c r="AS24" s="63">
        <f t="shared" si="44"/>
        <v>0.6616220528464879</v>
      </c>
      <c r="AT24" s="10"/>
      <c r="AU24">
        <f t="shared" si="45"/>
        <v>73.225069445263813</v>
      </c>
      <c r="BE24" s="28"/>
      <c r="BF24" s="29"/>
    </row>
    <row r="25" spans="1:69" x14ac:dyDescent="0.25">
      <c r="A25" s="45" t="s">
        <v>158</v>
      </c>
      <c r="B25" s="50">
        <f>CoutEsr*1000</f>
        <v>10</v>
      </c>
      <c r="C25" s="417" t="s">
        <v>621</v>
      </c>
      <c r="D25" s="31" t="s">
        <v>200</v>
      </c>
      <c r="G25">
        <v>16</v>
      </c>
      <c r="H25">
        <f t="shared" si="0"/>
        <v>0.48</v>
      </c>
      <c r="I25" s="407">
        <f t="shared" si="1"/>
        <v>0.21271999999999999</v>
      </c>
      <c r="J25" s="408">
        <f t="shared" si="2"/>
        <v>1.8109945945945942</v>
      </c>
      <c r="K25" s="408">
        <f t="shared" si="31"/>
        <v>1.385497297297297</v>
      </c>
      <c r="L25" s="408">
        <f t="shared" si="32"/>
        <v>-0.42549729729729713</v>
      </c>
      <c r="M25" s="63">
        <f t="shared" si="3"/>
        <v>15.19633204633204</v>
      </c>
      <c r="N25" s="407">
        <f t="shared" si="4"/>
        <v>0.70972420826982963</v>
      </c>
      <c r="O25" s="407">
        <f t="shared" si="5"/>
        <v>2.5190498056922397E-3</v>
      </c>
      <c r="P25">
        <f t="shared" si="6"/>
        <v>0.2</v>
      </c>
      <c r="Q25" s="407">
        <f t="shared" si="34"/>
        <v>0.20251904980569224</v>
      </c>
      <c r="R25" s="9">
        <f t="shared" si="39"/>
        <v>0.52278910834507308</v>
      </c>
      <c r="S25" s="9">
        <f t="shared" si="7"/>
        <v>2.7330845180423657E-3</v>
      </c>
      <c r="T25" s="9">
        <f t="shared" si="40"/>
        <v>2.7330845180423657E-3</v>
      </c>
      <c r="U25" s="407">
        <f t="shared" si="8"/>
        <v>0.32733600759433296</v>
      </c>
      <c r="V25" s="409">
        <f t="shared" si="9"/>
        <v>2.1429772373559442E-4</v>
      </c>
      <c r="W25" s="407">
        <f t="shared" si="41"/>
        <v>2.1429772373559442E-4</v>
      </c>
      <c r="X25" s="407">
        <f t="shared" si="10"/>
        <v>0.32733600759433296</v>
      </c>
      <c r="Y25" s="407">
        <f t="shared" si="11"/>
        <v>6.428931712067833E-4</v>
      </c>
      <c r="Z25" s="407">
        <f t="shared" si="12"/>
        <v>1.7403716050406224E-2</v>
      </c>
      <c r="AA25" s="407">
        <f t="shared" si="13"/>
        <v>5.2822007722007756E-2</v>
      </c>
      <c r="AB25" s="407">
        <f t="shared" si="14"/>
        <v>3.0635805405405392E-3</v>
      </c>
      <c r="AC25" s="407">
        <f t="shared" si="15"/>
        <v>7.3941704807578931E-2</v>
      </c>
      <c r="AD25" s="407">
        <f t="shared" si="16"/>
        <v>0.62972977532941798</v>
      </c>
      <c r="AE25" s="407">
        <f t="shared" si="17"/>
        <v>2.3793575396186357E-3</v>
      </c>
      <c r="AF25" s="407">
        <f t="shared" si="18"/>
        <v>1.1222528108108105E-2</v>
      </c>
      <c r="AG25" s="407">
        <f t="shared" si="19"/>
        <v>1.3608361479224231E-2</v>
      </c>
      <c r="AH25" s="407">
        <f t="shared" si="20"/>
        <v>0</v>
      </c>
      <c r="AI25">
        <f t="shared" si="21"/>
        <v>0</v>
      </c>
      <c r="AJ25" s="408">
        <f t="shared" si="22"/>
        <v>0.45354556800000001</v>
      </c>
      <c r="AK25">
        <f t="shared" si="23"/>
        <v>4.8000000000000001E-2</v>
      </c>
      <c r="AL25" s="408">
        <f t="shared" si="24"/>
        <v>5.1750000000000004E-2</v>
      </c>
      <c r="AM25" s="408">
        <f t="shared" si="25"/>
        <v>0.13648893249607535</v>
      </c>
      <c r="AN25" s="408">
        <f t="shared" si="42"/>
        <v>9.9750000000000005E-2</v>
      </c>
      <c r="AO25" s="408">
        <f t="shared" si="26"/>
        <v>0.84631206633427347</v>
      </c>
      <c r="AP25">
        <f t="shared" si="27"/>
        <v>2.448</v>
      </c>
      <c r="AQ25" s="10">
        <f t="shared" si="43"/>
        <v>0.74309899933797041</v>
      </c>
      <c r="AR25" s="63">
        <f t="shared" si="28"/>
        <v>3.6970852403789465</v>
      </c>
      <c r="AS25" s="63">
        <f t="shared" si="44"/>
        <v>0.68041807396121157</v>
      </c>
      <c r="AT25" s="10"/>
      <c r="AU25">
        <f t="shared" si="45"/>
        <v>74.309899933797041</v>
      </c>
      <c r="BC25" t="s">
        <v>240</v>
      </c>
      <c r="BD25" t="s">
        <v>4</v>
      </c>
      <c r="BE25" t="s">
        <v>6</v>
      </c>
      <c r="BF25" t="s">
        <v>5</v>
      </c>
      <c r="BG25" t="s">
        <v>241</v>
      </c>
      <c r="BH25" t="s">
        <v>242</v>
      </c>
    </row>
    <row r="26" spans="1:69" x14ac:dyDescent="0.25">
      <c r="A26" s="34" t="s">
        <v>202</v>
      </c>
      <c r="B26" s="47" t="s">
        <v>201</v>
      </c>
      <c r="C26" s="34" t="s">
        <v>148</v>
      </c>
      <c r="D26" s="27" t="s">
        <v>188</v>
      </c>
      <c r="G26">
        <v>17</v>
      </c>
      <c r="H26">
        <f t="shared" si="0"/>
        <v>0.51</v>
      </c>
      <c r="I26" s="407">
        <f t="shared" si="1"/>
        <v>0.21273374999999997</v>
      </c>
      <c r="J26" s="408">
        <f t="shared" si="2"/>
        <v>1.8111116554054048</v>
      </c>
      <c r="K26" s="408">
        <f t="shared" si="31"/>
        <v>1.4155558277027023</v>
      </c>
      <c r="L26" s="408">
        <f t="shared" si="32"/>
        <v>-0.39555582770270237</v>
      </c>
      <c r="M26" s="63">
        <f t="shared" si="3"/>
        <v>14.126993846525083</v>
      </c>
      <c r="N26" s="407">
        <f t="shared" si="4"/>
        <v>0.73037236098817582</v>
      </c>
      <c r="O26" s="407">
        <f t="shared" si="5"/>
        <v>2.6677881744865037E-3</v>
      </c>
      <c r="P26">
        <f t="shared" si="6"/>
        <v>0.2</v>
      </c>
      <c r="Q26" s="407">
        <f t="shared" si="34"/>
        <v>0.20266778817448652</v>
      </c>
      <c r="R26" s="9">
        <f t="shared" si="39"/>
        <v>0.52282290089038963</v>
      </c>
      <c r="S26" s="9">
        <f t="shared" si="7"/>
        <v>2.7334378569544215E-3</v>
      </c>
      <c r="T26" s="9">
        <f t="shared" si="40"/>
        <v>2.7334378569544215E-3</v>
      </c>
      <c r="U26" s="407">
        <f t="shared" si="8"/>
        <v>0.33687014849224584</v>
      </c>
      <c r="V26" s="409">
        <f t="shared" si="9"/>
        <v>2.2696299389037553E-4</v>
      </c>
      <c r="W26" s="407">
        <f t="shared" si="41"/>
        <v>2.2696299389037553E-4</v>
      </c>
      <c r="X26" s="407">
        <f t="shared" si="10"/>
        <v>0.33687014849224584</v>
      </c>
      <c r="Y26" s="407">
        <f t="shared" si="11"/>
        <v>6.8088898167112659E-4</v>
      </c>
      <c r="Z26" s="407">
        <f t="shared" si="12"/>
        <v>1.7781291762093754E-2</v>
      </c>
      <c r="AA26" s="407">
        <f t="shared" si="13"/>
        <v>5.9238036920849495E-2</v>
      </c>
      <c r="AB26" s="407">
        <f t="shared" si="14"/>
        <v>2.8480019594594569E-3</v>
      </c>
      <c r="AC26" s="407">
        <f t="shared" si="15"/>
        <v>8.0559189997042091E-2</v>
      </c>
      <c r="AD26" s="407">
        <f t="shared" si="16"/>
        <v>0.64804497432682429</v>
      </c>
      <c r="AE26" s="407">
        <f t="shared" si="17"/>
        <v>2.5197737325015259E-3</v>
      </c>
      <c r="AF26" s="407">
        <f t="shared" si="18"/>
        <v>1.1466002204391888E-2</v>
      </c>
      <c r="AG26" s="407">
        <f t="shared" si="19"/>
        <v>1.3992827688824159E-2</v>
      </c>
      <c r="AH26" s="407">
        <f t="shared" si="20"/>
        <v>0</v>
      </c>
      <c r="AI26">
        <f t="shared" si="21"/>
        <v>0</v>
      </c>
      <c r="AJ26" s="408">
        <f t="shared" si="22"/>
        <v>0.45354216599999997</v>
      </c>
      <c r="AK26">
        <f t="shared" si="23"/>
        <v>4.8000000000000001E-2</v>
      </c>
      <c r="AL26" s="408">
        <f t="shared" si="24"/>
        <v>5.1750000000000004E-2</v>
      </c>
      <c r="AM26" s="408">
        <f t="shared" si="25"/>
        <v>0.13648893249607535</v>
      </c>
      <c r="AN26" s="408">
        <f t="shared" si="42"/>
        <v>9.9750000000000005E-2</v>
      </c>
      <c r="AO26" s="408">
        <f t="shared" si="26"/>
        <v>0.85347237271119758</v>
      </c>
      <c r="AP26">
        <f t="shared" si="27"/>
        <v>2.601</v>
      </c>
      <c r="AQ26" s="10">
        <f t="shared" si="43"/>
        <v>0.75293698121506158</v>
      </c>
      <c r="AR26" s="63">
        <f t="shared" si="28"/>
        <v>4.0279594998521047</v>
      </c>
      <c r="AS26" s="63">
        <f t="shared" si="44"/>
        <v>0.69964138444120794</v>
      </c>
      <c r="AT26" s="10"/>
      <c r="AU26">
        <f t="shared" si="45"/>
        <v>75.293698121506154</v>
      </c>
      <c r="BC26" t="s">
        <v>243</v>
      </c>
      <c r="BD26">
        <v>9.9989640000000009</v>
      </c>
      <c r="BE26">
        <v>0.1027</v>
      </c>
      <c r="BF26">
        <v>5.1211359999999999</v>
      </c>
      <c r="BG26">
        <v>61.870683235325004</v>
      </c>
      <c r="BH26">
        <v>324.12365701136014</v>
      </c>
    </row>
    <row r="27" spans="1:69" x14ac:dyDescent="0.25">
      <c r="A27" s="32" t="s">
        <v>132</v>
      </c>
      <c r="B27" s="5">
        <v>1.5</v>
      </c>
      <c r="C27" s="416" t="s">
        <v>208</v>
      </c>
      <c r="D27" s="31" t="s">
        <v>204</v>
      </c>
      <c r="G27">
        <v>18</v>
      </c>
      <c r="H27">
        <f t="shared" si="0"/>
        <v>0.54</v>
      </c>
      <c r="I27" s="407">
        <f t="shared" si="1"/>
        <v>0.21274749999999998</v>
      </c>
      <c r="J27" s="408">
        <f t="shared" si="2"/>
        <v>1.8112287162162157</v>
      </c>
      <c r="K27" s="408">
        <f t="shared" si="31"/>
        <v>1.445614358108108</v>
      </c>
      <c r="L27" s="408">
        <f t="shared" si="32"/>
        <v>-0.36561435810810783</v>
      </c>
      <c r="M27" s="63">
        <f t="shared" si="3"/>
        <v>13.057655646718136</v>
      </c>
      <c r="N27" s="407">
        <f t="shared" si="4"/>
        <v>0.75165093086519896</v>
      </c>
      <c r="O27" s="407">
        <f t="shared" si="5"/>
        <v>2.8255341564752167E-3</v>
      </c>
      <c r="P27">
        <f t="shared" si="6"/>
        <v>0.2</v>
      </c>
      <c r="Q27" s="407">
        <f t="shared" si="34"/>
        <v>0.20282553415647522</v>
      </c>
      <c r="R27" s="9">
        <f t="shared" si="39"/>
        <v>0.52285669343570629</v>
      </c>
      <c r="S27" s="9">
        <f t="shared" si="7"/>
        <v>2.7337912187052017E-3</v>
      </c>
      <c r="T27" s="9">
        <f t="shared" si="40"/>
        <v>2.7337912187052017E-3</v>
      </c>
      <c r="U27" s="407">
        <f t="shared" si="8"/>
        <v>0.34669568172988319</v>
      </c>
      <c r="V27" s="409">
        <f t="shared" si="9"/>
        <v>2.4039579146029692E-4</v>
      </c>
      <c r="W27" s="407">
        <f t="shared" si="41"/>
        <v>2.4039579146029692E-4</v>
      </c>
      <c r="X27" s="407">
        <f t="shared" si="10"/>
        <v>0.34669568172988319</v>
      </c>
      <c r="Y27" s="407">
        <f t="shared" si="11"/>
        <v>7.2118737438089074E-4</v>
      </c>
      <c r="Z27" s="407">
        <f t="shared" si="12"/>
        <v>1.8158867473781294E-2</v>
      </c>
      <c r="AA27" s="407">
        <f t="shared" si="13"/>
        <v>6.5654066119691185E-2</v>
      </c>
      <c r="AB27" s="407">
        <f t="shared" si="14"/>
        <v>2.632423378378376E-3</v>
      </c>
      <c r="AC27" s="407">
        <f t="shared" si="15"/>
        <v>8.7179118842195466E-2</v>
      </c>
      <c r="AD27" s="407">
        <f t="shared" si="16"/>
        <v>0.6669192051068642</v>
      </c>
      <c r="AE27" s="407">
        <f t="shared" si="17"/>
        <v>2.6686873568422297E-3</v>
      </c>
      <c r="AF27" s="407">
        <f t="shared" si="18"/>
        <v>1.1709476300675674E-2</v>
      </c>
      <c r="AG27" s="407">
        <f t="shared" si="19"/>
        <v>1.4385841920408008E-2</v>
      </c>
      <c r="AH27" s="407">
        <f t="shared" si="20"/>
        <v>0</v>
      </c>
      <c r="AI27">
        <f t="shared" si="21"/>
        <v>0</v>
      </c>
      <c r="AJ27" s="408">
        <f t="shared" si="22"/>
        <v>0.45353876399999998</v>
      </c>
      <c r="AK27">
        <f t="shared" si="23"/>
        <v>4.8000000000000001E-2</v>
      </c>
      <c r="AL27" s="408">
        <f t="shared" si="24"/>
        <v>5.1750000000000004E-2</v>
      </c>
      <c r="AM27" s="408">
        <f t="shared" si="25"/>
        <v>0.13648893249607535</v>
      </c>
      <c r="AN27" s="408">
        <f t="shared" si="42"/>
        <v>9.9750000000000005E-2</v>
      </c>
      <c r="AO27" s="408">
        <f t="shared" si="26"/>
        <v>0.8606534459292442</v>
      </c>
      <c r="AP27">
        <f t="shared" si="27"/>
        <v>2.754</v>
      </c>
      <c r="AQ27" s="10">
        <f t="shared" si="43"/>
        <v>0.76189876600798445</v>
      </c>
      <c r="AR27" s="63">
        <f t="shared" si="28"/>
        <v>4.3589559421097732</v>
      </c>
      <c r="AS27" s="63">
        <f t="shared" si="44"/>
        <v>0.71929209602040045</v>
      </c>
      <c r="AT27" s="10"/>
      <c r="AU27">
        <f t="shared" si="45"/>
        <v>76.189876600798442</v>
      </c>
      <c r="BC27" t="s">
        <v>244</v>
      </c>
      <c r="BD27">
        <v>9.9986669999999993</v>
      </c>
      <c r="BE27">
        <v>0.1166</v>
      </c>
      <c r="BF27">
        <v>5.1212980000000003</v>
      </c>
      <c r="BG27">
        <v>64.729420570558148</v>
      </c>
      <c r="BH27">
        <v>325.37886459483997</v>
      </c>
    </row>
    <row r="28" spans="1:69" x14ac:dyDescent="0.25">
      <c r="A28" s="32" t="s">
        <v>239</v>
      </c>
      <c r="B28" s="5">
        <v>0.9</v>
      </c>
      <c r="C28" s="416" t="s">
        <v>208</v>
      </c>
      <c r="D28" s="31" t="s">
        <v>205</v>
      </c>
      <c r="G28">
        <v>19</v>
      </c>
      <c r="H28">
        <f t="shared" si="0"/>
        <v>0.57000000000000006</v>
      </c>
      <c r="I28" s="407">
        <f t="shared" si="1"/>
        <v>0.21276124999999999</v>
      </c>
      <c r="J28" s="408">
        <f t="shared" si="2"/>
        <v>1.8113457770270267</v>
      </c>
      <c r="K28" s="408">
        <f t="shared" si="31"/>
        <v>1.4756728885135133</v>
      </c>
      <c r="L28" s="408">
        <f t="shared" si="32"/>
        <v>-0.33567288851351329</v>
      </c>
      <c r="M28" s="63">
        <f t="shared" si="3"/>
        <v>11.988317446911188</v>
      </c>
      <c r="N28" s="407">
        <f t="shared" si="4"/>
        <v>0.77350789286824362</v>
      </c>
      <c r="O28" s="407">
        <f t="shared" si="5"/>
        <v>2.9922884334230289E-3</v>
      </c>
      <c r="P28">
        <f t="shared" si="6"/>
        <v>0.2</v>
      </c>
      <c r="Q28" s="407">
        <f t="shared" si="34"/>
        <v>0.20299228843342304</v>
      </c>
      <c r="R28" s="9">
        <f t="shared" si="39"/>
        <v>0.52289048598102283</v>
      </c>
      <c r="S28" s="9">
        <f t="shared" si="7"/>
        <v>2.7341446032947028E-3</v>
      </c>
      <c r="T28" s="9">
        <f t="shared" si="40"/>
        <v>2.7341446032947028E-3</v>
      </c>
      <c r="U28" s="407">
        <f t="shared" si="8"/>
        <v>0.35678863837400077</v>
      </c>
      <c r="V28" s="409">
        <f t="shared" si="9"/>
        <v>2.54596264945547E-4</v>
      </c>
      <c r="W28" s="407">
        <f t="shared" si="41"/>
        <v>2.54596264945547E-4</v>
      </c>
      <c r="X28" s="407">
        <f t="shared" si="10"/>
        <v>0.35678863837400077</v>
      </c>
      <c r="Y28" s="407">
        <f t="shared" si="11"/>
        <v>7.63788794836641E-4</v>
      </c>
      <c r="Z28" s="407">
        <f t="shared" si="12"/>
        <v>1.8536443185468824E-2</v>
      </c>
      <c r="AA28" s="407">
        <f t="shared" si="13"/>
        <v>7.2070095318532881E-2</v>
      </c>
      <c r="AB28" s="407">
        <f t="shared" si="14"/>
        <v>2.4168447972972955E-3</v>
      </c>
      <c r="AC28" s="407">
        <f t="shared" si="15"/>
        <v>9.3801501003216659E-2</v>
      </c>
      <c r="AD28" s="407">
        <f t="shared" si="16"/>
        <v>0.68630629303299906</v>
      </c>
      <c r="AE28" s="407">
        <f t="shared" si="17"/>
        <v>2.8260979671401809E-3</v>
      </c>
      <c r="AF28" s="407">
        <f t="shared" si="18"/>
        <v>1.1952950396959457E-2</v>
      </c>
      <c r="AG28" s="407">
        <f t="shared" si="19"/>
        <v>1.4787406495987155E-2</v>
      </c>
      <c r="AH28" s="407">
        <f t="shared" si="20"/>
        <v>0</v>
      </c>
      <c r="AI28">
        <f t="shared" si="21"/>
        <v>0</v>
      </c>
      <c r="AJ28" s="408">
        <f t="shared" si="22"/>
        <v>0.45353536200000005</v>
      </c>
      <c r="AK28">
        <f t="shared" si="23"/>
        <v>4.8000000000000001E-2</v>
      </c>
      <c r="AL28" s="408">
        <f t="shared" si="24"/>
        <v>5.1750000000000004E-2</v>
      </c>
      <c r="AM28" s="408">
        <f t="shared" si="25"/>
        <v>0.13648893249607535</v>
      </c>
      <c r="AN28" s="408">
        <f t="shared" si="42"/>
        <v>9.9750000000000005E-2</v>
      </c>
      <c r="AO28" s="408">
        <f t="shared" si="26"/>
        <v>0.8678552988008672</v>
      </c>
      <c r="AP28">
        <f t="shared" si="27"/>
        <v>2.907</v>
      </c>
      <c r="AQ28" s="10">
        <f t="shared" si="43"/>
        <v>0.77009574404704917</v>
      </c>
      <c r="AR28" s="63">
        <f t="shared" si="28"/>
        <v>4.690075050160833</v>
      </c>
      <c r="AS28" s="63">
        <f t="shared" si="44"/>
        <v>0.73937032479935771</v>
      </c>
      <c r="AT28" s="10"/>
      <c r="AU28">
        <f t="shared" si="45"/>
        <v>77.009574404704921</v>
      </c>
      <c r="BC28" t="s">
        <v>245</v>
      </c>
      <c r="BD28">
        <v>9.9987659999999998</v>
      </c>
      <c r="BE28">
        <v>0.14660000000000001</v>
      </c>
      <c r="BF28">
        <v>5.1213230000000003</v>
      </c>
      <c r="BG28">
        <v>69.885376918691776</v>
      </c>
      <c r="BH28">
        <v>323.52446193379996</v>
      </c>
    </row>
    <row r="29" spans="1:69" x14ac:dyDescent="0.25">
      <c r="A29" s="34" t="s">
        <v>203</v>
      </c>
      <c r="B29" s="25" t="s">
        <v>201</v>
      </c>
      <c r="C29" s="34" t="s">
        <v>148</v>
      </c>
      <c r="D29" s="27" t="s">
        <v>188</v>
      </c>
      <c r="G29">
        <v>20</v>
      </c>
      <c r="H29">
        <f t="shared" si="0"/>
        <v>0.60000000000000009</v>
      </c>
      <c r="I29" s="407">
        <f t="shared" si="1"/>
        <v>0.21277499999999996</v>
      </c>
      <c r="J29" s="408">
        <f t="shared" si="2"/>
        <v>1.8114628378378372</v>
      </c>
      <c r="K29" s="408">
        <f t="shared" si="31"/>
        <v>1.5057314189189186</v>
      </c>
      <c r="L29" s="408">
        <f t="shared" si="32"/>
        <v>-0.30573141891891853</v>
      </c>
      <c r="M29" s="63">
        <f t="shared" si="3"/>
        <v>10.918979247104232</v>
      </c>
      <c r="N29" s="407">
        <f t="shared" si="4"/>
        <v>0.79589559684188016</v>
      </c>
      <c r="O29" s="407">
        <f t="shared" si="5"/>
        <v>3.1680517260557262E-3</v>
      </c>
      <c r="P29">
        <f t="shared" si="6"/>
        <v>0.2</v>
      </c>
      <c r="Q29" s="407">
        <f t="shared" si="34"/>
        <v>0.20316805172605573</v>
      </c>
      <c r="R29" s="9">
        <f t="shared" si="39"/>
        <v>0.52292427852633938</v>
      </c>
      <c r="S29" s="9">
        <f t="shared" si="7"/>
        <v>2.7344980107229257E-3</v>
      </c>
      <c r="T29" s="9">
        <f t="shared" si="40"/>
        <v>2.7344980107229257E-3</v>
      </c>
      <c r="U29" s="407">
        <f t="shared" si="8"/>
        <v>0.36712706441116139</v>
      </c>
      <c r="V29" s="409">
        <f t="shared" si="9"/>
        <v>2.6956456284631407E-4</v>
      </c>
      <c r="W29" s="407">
        <f t="shared" si="41"/>
        <v>2.6956456284631407E-4</v>
      </c>
      <c r="X29" s="407">
        <f t="shared" si="10"/>
        <v>0.36712706441116139</v>
      </c>
      <c r="Y29" s="407">
        <f t="shared" si="11"/>
        <v>8.0869368853894231E-4</v>
      </c>
      <c r="Z29" s="407">
        <f t="shared" si="12"/>
        <v>1.8914018897156354E-2</v>
      </c>
      <c r="AA29" s="407">
        <f t="shared" si="13"/>
        <v>7.8486124517374606E-2</v>
      </c>
      <c r="AB29" s="407">
        <f t="shared" si="14"/>
        <v>2.2012662162162132E-3</v>
      </c>
      <c r="AC29" s="407">
        <f t="shared" si="15"/>
        <v>0.10042634614974499</v>
      </c>
      <c r="AD29" s="407">
        <f t="shared" si="16"/>
        <v>0.70616394672139393</v>
      </c>
      <c r="AE29" s="407">
        <f t="shared" si="17"/>
        <v>2.9920051178948144E-3</v>
      </c>
      <c r="AF29" s="407">
        <f t="shared" si="18"/>
        <v>1.2196424493243241E-2</v>
      </c>
      <c r="AG29" s="407">
        <f t="shared" si="19"/>
        <v>1.5197523824950772E-2</v>
      </c>
      <c r="AH29" s="407">
        <f t="shared" si="20"/>
        <v>0</v>
      </c>
      <c r="AI29">
        <f t="shared" si="21"/>
        <v>0</v>
      </c>
      <c r="AJ29" s="408">
        <f t="shared" si="22"/>
        <v>0.45353196000000001</v>
      </c>
      <c r="AK29">
        <f t="shared" si="23"/>
        <v>4.8000000000000001E-2</v>
      </c>
      <c r="AL29" s="408">
        <f t="shared" si="24"/>
        <v>5.1750000000000004E-2</v>
      </c>
      <c r="AM29" s="408">
        <f t="shared" si="25"/>
        <v>0.13648893249607535</v>
      </c>
      <c r="AN29" s="408">
        <f t="shared" si="42"/>
        <v>9.9750000000000005E-2</v>
      </c>
      <c r="AO29" s="408">
        <f t="shared" si="26"/>
        <v>0.87507794427432073</v>
      </c>
      <c r="AP29">
        <f t="shared" si="27"/>
        <v>3.06</v>
      </c>
      <c r="AQ29" s="10">
        <f t="shared" si="43"/>
        <v>0.77762119158336107</v>
      </c>
      <c r="AR29" s="63">
        <f t="shared" si="28"/>
        <v>5.0213173074872497</v>
      </c>
      <c r="AS29" s="63">
        <f t="shared" si="44"/>
        <v>0.75987619124753858</v>
      </c>
      <c r="AT29" s="10"/>
      <c r="AU29">
        <f t="shared" si="45"/>
        <v>77.762119158336105</v>
      </c>
      <c r="BC29" t="s">
        <v>246</v>
      </c>
      <c r="BD29">
        <v>9.9987899999999996</v>
      </c>
      <c r="BE29">
        <v>0.1958</v>
      </c>
      <c r="BF29">
        <v>5.1217600000000001</v>
      </c>
      <c r="BG29">
        <v>75.662516566515876</v>
      </c>
      <c r="BH29">
        <v>322.57199766699983</v>
      </c>
    </row>
    <row r="30" spans="1:69" x14ac:dyDescent="0.25">
      <c r="A30" s="32" t="s">
        <v>131</v>
      </c>
      <c r="B30" s="37">
        <v>1.5</v>
      </c>
      <c r="C30" s="416" t="s">
        <v>208</v>
      </c>
      <c r="D30" s="31" t="s">
        <v>204</v>
      </c>
      <c r="G30">
        <v>21</v>
      </c>
      <c r="H30">
        <f t="shared" si="0"/>
        <v>0.63</v>
      </c>
      <c r="I30" s="407">
        <f t="shared" si="1"/>
        <v>0.21278874999999997</v>
      </c>
      <c r="J30" s="408">
        <f t="shared" si="2"/>
        <v>1.8115798986486482</v>
      </c>
      <c r="K30" s="408">
        <f t="shared" si="31"/>
        <v>1.5357899493243241</v>
      </c>
      <c r="L30" s="408">
        <f t="shared" si="32"/>
        <v>-0.2757899493243241</v>
      </c>
      <c r="M30" s="63">
        <f t="shared" si="3"/>
        <v>9.8496410472972897</v>
      </c>
      <c r="N30" s="407">
        <f t="shared" si="4"/>
        <v>0.81877050758987846</v>
      </c>
      <c r="O30" s="407">
        <f t="shared" si="5"/>
        <v>3.35282479406802E-3</v>
      </c>
      <c r="P30">
        <f t="shared" si="6"/>
        <v>0.2</v>
      </c>
      <c r="Q30" s="407">
        <f t="shared" si="34"/>
        <v>0.20335282479406802</v>
      </c>
      <c r="R30" s="9">
        <f t="shared" si="39"/>
        <v>0.52295807107165604</v>
      </c>
      <c r="S30" s="9">
        <f t="shared" si="7"/>
        <v>2.7348514409898726E-3</v>
      </c>
      <c r="T30" s="9">
        <f t="shared" si="40"/>
        <v>2.7348514409898726E-3</v>
      </c>
      <c r="U30" s="407">
        <f t="shared" si="8"/>
        <v>0.37769090117633675</v>
      </c>
      <c r="V30" s="409">
        <f t="shared" si="9"/>
        <v>2.8530083366278675E-4</v>
      </c>
      <c r="W30" s="407">
        <f t="shared" si="41"/>
        <v>2.8530083366278675E-4</v>
      </c>
      <c r="X30" s="407">
        <f t="shared" si="10"/>
        <v>0.37769090117633675</v>
      </c>
      <c r="Y30" s="407">
        <f t="shared" si="11"/>
        <v>8.5590250098836025E-4</v>
      </c>
      <c r="Z30" s="407">
        <f t="shared" si="12"/>
        <v>1.9291594608843884E-2</v>
      </c>
      <c r="AA30" s="407">
        <f t="shared" si="13"/>
        <v>8.4902153716216275E-2</v>
      </c>
      <c r="AB30" s="407">
        <f t="shared" si="14"/>
        <v>1.9856876351351336E-3</v>
      </c>
      <c r="AC30" s="407">
        <f t="shared" si="15"/>
        <v>0.10705366396092848</v>
      </c>
      <c r="AD30" s="407">
        <f t="shared" si="16"/>
        <v>0.72645352725937939</v>
      </c>
      <c r="AE30" s="407">
        <f t="shared" si="17"/>
        <v>3.1664083636055631E-3</v>
      </c>
      <c r="AF30" s="407">
        <f t="shared" si="18"/>
        <v>1.2439898589527024E-2</v>
      </c>
      <c r="AG30" s="407">
        <f t="shared" si="19"/>
        <v>1.5616196404112926E-2</v>
      </c>
      <c r="AH30" s="407">
        <f t="shared" si="20"/>
        <v>0</v>
      </c>
      <c r="AI30">
        <f t="shared" si="21"/>
        <v>0</v>
      </c>
      <c r="AJ30" s="408">
        <f t="shared" si="22"/>
        <v>0.45352855800000003</v>
      </c>
      <c r="AK30">
        <f t="shared" si="23"/>
        <v>4.8000000000000001E-2</v>
      </c>
      <c r="AL30" s="408">
        <f t="shared" si="24"/>
        <v>5.1750000000000004E-2</v>
      </c>
      <c r="AM30" s="408">
        <f t="shared" si="25"/>
        <v>0.13648893249607535</v>
      </c>
      <c r="AN30" s="408">
        <f t="shared" si="42"/>
        <v>9.9750000000000005E-2</v>
      </c>
      <c r="AO30" s="408">
        <f t="shared" si="26"/>
        <v>0.8823213954337622</v>
      </c>
      <c r="AP30">
        <f t="shared" si="27"/>
        <v>3.2129999999999996</v>
      </c>
      <c r="AQ30" s="10">
        <f t="shared" si="43"/>
        <v>0.78455380903253635</v>
      </c>
      <c r="AR30" s="63">
        <f t="shared" si="28"/>
        <v>5.3526831980464245</v>
      </c>
      <c r="AS30" s="63">
        <f t="shared" si="44"/>
        <v>0.78080982020564627</v>
      </c>
      <c r="AT30" s="10"/>
      <c r="AU30">
        <f t="shared" si="45"/>
        <v>78.455380903253641</v>
      </c>
      <c r="BD30">
        <v>9.9987659999999998</v>
      </c>
      <c r="BE30">
        <v>0.2681</v>
      </c>
      <c r="BF30">
        <v>5.1224080000000001</v>
      </c>
      <c r="BG30">
        <v>80.957553445887683</v>
      </c>
      <c r="BH30">
        <v>323.02506068319997</v>
      </c>
    </row>
    <row r="31" spans="1:69" x14ac:dyDescent="0.25">
      <c r="A31" s="32" t="s">
        <v>238</v>
      </c>
      <c r="B31" s="37">
        <v>0.9</v>
      </c>
      <c r="C31" s="416" t="s">
        <v>208</v>
      </c>
      <c r="D31" s="31" t="s">
        <v>205</v>
      </c>
      <c r="G31">
        <v>22</v>
      </c>
      <c r="H31">
        <f t="shared" si="0"/>
        <v>0.66</v>
      </c>
      <c r="I31" s="407">
        <f t="shared" si="1"/>
        <v>0.21280250000000001</v>
      </c>
      <c r="J31" s="408">
        <f t="shared" si="2"/>
        <v>1.811696959459459</v>
      </c>
      <c r="K31" s="408">
        <f t="shared" si="31"/>
        <v>1.5658484797297296</v>
      </c>
      <c r="L31" s="408">
        <f t="shared" si="32"/>
        <v>-0.24584847972972945</v>
      </c>
      <c r="M31" s="63">
        <f t="shared" si="3"/>
        <v>8.7803028474903364</v>
      </c>
      <c r="N31" s="407">
        <f t="shared" si="4"/>
        <v>0.84209292207544062</v>
      </c>
      <c r="O31" s="407">
        <f t="shared" si="5"/>
        <v>3.5466084361317602E-3</v>
      </c>
      <c r="P31">
        <f t="shared" si="6"/>
        <v>0.2</v>
      </c>
      <c r="Q31" s="407">
        <f t="shared" si="34"/>
        <v>0.20354660843613176</v>
      </c>
      <c r="R31" s="9">
        <f t="shared" si="39"/>
        <v>0.52299186361697259</v>
      </c>
      <c r="S31" s="9">
        <f t="shared" si="7"/>
        <v>2.7352048940955404E-3</v>
      </c>
      <c r="T31" s="9">
        <f t="shared" si="40"/>
        <v>2.7352048940955404E-3</v>
      </c>
      <c r="U31" s="407">
        <f t="shared" si="8"/>
        <v>0.38846185520276844</v>
      </c>
      <c r="V31" s="409">
        <f t="shared" si="9"/>
        <v>3.0180522589515327E-4</v>
      </c>
      <c r="W31" s="407">
        <f t="shared" si="41"/>
        <v>3.0180522589515327E-4</v>
      </c>
      <c r="X31" s="407">
        <f t="shared" si="10"/>
        <v>0.38846185520276844</v>
      </c>
      <c r="Y31" s="407">
        <f t="shared" si="11"/>
        <v>9.0541567768545974E-4</v>
      </c>
      <c r="Z31" s="407">
        <f t="shared" si="12"/>
        <v>1.9669170320531414E-2</v>
      </c>
      <c r="AA31" s="407">
        <f t="shared" si="13"/>
        <v>9.1318182915057985E-2</v>
      </c>
      <c r="AB31" s="407">
        <f t="shared" si="14"/>
        <v>1.770109054054052E-3</v>
      </c>
      <c r="AC31" s="407">
        <f t="shared" si="15"/>
        <v>0.11368346412547146</v>
      </c>
      <c r="AD31" s="407">
        <f t="shared" si="16"/>
        <v>0.74713979713436318</v>
      </c>
      <c r="AE31" s="407">
        <f t="shared" si="17"/>
        <v>3.3493072587718643E-3</v>
      </c>
      <c r="AF31" s="407">
        <f t="shared" si="18"/>
        <v>1.2683372685810809E-2</v>
      </c>
      <c r="AG31" s="407">
        <f t="shared" si="19"/>
        <v>1.6043426817761934E-2</v>
      </c>
      <c r="AH31" s="407">
        <f t="shared" si="20"/>
        <v>0</v>
      </c>
      <c r="AI31">
        <f t="shared" si="21"/>
        <v>0</v>
      </c>
      <c r="AJ31" s="408">
        <f t="shared" si="22"/>
        <v>0.45352515600000004</v>
      </c>
      <c r="AK31">
        <f t="shared" si="23"/>
        <v>4.8000000000000001E-2</v>
      </c>
      <c r="AL31" s="408">
        <f t="shared" si="24"/>
        <v>5.1750000000000004E-2</v>
      </c>
      <c r="AM31" s="408">
        <f t="shared" si="25"/>
        <v>0.13648893249607535</v>
      </c>
      <c r="AN31" s="408">
        <f t="shared" si="42"/>
        <v>9.9750000000000005E-2</v>
      </c>
      <c r="AO31" s="408">
        <f t="shared" si="26"/>
        <v>0.88958566549935592</v>
      </c>
      <c r="AP31">
        <f t="shared" si="27"/>
        <v>3.3660000000000001</v>
      </c>
      <c r="AQ31" s="10">
        <f t="shared" si="43"/>
        <v>0.79096046104503204</v>
      </c>
      <c r="AR31" s="63">
        <f t="shared" si="28"/>
        <v>5.6841732062735728</v>
      </c>
      <c r="AS31" s="63">
        <f t="shared" si="44"/>
        <v>0.80217134088809672</v>
      </c>
      <c r="AT31" s="10"/>
      <c r="AU31">
        <f t="shared" si="45"/>
        <v>79.096046104503202</v>
      </c>
      <c r="BD31">
        <v>9.998704</v>
      </c>
      <c r="BE31">
        <v>0.36549999999999999</v>
      </c>
      <c r="BF31">
        <v>5.123094</v>
      </c>
      <c r="BG31">
        <v>85.419022273213088</v>
      </c>
      <c r="BH31">
        <v>319.63300692320018</v>
      </c>
    </row>
    <row r="32" spans="1:69" x14ac:dyDescent="0.25">
      <c r="A32" s="34" t="s">
        <v>133</v>
      </c>
      <c r="B32" s="25" t="s">
        <v>201</v>
      </c>
      <c r="C32" s="34" t="s">
        <v>148</v>
      </c>
      <c r="D32" s="27" t="s">
        <v>188</v>
      </c>
      <c r="G32">
        <v>23</v>
      </c>
      <c r="H32">
        <f t="shared" si="0"/>
        <v>0.69000000000000006</v>
      </c>
      <c r="I32" s="407">
        <f t="shared" si="1"/>
        <v>0.21281624999999996</v>
      </c>
      <c r="J32" s="408">
        <f t="shared" si="2"/>
        <v>1.8118140202702695</v>
      </c>
      <c r="K32" s="408">
        <f t="shared" si="31"/>
        <v>1.5959070101351349</v>
      </c>
      <c r="L32" s="408">
        <f t="shared" si="32"/>
        <v>-0.21590701013513469</v>
      </c>
      <c r="M32" s="63">
        <f t="shared" si="3"/>
        <v>7.7109646476833813</v>
      </c>
      <c r="N32" s="407">
        <f t="shared" si="4"/>
        <v>0.86582667838545679</v>
      </c>
      <c r="O32" s="407">
        <f t="shared" si="5"/>
        <v>3.7494034899045623E-3</v>
      </c>
      <c r="P32">
        <f t="shared" si="6"/>
        <v>0.2</v>
      </c>
      <c r="Q32" s="407">
        <f t="shared" si="34"/>
        <v>0.20374940348990458</v>
      </c>
      <c r="R32" s="9">
        <f t="shared" si="39"/>
        <v>0.52302565616228913</v>
      </c>
      <c r="S32" s="9">
        <f t="shared" si="7"/>
        <v>2.7355583700399313E-3</v>
      </c>
      <c r="T32" s="9">
        <f t="shared" si="40"/>
        <v>2.7355583700399313E-3</v>
      </c>
      <c r="U32" s="407">
        <f t="shared" si="8"/>
        <v>0.39942326424709046</v>
      </c>
      <c r="V32" s="409">
        <f t="shared" si="9"/>
        <v>3.1907788804360211E-4</v>
      </c>
      <c r="W32" s="407">
        <f t="shared" si="41"/>
        <v>3.1907788804360211E-4</v>
      </c>
      <c r="X32" s="407">
        <f t="shared" si="10"/>
        <v>0.39942326424709046</v>
      </c>
      <c r="Y32" s="407">
        <f t="shared" si="11"/>
        <v>9.5723366413080627E-4</v>
      </c>
      <c r="Z32" s="407">
        <f t="shared" si="12"/>
        <v>2.0046746032218943E-2</v>
      </c>
      <c r="AA32" s="407">
        <f t="shared" si="13"/>
        <v>9.773421211389971E-2</v>
      </c>
      <c r="AB32" s="407">
        <f t="shared" si="14"/>
        <v>1.5545304729729697E-3</v>
      </c>
      <c r="AC32" s="407">
        <f t="shared" si="15"/>
        <v>0.12031575634168154</v>
      </c>
      <c r="AD32" s="407">
        <f t="shared" si="16"/>
        <v>0.76819066186864848</v>
      </c>
      <c r="AE32" s="407">
        <f t="shared" si="17"/>
        <v>3.5407013578931537E-3</v>
      </c>
      <c r="AF32" s="407">
        <f t="shared" si="18"/>
        <v>1.2926846782094593E-2</v>
      </c>
      <c r="AG32" s="407">
        <f t="shared" si="19"/>
        <v>1.6479217737711931E-2</v>
      </c>
      <c r="AH32" s="407">
        <f t="shared" si="20"/>
        <v>0</v>
      </c>
      <c r="AI32">
        <f t="shared" si="21"/>
        <v>0</v>
      </c>
      <c r="AJ32" s="408">
        <f t="shared" si="22"/>
        <v>0.453521754</v>
      </c>
      <c r="AK32">
        <f t="shared" si="23"/>
        <v>4.8000000000000001E-2</v>
      </c>
      <c r="AL32" s="408">
        <f t="shared" si="24"/>
        <v>5.1750000000000004E-2</v>
      </c>
      <c r="AM32" s="408">
        <f t="shared" si="25"/>
        <v>0.13648893249607535</v>
      </c>
      <c r="AN32" s="408">
        <f t="shared" si="42"/>
        <v>9.9750000000000005E-2</v>
      </c>
      <c r="AO32" s="408">
        <f t="shared" si="26"/>
        <v>0.89687076782738162</v>
      </c>
      <c r="AP32">
        <f t="shared" si="27"/>
        <v>3.5190000000000001</v>
      </c>
      <c r="AQ32" s="10">
        <f t="shared" si="43"/>
        <v>0.7968983208562862</v>
      </c>
      <c r="AR32" s="63">
        <f t="shared" si="28"/>
        <v>6.0157878170840773</v>
      </c>
      <c r="AS32" s="63">
        <f t="shared" si="44"/>
        <v>0.82396088688559654</v>
      </c>
      <c r="AT32" s="10"/>
      <c r="AU32">
        <f t="shared" si="45"/>
        <v>79.689832085628623</v>
      </c>
      <c r="BD32">
        <v>9.9987290000000009</v>
      </c>
      <c r="BE32">
        <v>0.49059999999999998</v>
      </c>
      <c r="BF32">
        <v>5.1238169999999998</v>
      </c>
      <c r="BG32">
        <v>88.551850267052174</v>
      </c>
      <c r="BH32">
        <v>324.98153184230057</v>
      </c>
    </row>
    <row r="33" spans="1:60" x14ac:dyDescent="0.25">
      <c r="A33" s="32" t="s">
        <v>133</v>
      </c>
      <c r="B33" s="5">
        <v>20</v>
      </c>
      <c r="C33" s="417" t="s">
        <v>147</v>
      </c>
      <c r="D33" s="31" t="s">
        <v>179</v>
      </c>
      <c r="G33">
        <v>24</v>
      </c>
      <c r="H33">
        <f t="shared" si="0"/>
        <v>0.72</v>
      </c>
      <c r="I33" s="407">
        <f t="shared" si="1"/>
        <v>0.21282999999999996</v>
      </c>
      <c r="J33" s="408">
        <f t="shared" si="2"/>
        <v>1.8119310810810805</v>
      </c>
      <c r="K33" s="408">
        <f t="shared" si="31"/>
        <v>1.6259655405405402</v>
      </c>
      <c r="L33" s="408">
        <f t="shared" si="32"/>
        <v>-0.18596554054054026</v>
      </c>
      <c r="M33" s="63">
        <f t="shared" si="3"/>
        <v>6.6416264478764377</v>
      </c>
      <c r="N33" s="407">
        <f t="shared" si="4"/>
        <v>0.8899388669354229</v>
      </c>
      <c r="O33" s="407">
        <f t="shared" si="5"/>
        <v>3.9612108320388646E-3</v>
      </c>
      <c r="P33">
        <f t="shared" si="6"/>
        <v>0.2</v>
      </c>
      <c r="Q33" s="407">
        <f t="shared" si="34"/>
        <v>0.20396121083203889</v>
      </c>
      <c r="R33" s="9">
        <f t="shared" si="39"/>
        <v>0.52305944870760579</v>
      </c>
      <c r="S33" s="9">
        <f t="shared" si="7"/>
        <v>2.7359118688230449E-3</v>
      </c>
      <c r="T33" s="9">
        <f t="shared" si="40"/>
        <v>2.7359118688230449E-3</v>
      </c>
      <c r="U33" s="407">
        <f t="shared" si="8"/>
        <v>0.41055996432209607</v>
      </c>
      <c r="V33" s="409">
        <f t="shared" si="9"/>
        <v>3.3711896860832161E-4</v>
      </c>
      <c r="W33" s="407">
        <f t="shared" si="41"/>
        <v>3.3711896860832161E-4</v>
      </c>
      <c r="X33" s="407">
        <f t="shared" si="10"/>
        <v>0.41055996432209607</v>
      </c>
      <c r="Y33" s="407">
        <f t="shared" si="11"/>
        <v>1.0113569058249647E-3</v>
      </c>
      <c r="Z33" s="407">
        <f t="shared" si="12"/>
        <v>2.0424321743906473E-2</v>
      </c>
      <c r="AA33" s="407">
        <f t="shared" si="13"/>
        <v>0.10415024131274138</v>
      </c>
      <c r="AB33" s="407">
        <f t="shared" si="14"/>
        <v>1.3389518918918897E-3</v>
      </c>
      <c r="AC33" s="407">
        <f t="shared" si="15"/>
        <v>0.12695055031751709</v>
      </c>
      <c r="AD33" s="407">
        <f t="shared" si="16"/>
        <v>0.78957691365575244</v>
      </c>
      <c r="AE33" s="407">
        <f t="shared" si="17"/>
        <v>3.7405902154688613E-3</v>
      </c>
      <c r="AF33" s="407">
        <f t="shared" si="18"/>
        <v>1.3170320878378374E-2</v>
      </c>
      <c r="AG33" s="407">
        <f t="shared" si="19"/>
        <v>1.6923571923356695E-2</v>
      </c>
      <c r="AH33" s="407">
        <f t="shared" si="20"/>
        <v>0</v>
      </c>
      <c r="AI33">
        <f t="shared" si="21"/>
        <v>0</v>
      </c>
      <c r="AJ33" s="408">
        <f t="shared" si="22"/>
        <v>0.45351835200000001</v>
      </c>
      <c r="AK33">
        <f t="shared" si="23"/>
        <v>4.8000000000000001E-2</v>
      </c>
      <c r="AL33" s="408">
        <f t="shared" si="24"/>
        <v>5.1750000000000004E-2</v>
      </c>
      <c r="AM33" s="408">
        <f t="shared" si="25"/>
        <v>0.13648893249607535</v>
      </c>
      <c r="AN33" s="408">
        <f t="shared" si="42"/>
        <v>9.9750000000000005E-2</v>
      </c>
      <c r="AO33" s="408">
        <f t="shared" si="26"/>
        <v>0.9041767159103441</v>
      </c>
      <c r="AP33">
        <f t="shared" si="27"/>
        <v>3.6719999999999997</v>
      </c>
      <c r="AQ33" s="10">
        <f t="shared" si="43"/>
        <v>0.80241656473476564</v>
      </c>
      <c r="AR33" s="63">
        <f t="shared" si="28"/>
        <v>6.3475275158758544</v>
      </c>
      <c r="AS33" s="63">
        <f t="shared" si="44"/>
        <v>0.84617859616783475</v>
      </c>
      <c r="AT33" s="10"/>
      <c r="AU33">
        <f t="shared" si="45"/>
        <v>80.241656473476567</v>
      </c>
      <c r="BD33">
        <v>9.9986420000000003</v>
      </c>
      <c r="BE33">
        <v>0.64549999999999996</v>
      </c>
      <c r="BF33">
        <v>5.1237300000000001</v>
      </c>
      <c r="BG33">
        <v>90.41893857119905</v>
      </c>
      <c r="BH33">
        <v>350.45848473660021</v>
      </c>
    </row>
    <row r="34" spans="1:60" x14ac:dyDescent="0.25">
      <c r="A34" s="34" t="s">
        <v>119</v>
      </c>
      <c r="B34" s="25" t="s">
        <v>201</v>
      </c>
      <c r="C34" s="34" t="s">
        <v>148</v>
      </c>
      <c r="D34" s="27" t="s">
        <v>188</v>
      </c>
      <c r="G34">
        <v>25</v>
      </c>
      <c r="H34">
        <f t="shared" si="0"/>
        <v>0.75</v>
      </c>
      <c r="I34" s="407">
        <f t="shared" si="1"/>
        <v>0.21284375</v>
      </c>
      <c r="J34" s="408">
        <f t="shared" si="2"/>
        <v>1.8120481418918915</v>
      </c>
      <c r="K34" s="408">
        <f t="shared" si="31"/>
        <v>1.6560240709459457</v>
      </c>
      <c r="L34" s="408">
        <f t="shared" si="32"/>
        <v>-0.15602407094594573</v>
      </c>
      <c r="M34" s="63">
        <f t="shared" si="3"/>
        <v>5.5722882480694906</v>
      </c>
      <c r="N34" s="407">
        <f t="shared" si="4"/>
        <v>0.91439955109595727</v>
      </c>
      <c r="O34" s="407">
        <f t="shared" si="5"/>
        <v>4.1820313781914106E-3</v>
      </c>
      <c r="P34">
        <f t="shared" si="6"/>
        <v>0.2</v>
      </c>
      <c r="Q34" s="407">
        <f t="shared" si="34"/>
        <v>0.20418203137819141</v>
      </c>
      <c r="R34" s="9">
        <f t="shared" si="39"/>
        <v>0.52309324125292234</v>
      </c>
      <c r="S34" s="9">
        <f t="shared" si="7"/>
        <v>2.7362653904448803E-3</v>
      </c>
      <c r="T34" s="9">
        <f t="shared" si="40"/>
        <v>2.7362653904448803E-3</v>
      </c>
      <c r="U34" s="407">
        <f t="shared" si="8"/>
        <v>0.42185816105031121</v>
      </c>
      <c r="V34" s="409">
        <f t="shared" si="9"/>
        <v>3.5592861608950063E-4</v>
      </c>
      <c r="W34" s="407">
        <f t="shared" si="41"/>
        <v>3.5592861608950063E-4</v>
      </c>
      <c r="X34" s="407">
        <f t="shared" si="10"/>
        <v>0.42185816105031121</v>
      </c>
      <c r="Y34" s="407">
        <f t="shared" si="11"/>
        <v>1.0677858482685018E-3</v>
      </c>
      <c r="Z34" s="407">
        <f t="shared" si="12"/>
        <v>2.0801897455594007E-2</v>
      </c>
      <c r="AA34" s="407">
        <f t="shared" si="13"/>
        <v>0.11056627051158306</v>
      </c>
      <c r="AB34" s="407">
        <f t="shared" si="14"/>
        <v>1.1233733108108094E-3</v>
      </c>
      <c r="AC34" s="407">
        <f t="shared" si="15"/>
        <v>0.13358785577063484</v>
      </c>
      <c r="AD34" s="407">
        <f t="shared" si="16"/>
        <v>0.81127198336916451</v>
      </c>
      <c r="AE34" s="407">
        <f t="shared" si="17"/>
        <v>3.9489733859984274E-3</v>
      </c>
      <c r="AF34" s="407">
        <f t="shared" si="18"/>
        <v>1.341379497466216E-2</v>
      </c>
      <c r="AG34" s="407">
        <f t="shared" si="19"/>
        <v>1.7376492221725704E-2</v>
      </c>
      <c r="AH34" s="407">
        <f t="shared" si="20"/>
        <v>0</v>
      </c>
      <c r="AI34">
        <f t="shared" si="21"/>
        <v>0</v>
      </c>
      <c r="AJ34" s="408">
        <f t="shared" si="22"/>
        <v>0.45351494999999997</v>
      </c>
      <c r="AK34">
        <f t="shared" si="23"/>
        <v>4.8000000000000001E-2</v>
      </c>
      <c r="AL34" s="408">
        <f t="shared" si="24"/>
        <v>5.1750000000000004E-2</v>
      </c>
      <c r="AM34" s="408">
        <f t="shared" si="25"/>
        <v>0.13648893249607535</v>
      </c>
      <c r="AN34" s="408">
        <f t="shared" si="42"/>
        <v>9.9750000000000005E-2</v>
      </c>
      <c r="AO34" s="408">
        <f t="shared" si="26"/>
        <v>0.91150352337708629</v>
      </c>
      <c r="AP34">
        <f t="shared" si="27"/>
        <v>3.8249999999999997</v>
      </c>
      <c r="AQ34" s="10">
        <f t="shared" si="43"/>
        <v>0.80755772293246553</v>
      </c>
      <c r="AR34" s="63">
        <f t="shared" si="28"/>
        <v>6.6793927885317421</v>
      </c>
      <c r="AS34" s="63">
        <f t="shared" si="44"/>
        <v>0.86882461108628517</v>
      </c>
      <c r="AT34" s="10"/>
      <c r="AU34">
        <f t="shared" si="45"/>
        <v>80.755772293246551</v>
      </c>
      <c r="BD34">
        <v>9.9986049999999995</v>
      </c>
      <c r="BE34">
        <v>0.83240000000000003</v>
      </c>
      <c r="BF34">
        <v>5.1231559999999998</v>
      </c>
      <c r="BG34">
        <v>91.678946361105133</v>
      </c>
      <c r="BH34">
        <v>387.05996035199956</v>
      </c>
    </row>
    <row r="35" spans="1:60" x14ac:dyDescent="0.25">
      <c r="A35" s="32" t="s">
        <v>249</v>
      </c>
      <c r="B35" s="5">
        <v>2</v>
      </c>
      <c r="C35" s="417" t="s">
        <v>135</v>
      </c>
      <c r="D35" s="31" t="s">
        <v>259</v>
      </c>
      <c r="G35">
        <v>26</v>
      </c>
      <c r="H35">
        <f t="shared" si="0"/>
        <v>0.78</v>
      </c>
      <c r="I35" s="407">
        <f t="shared" si="1"/>
        <v>0.21285749999999995</v>
      </c>
      <c r="J35" s="408">
        <f t="shared" si="2"/>
        <v>1.812165202702702</v>
      </c>
      <c r="K35" s="408">
        <f t="shared" si="31"/>
        <v>1.686082601351351</v>
      </c>
      <c r="L35" s="408">
        <f t="shared" si="32"/>
        <v>-0.12608260135135096</v>
      </c>
      <c r="M35" s="63">
        <f t="shared" si="3"/>
        <v>4.5029500482625346</v>
      </c>
      <c r="N35" s="407">
        <f t="shared" si="4"/>
        <v>0.93918150188903515</v>
      </c>
      <c r="O35" s="407">
        <f t="shared" si="5"/>
        <v>4.4118660830331294E-3</v>
      </c>
      <c r="P35">
        <f t="shared" si="6"/>
        <v>0.2</v>
      </c>
      <c r="Q35" s="407">
        <f t="shared" si="34"/>
        <v>0.20441186608303313</v>
      </c>
      <c r="R35" s="9">
        <f t="shared" si="39"/>
        <v>0.52312703379823888</v>
      </c>
      <c r="S35" s="9">
        <f t="shared" si="7"/>
        <v>2.7366189349054375E-3</v>
      </c>
      <c r="T35" s="9">
        <f t="shared" si="40"/>
        <v>2.7366189349054375E-3</v>
      </c>
      <c r="U35" s="407">
        <f t="shared" si="8"/>
        <v>0.43330530748383794</v>
      </c>
      <c r="V35" s="409">
        <f t="shared" si="9"/>
        <v>3.755069789873267E-4</v>
      </c>
      <c r="W35" s="407">
        <f t="shared" si="41"/>
        <v>3.755069789873267E-4</v>
      </c>
      <c r="X35" s="407">
        <f t="shared" si="10"/>
        <v>0.43330530748383794</v>
      </c>
      <c r="Y35" s="407">
        <f t="shared" si="11"/>
        <v>1.1265209369619802E-3</v>
      </c>
      <c r="Z35" s="407">
        <f t="shared" si="12"/>
        <v>2.1179473167281537E-2</v>
      </c>
      <c r="AA35" s="407">
        <f t="shared" si="13"/>
        <v>0.1169822997104248</v>
      </c>
      <c r="AB35" s="407">
        <f t="shared" si="14"/>
        <v>9.0779472972972702E-4</v>
      </c>
      <c r="AC35" s="407">
        <f t="shared" si="15"/>
        <v>0.14022768242843747</v>
      </c>
      <c r="AD35" s="407">
        <f t="shared" si="16"/>
        <v>0.8332517050668905</v>
      </c>
      <c r="AE35" s="407">
        <f t="shared" si="17"/>
        <v>4.165850423981282E-3</v>
      </c>
      <c r="AF35" s="407">
        <f t="shared" si="18"/>
        <v>1.3657269070945943E-2</v>
      </c>
      <c r="AG35" s="407">
        <f t="shared" si="19"/>
        <v>1.783798156754245E-2</v>
      </c>
      <c r="AH35" s="407">
        <f t="shared" si="20"/>
        <v>0</v>
      </c>
      <c r="AI35">
        <f t="shared" si="21"/>
        <v>0</v>
      </c>
      <c r="AJ35" s="408">
        <f t="shared" si="22"/>
        <v>0.45351154799999999</v>
      </c>
      <c r="AK35">
        <f t="shared" si="23"/>
        <v>4.8000000000000001E-2</v>
      </c>
      <c r="AL35" s="408">
        <f t="shared" si="24"/>
        <v>5.1750000000000004E-2</v>
      </c>
      <c r="AM35" s="408">
        <f t="shared" si="25"/>
        <v>0.13648893249607535</v>
      </c>
      <c r="AN35" s="408">
        <f t="shared" si="42"/>
        <v>9.9750000000000005E-2</v>
      </c>
      <c r="AO35" s="408">
        <f t="shared" si="26"/>
        <v>0.91885120399290576</v>
      </c>
      <c r="AP35">
        <f t="shared" si="27"/>
        <v>3.9779999999999998</v>
      </c>
      <c r="AQ35" s="10">
        <f t="shared" si="43"/>
        <v>0.81235876572200671</v>
      </c>
      <c r="AR35" s="63">
        <f t="shared" si="28"/>
        <v>7.0113841214218739</v>
      </c>
      <c r="AS35" s="63">
        <f t="shared" si="44"/>
        <v>0.89189907837712246</v>
      </c>
      <c r="AT35" s="10"/>
      <c r="AU35">
        <f t="shared" si="45"/>
        <v>81.235876572200667</v>
      </c>
      <c r="BD35">
        <v>9.9986049999999995</v>
      </c>
      <c r="BE35">
        <v>1.0528999999999999</v>
      </c>
      <c r="BF35">
        <v>5.1218219999999999</v>
      </c>
      <c r="BG35">
        <v>92.889938966292178</v>
      </c>
      <c r="BH35">
        <v>412.77762981700039</v>
      </c>
    </row>
    <row r="36" spans="1:60" x14ac:dyDescent="0.25">
      <c r="A36" s="34" t="s">
        <v>129</v>
      </c>
      <c r="B36" s="25" t="s">
        <v>201</v>
      </c>
      <c r="C36" s="34" t="s">
        <v>148</v>
      </c>
      <c r="D36" s="27" t="s">
        <v>188</v>
      </c>
      <c r="G36">
        <v>27</v>
      </c>
      <c r="H36">
        <f t="shared" si="0"/>
        <v>0.81</v>
      </c>
      <c r="I36" s="407">
        <f t="shared" si="1"/>
        <v>0.21287124999999998</v>
      </c>
      <c r="J36" s="408">
        <f t="shared" si="2"/>
        <v>1.8122822635135132</v>
      </c>
      <c r="K36" s="408">
        <f t="shared" si="31"/>
        <v>1.7161411317567565</v>
      </c>
      <c r="L36" s="408">
        <f t="shared" si="32"/>
        <v>-9.6141131756756537E-2</v>
      </c>
      <c r="M36" s="63">
        <f t="shared" si="3"/>
        <v>3.4336118484555906</v>
      </c>
      <c r="N36" s="407">
        <f t="shared" si="4"/>
        <v>0.9642599495055636</v>
      </c>
      <c r="O36" s="407">
        <f t="shared" si="5"/>
        <v>4.6507159402594846E-3</v>
      </c>
      <c r="P36">
        <f t="shared" si="6"/>
        <v>0.2</v>
      </c>
      <c r="Q36" s="407">
        <f t="shared" si="34"/>
        <v>0.20465071594025949</v>
      </c>
      <c r="R36" s="9">
        <f t="shared" si="39"/>
        <v>0.52316082634355554</v>
      </c>
      <c r="S36" s="9">
        <f t="shared" si="7"/>
        <v>2.7369725022047186E-3</v>
      </c>
      <c r="T36" s="9">
        <f t="shared" si="40"/>
        <v>2.7369725022047186E-3</v>
      </c>
      <c r="U36" s="407">
        <f t="shared" si="8"/>
        <v>0.44488998966148324</v>
      </c>
      <c r="V36" s="409">
        <f t="shared" si="9"/>
        <v>3.9585420580198934E-4</v>
      </c>
      <c r="W36" s="407">
        <f t="shared" si="41"/>
        <v>3.9585420580198934E-4</v>
      </c>
      <c r="X36" s="407">
        <f t="shared" si="10"/>
        <v>0.44488998966148324</v>
      </c>
      <c r="Y36" s="407">
        <f t="shared" si="11"/>
        <v>1.187562617405968E-3</v>
      </c>
      <c r="Z36" s="407">
        <f t="shared" si="12"/>
        <v>2.1557048878969066E-2</v>
      </c>
      <c r="AA36" s="407">
        <f t="shared" si="13"/>
        <v>0.12339832890926646</v>
      </c>
      <c r="AB36" s="407">
        <f t="shared" si="14"/>
        <v>6.9221614864864716E-4</v>
      </c>
      <c r="AC36" s="407">
        <f t="shared" si="15"/>
        <v>0.14687004002812099</v>
      </c>
      <c r="AD36" s="407">
        <f t="shared" si="16"/>
        <v>0.85549409543226973</v>
      </c>
      <c r="AE36" s="407">
        <f t="shared" si="17"/>
        <v>4.3912208839168645E-3</v>
      </c>
      <c r="AF36" s="407">
        <f t="shared" si="18"/>
        <v>1.3900743167229727E-2</v>
      </c>
      <c r="AG36" s="407">
        <f t="shared" si="19"/>
        <v>1.830804298328496E-2</v>
      </c>
      <c r="AH36" s="407">
        <f t="shared" si="20"/>
        <v>0</v>
      </c>
      <c r="AI36">
        <f t="shared" si="21"/>
        <v>0</v>
      </c>
      <c r="AJ36" s="408">
        <f t="shared" si="22"/>
        <v>0.453508146</v>
      </c>
      <c r="AK36">
        <f t="shared" si="23"/>
        <v>4.8000000000000001E-2</v>
      </c>
      <c r="AL36" s="408">
        <f t="shared" si="24"/>
        <v>5.1750000000000004E-2</v>
      </c>
      <c r="AM36" s="408">
        <f t="shared" si="25"/>
        <v>0.13648893249607535</v>
      </c>
      <c r="AN36" s="408">
        <f t="shared" si="42"/>
        <v>9.9750000000000005E-2</v>
      </c>
      <c r="AO36" s="408">
        <f t="shared" si="26"/>
        <v>0.92621977165967206</v>
      </c>
      <c r="AP36">
        <f t="shared" si="27"/>
        <v>4.1310000000000002</v>
      </c>
      <c r="AQ36" s="10">
        <f t="shared" si="43"/>
        <v>0.81685198320821517</v>
      </c>
      <c r="AR36" s="63">
        <f t="shared" si="28"/>
        <v>7.3435020014060495</v>
      </c>
      <c r="AS36" s="63">
        <f t="shared" si="44"/>
        <v>0.915402149164248</v>
      </c>
      <c r="AT36" s="10"/>
      <c r="AU36">
        <f t="shared" si="45"/>
        <v>81.685198320821513</v>
      </c>
      <c r="BD36">
        <v>9.9986669999999993</v>
      </c>
      <c r="BE36">
        <v>1.3092999999999999</v>
      </c>
      <c r="BF36">
        <v>5.1195649999999997</v>
      </c>
      <c r="BG36">
        <v>93.690364214923264</v>
      </c>
      <c r="BH36">
        <v>451.42072788069993</v>
      </c>
    </row>
    <row r="37" spans="1:60" x14ac:dyDescent="0.25">
      <c r="A37" s="33" t="s">
        <v>142</v>
      </c>
      <c r="B37" s="5">
        <f>RdsonTop*1000</f>
        <v>6</v>
      </c>
      <c r="C37" s="417" t="s">
        <v>621</v>
      </c>
      <c r="D37" s="31" t="s">
        <v>194</v>
      </c>
      <c r="G37">
        <v>28</v>
      </c>
      <c r="H37">
        <f t="shared" si="0"/>
        <v>0.84000000000000008</v>
      </c>
      <c r="I37" s="407">
        <f t="shared" si="1"/>
        <v>0.21288499999999999</v>
      </c>
      <c r="J37" s="408">
        <f t="shared" si="2"/>
        <v>1.8123993243243237</v>
      </c>
      <c r="K37" s="408">
        <f t="shared" si="31"/>
        <v>1.7461996621621618</v>
      </c>
      <c r="L37" s="408">
        <f t="shared" si="32"/>
        <v>-6.6199662162161776E-2</v>
      </c>
      <c r="M37" s="63">
        <f t="shared" si="3"/>
        <v>2.3642736486486351</v>
      </c>
      <c r="N37" s="407">
        <f t="shared" si="4"/>
        <v>0.98961235301216421</v>
      </c>
      <c r="O37" s="407">
        <f t="shared" si="5"/>
        <v>4.8985819826011887E-3</v>
      </c>
      <c r="P37">
        <f t="shared" si="6"/>
        <v>0.2</v>
      </c>
      <c r="Q37" s="407">
        <f t="shared" si="34"/>
        <v>0.20489858198260119</v>
      </c>
      <c r="R37" s="9">
        <f t="shared" si="39"/>
        <v>0.52319461888887209</v>
      </c>
      <c r="S37" s="9">
        <f t="shared" si="7"/>
        <v>2.7373260923427211E-3</v>
      </c>
      <c r="T37" s="9">
        <f t="shared" si="40"/>
        <v>2.7373260923427211E-3</v>
      </c>
      <c r="U37" s="407">
        <f t="shared" si="8"/>
        <v>0.45660182053605308</v>
      </c>
      <c r="V37" s="409">
        <f t="shared" si="9"/>
        <v>4.1697044503367605E-4</v>
      </c>
      <c r="W37" s="407">
        <f t="shared" si="41"/>
        <v>4.1697044503367605E-4</v>
      </c>
      <c r="X37" s="407">
        <f t="shared" si="10"/>
        <v>0.45660182053605308</v>
      </c>
      <c r="Y37" s="407">
        <f t="shared" si="11"/>
        <v>1.250911335101028E-3</v>
      </c>
      <c r="Z37" s="407">
        <f t="shared" si="12"/>
        <v>2.1934624590656596E-2</v>
      </c>
      <c r="AA37" s="407">
        <f t="shared" si="13"/>
        <v>0.12981435810810818</v>
      </c>
      <c r="AB37" s="407">
        <f t="shared" si="14"/>
        <v>4.766375675675648E-4</v>
      </c>
      <c r="AC37" s="407">
        <f t="shared" si="15"/>
        <v>0.15351493831672292</v>
      </c>
      <c r="AD37" s="407">
        <f t="shared" si="16"/>
        <v>0.87797914936371602</v>
      </c>
      <c r="AE37" s="407">
        <f t="shared" si="17"/>
        <v>4.6250843203046064E-3</v>
      </c>
      <c r="AF37" s="407">
        <f t="shared" si="18"/>
        <v>1.414421726351351E-2</v>
      </c>
      <c r="AG37" s="407">
        <f t="shared" si="19"/>
        <v>1.8786679579248632E-2</v>
      </c>
      <c r="AH37" s="407">
        <f t="shared" si="20"/>
        <v>0</v>
      </c>
      <c r="AI37">
        <f t="shared" si="21"/>
        <v>0</v>
      </c>
      <c r="AJ37" s="408">
        <f t="shared" si="22"/>
        <v>0.45350474399999996</v>
      </c>
      <c r="AK37">
        <f t="shared" si="23"/>
        <v>4.8000000000000001E-2</v>
      </c>
      <c r="AL37" s="408">
        <f t="shared" si="24"/>
        <v>5.1750000000000004E-2</v>
      </c>
      <c r="AM37" s="408">
        <f t="shared" si="25"/>
        <v>0.13648893249607535</v>
      </c>
      <c r="AN37" s="408">
        <f t="shared" si="42"/>
        <v>9.9750000000000005E-2</v>
      </c>
      <c r="AO37" s="408">
        <f t="shared" si="26"/>
        <v>0.93360924041594906</v>
      </c>
      <c r="AP37">
        <f t="shared" si="27"/>
        <v>4.2839999999999998</v>
      </c>
      <c r="AQ37" s="10">
        <f t="shared" si="43"/>
        <v>0.82106570319905336</v>
      </c>
      <c r="AR37" s="63">
        <f t="shared" si="28"/>
        <v>7.6757469158361458</v>
      </c>
      <c r="AS37" s="63">
        <f t="shared" si="44"/>
        <v>0.93933397896243165</v>
      </c>
      <c r="AT37" s="10"/>
      <c r="AU37">
        <f t="shared" si="45"/>
        <v>82.10657031990533</v>
      </c>
      <c r="BD37">
        <v>9.9985429999999997</v>
      </c>
      <c r="BE37">
        <v>1.6020000000000001</v>
      </c>
      <c r="BF37">
        <v>5.1182809999999996</v>
      </c>
      <c r="BG37">
        <v>93.864473327748414</v>
      </c>
      <c r="BH37">
        <v>535.96589716749952</v>
      </c>
    </row>
    <row r="38" spans="1:60" x14ac:dyDescent="0.25">
      <c r="A38" s="32" t="s">
        <v>152</v>
      </c>
      <c r="B38" s="5">
        <v>4500</v>
      </c>
      <c r="C38" s="417" t="s">
        <v>622</v>
      </c>
      <c r="D38" s="31" t="s">
        <v>193</v>
      </c>
      <c r="G38">
        <v>29</v>
      </c>
      <c r="H38">
        <f t="shared" si="0"/>
        <v>0.86999999999999988</v>
      </c>
      <c r="I38" s="407">
        <f t="shared" si="1"/>
        <v>0.21289874999999994</v>
      </c>
      <c r="J38" s="408">
        <f t="shared" si="2"/>
        <v>1.8125163851351342</v>
      </c>
      <c r="K38" s="408">
        <f t="shared" si="31"/>
        <v>1.7762581925675671</v>
      </c>
      <c r="L38" s="408">
        <f t="shared" si="32"/>
        <v>-3.6258192567567238E-2</v>
      </c>
      <c r="M38" s="63">
        <f t="shared" si="3"/>
        <v>1.2949354488416871</v>
      </c>
      <c r="N38" s="407">
        <f t="shared" si="4"/>
        <v>1.0152181886333322</v>
      </c>
      <c r="O38" s="407">
        <f t="shared" si="5"/>
        <v>5.1554652818353915E-3</v>
      </c>
      <c r="P38">
        <f t="shared" si="6"/>
        <v>0.2</v>
      </c>
      <c r="Q38" s="407">
        <f t="shared" si="34"/>
        <v>0.2051554652818354</v>
      </c>
      <c r="R38" s="9">
        <f t="shared" si="39"/>
        <v>0.52322841143418863</v>
      </c>
      <c r="S38" s="9">
        <f t="shared" si="7"/>
        <v>2.7376797053194459E-3</v>
      </c>
      <c r="T38" s="9">
        <f t="shared" si="40"/>
        <v>2.7376797053194459E-3</v>
      </c>
      <c r="U38" s="407">
        <f t="shared" si="8"/>
        <v>0.46843134245189838</v>
      </c>
      <c r="V38" s="409">
        <f t="shared" si="9"/>
        <v>4.3885584518257539E-4</v>
      </c>
      <c r="W38" s="407">
        <f t="shared" si="41"/>
        <v>4.3885584518257539E-4</v>
      </c>
      <c r="X38" s="407">
        <f t="shared" si="10"/>
        <v>0.46843134245189838</v>
      </c>
      <c r="Y38" s="407">
        <f t="shared" si="11"/>
        <v>1.3165675355477262E-3</v>
      </c>
      <c r="Z38" s="407">
        <f t="shared" si="12"/>
        <v>2.2312200302344126E-2</v>
      </c>
      <c r="AA38" s="407">
        <f t="shared" si="13"/>
        <v>0.13623038730694986</v>
      </c>
      <c r="AB38" s="407">
        <f t="shared" si="14"/>
        <v>2.6105898648648413E-4</v>
      </c>
      <c r="AC38" s="407">
        <f t="shared" si="15"/>
        <v>0.1601623870511697</v>
      </c>
      <c r="AD38" s="407">
        <f t="shared" si="16"/>
        <v>0.90068865205500193</v>
      </c>
      <c r="AE38" s="407">
        <f t="shared" si="17"/>
        <v>4.867440287643938E-3</v>
      </c>
      <c r="AF38" s="407">
        <f t="shared" si="18"/>
        <v>1.4387691359797294E-2</v>
      </c>
      <c r="AG38" s="407">
        <f t="shared" si="19"/>
        <v>1.927389455361124E-2</v>
      </c>
      <c r="AH38" s="407">
        <f t="shared" si="20"/>
        <v>0</v>
      </c>
      <c r="AI38">
        <f t="shared" si="21"/>
        <v>0</v>
      </c>
      <c r="AJ38" s="408">
        <f t="shared" si="22"/>
        <v>0.45350134199999997</v>
      </c>
      <c r="AK38">
        <f t="shared" si="23"/>
        <v>4.8000000000000001E-2</v>
      </c>
      <c r="AL38" s="408">
        <f t="shared" si="24"/>
        <v>5.1750000000000004E-2</v>
      </c>
      <c r="AM38" s="408">
        <f t="shared" si="25"/>
        <v>0.13648893249607535</v>
      </c>
      <c r="AN38" s="408">
        <f t="shared" si="42"/>
        <v>9.9750000000000005E-2</v>
      </c>
      <c r="AO38" s="408">
        <f t="shared" si="26"/>
        <v>0.94101962443711828</v>
      </c>
      <c r="AP38">
        <f t="shared" si="27"/>
        <v>4.4369999999999994</v>
      </c>
      <c r="AQ38" s="10">
        <f t="shared" si="43"/>
        <v>0.82502488087599568</v>
      </c>
      <c r="AR38" s="63">
        <f t="shared" si="28"/>
        <v>8.0081193525584844</v>
      </c>
      <c r="AS38" s="63">
        <f t="shared" si="44"/>
        <v>0.96369472768056197</v>
      </c>
      <c r="AT38" s="10"/>
      <c r="AU38">
        <f t="shared" si="45"/>
        <v>82.502488087599573</v>
      </c>
      <c r="BD38">
        <v>9.9985429999999997</v>
      </c>
      <c r="BE38">
        <v>1.9350000000000001</v>
      </c>
      <c r="BF38">
        <v>5.117146</v>
      </c>
      <c r="BG38">
        <v>94.224527198076927</v>
      </c>
      <c r="BH38">
        <v>606.92116405899924</v>
      </c>
    </row>
    <row r="39" spans="1:60" x14ac:dyDescent="0.25">
      <c r="A39" s="33" t="s">
        <v>141</v>
      </c>
      <c r="B39" s="5">
        <f>QgTop*1000000000</f>
        <v>11.5</v>
      </c>
      <c r="C39" s="417" t="s">
        <v>136</v>
      </c>
      <c r="D39" s="31" t="s">
        <v>180</v>
      </c>
      <c r="G39">
        <v>30</v>
      </c>
      <c r="H39">
        <f t="shared" si="0"/>
        <v>0.89999999999999991</v>
      </c>
      <c r="I39" s="407">
        <f t="shared" si="1"/>
        <v>0.21291249999999998</v>
      </c>
      <c r="J39" s="408">
        <f t="shared" si="2"/>
        <v>1.8126334459459457</v>
      </c>
      <c r="K39" s="408">
        <f t="shared" si="31"/>
        <v>1.8063167229729729</v>
      </c>
      <c r="L39" s="408">
        <f t="shared" si="32"/>
        <v>-6.3167229729729213E-3</v>
      </c>
      <c r="M39" s="63">
        <f t="shared" si="3"/>
        <v>0.22559724903474718</v>
      </c>
      <c r="N39" s="407">
        <f t="shared" si="4"/>
        <v>1.041058756321414</v>
      </c>
      <c r="O39" s="407">
        <f t="shared" si="5"/>
        <v>5.4213669487972694E-3</v>
      </c>
      <c r="P39">
        <f t="shared" si="6"/>
        <v>0.2</v>
      </c>
      <c r="Q39" s="407">
        <f t="shared" si="34"/>
        <v>0.20542136694879728</v>
      </c>
      <c r="R39" s="9">
        <f t="shared" si="39"/>
        <v>0.5232622039795054</v>
      </c>
      <c r="S39" s="9">
        <f t="shared" si="7"/>
        <v>2.738033341134895E-3</v>
      </c>
      <c r="T39" s="9">
        <f t="shared" si="40"/>
        <v>2.738033341134895E-3</v>
      </c>
      <c r="U39" s="407">
        <f t="shared" si="8"/>
        <v>0.48036993804196182</v>
      </c>
      <c r="V39" s="409">
        <f t="shared" si="9"/>
        <v>4.6151055474887649E-4</v>
      </c>
      <c r="W39" s="407">
        <f t="shared" si="41"/>
        <v>4.6151055474887649E-4</v>
      </c>
      <c r="X39" s="407">
        <f t="shared" si="10"/>
        <v>0.48036993804196182</v>
      </c>
      <c r="Y39" s="407">
        <f t="shared" si="11"/>
        <v>1.3845316642466295E-3</v>
      </c>
      <c r="Z39" s="407">
        <f t="shared" si="12"/>
        <v>2.2689776014031663E-2</v>
      </c>
      <c r="AA39" s="407">
        <f t="shared" si="13"/>
        <v>0.14264641650579152</v>
      </c>
      <c r="AB39" s="407">
        <f t="shared" si="14"/>
        <v>4.5480405405405025E-5</v>
      </c>
      <c r="AC39" s="407">
        <f t="shared" si="15"/>
        <v>0.16681239599832492</v>
      </c>
      <c r="AD39" s="407">
        <f t="shared" si="16"/>
        <v>0.92360600730996278</v>
      </c>
      <c r="AE39" s="407">
        <f t="shared" si="17"/>
        <v>5.1182883404343061E-3</v>
      </c>
      <c r="AF39" s="407">
        <f t="shared" si="18"/>
        <v>1.4631165456081079E-2</v>
      </c>
      <c r="AG39" s="407">
        <f t="shared" si="19"/>
        <v>1.9769691192500296E-2</v>
      </c>
      <c r="AH39" s="407">
        <f t="shared" si="20"/>
        <v>0</v>
      </c>
      <c r="AI39">
        <f t="shared" si="21"/>
        <v>0</v>
      </c>
      <c r="AJ39" s="408">
        <f t="shared" si="22"/>
        <v>0.45349793999999999</v>
      </c>
      <c r="AK39">
        <f t="shared" si="23"/>
        <v>4.8000000000000001E-2</v>
      </c>
      <c r="AL39" s="408">
        <f t="shared" si="24"/>
        <v>5.1750000000000004E-2</v>
      </c>
      <c r="AM39" s="408">
        <f t="shared" si="25"/>
        <v>0.13648893249607535</v>
      </c>
      <c r="AN39" s="408">
        <f t="shared" si="42"/>
        <v>9.9750000000000005E-2</v>
      </c>
      <c r="AO39" s="408">
        <f t="shared" si="26"/>
        <v>0.94845093803550629</v>
      </c>
      <c r="AP39">
        <f t="shared" si="27"/>
        <v>4.589999999999999</v>
      </c>
      <c r="AQ39" s="10">
        <f t="shared" si="43"/>
        <v>0.82875158620220202</v>
      </c>
      <c r="AR39" s="63">
        <f t="shared" si="28"/>
        <v>8.3406197999162455</v>
      </c>
      <c r="AS39" s="63">
        <f t="shared" si="44"/>
        <v>0.9884845596250148</v>
      </c>
      <c r="AT39" s="10"/>
      <c r="AU39">
        <f t="shared" si="45"/>
        <v>82.875158620220205</v>
      </c>
      <c r="BD39">
        <v>9.9985060000000008</v>
      </c>
      <c r="BE39">
        <v>2.31</v>
      </c>
      <c r="BF39">
        <v>5.1166349999999996</v>
      </c>
      <c r="BG39">
        <v>94.492663502717292</v>
      </c>
      <c r="BH39">
        <v>688.87413060200208</v>
      </c>
    </row>
    <row r="40" spans="1:60" x14ac:dyDescent="0.25">
      <c r="A40" s="33" t="s">
        <v>218</v>
      </c>
      <c r="B40" s="5">
        <f>QgdTop*1000000000</f>
        <v>2.9</v>
      </c>
      <c r="C40" s="417" t="s">
        <v>136</v>
      </c>
      <c r="D40" s="31" t="s">
        <v>219</v>
      </c>
      <c r="G40">
        <v>31</v>
      </c>
      <c r="H40">
        <f t="shared" si="0"/>
        <v>0.92999999999999994</v>
      </c>
      <c r="I40" s="407">
        <f t="shared" si="1"/>
        <v>0.21292624999999998</v>
      </c>
      <c r="J40" s="408">
        <f t="shared" si="2"/>
        <v>1.8127505067567562</v>
      </c>
      <c r="K40" s="408">
        <f t="shared" si="31"/>
        <v>1.8363752533783781</v>
      </c>
      <c r="L40" s="408">
        <f t="shared" si="32"/>
        <v>2.3624746621621839E-2</v>
      </c>
      <c r="M40" s="63">
        <f t="shared" si="3"/>
        <v>0</v>
      </c>
      <c r="N40" s="407">
        <f t="shared" si="4"/>
        <v>1.0671170038842537</v>
      </c>
      <c r="O40" s="407">
        <f t="shared" si="5"/>
        <v>5.6962881333920204E-3</v>
      </c>
      <c r="P40">
        <f t="shared" si="6"/>
        <v>0.2</v>
      </c>
      <c r="Q40" s="407">
        <f t="shared" si="34"/>
        <v>0.20569628813339202</v>
      </c>
      <c r="R40" s="9">
        <f t="shared" si="39"/>
        <v>0.52329599652482184</v>
      </c>
      <c r="S40" s="9">
        <f t="shared" si="7"/>
        <v>2.7383869997890638E-3</v>
      </c>
      <c r="T40" s="9">
        <f t="shared" si="40"/>
        <v>2.7383869997890638E-3</v>
      </c>
      <c r="U40" s="407">
        <f t="shared" si="8"/>
        <v>0.49240974920931813</v>
      </c>
      <c r="V40" s="409">
        <f t="shared" si="9"/>
        <v>4.8493472223276715E-4</v>
      </c>
      <c r="W40" s="407">
        <f t="shared" si="41"/>
        <v>4.8493472223276715E-4</v>
      </c>
      <c r="X40" s="407">
        <f t="shared" si="10"/>
        <v>0.49240974920931813</v>
      </c>
      <c r="Y40" s="407">
        <f t="shared" si="11"/>
        <v>1.4548041666983013E-3</v>
      </c>
      <c r="Z40" s="407">
        <f t="shared" si="12"/>
        <v>2.3295519974340751E-2</v>
      </c>
      <c r="AA40" s="407">
        <f t="shared" si="13"/>
        <v>0.14400000000000002</v>
      </c>
      <c r="AB40" s="407">
        <f t="shared" si="14"/>
        <v>0</v>
      </c>
      <c r="AC40" s="407">
        <f t="shared" si="15"/>
        <v>0.16879943816623519</v>
      </c>
      <c r="AD40" s="407">
        <f t="shared" si="16"/>
        <v>0.94671608144285935</v>
      </c>
      <c r="AE40" s="407">
        <f t="shared" si="17"/>
        <v>5.377628033175136E-3</v>
      </c>
      <c r="AF40" s="407">
        <f t="shared" si="18"/>
        <v>1.5065999999999998E-2</v>
      </c>
      <c r="AG40" s="407">
        <f t="shared" si="19"/>
        <v>2.046563935235475E-2</v>
      </c>
      <c r="AH40" s="407">
        <f t="shared" si="20"/>
        <v>0</v>
      </c>
      <c r="AI40">
        <f t="shared" si="21"/>
        <v>0</v>
      </c>
      <c r="AJ40" s="408">
        <f t="shared" si="22"/>
        <v>0.45349453800000006</v>
      </c>
      <c r="AK40">
        <f t="shared" si="23"/>
        <v>4.8000000000000001E-2</v>
      </c>
      <c r="AL40" s="408">
        <f t="shared" si="24"/>
        <v>5.1750000000000004E-2</v>
      </c>
      <c r="AM40" s="408">
        <f t="shared" si="25"/>
        <v>0.13648893249607535</v>
      </c>
      <c r="AN40" s="408">
        <f t="shared" si="42"/>
        <v>9.9750000000000005E-2</v>
      </c>
      <c r="AO40" s="408">
        <f t="shared" si="26"/>
        <v>0.95142922537400387</v>
      </c>
      <c r="AP40">
        <f t="shared" si="27"/>
        <v>4.7429999999999994</v>
      </c>
      <c r="AQ40" s="10">
        <f t="shared" si="43"/>
        <v>0.83291929924521713</v>
      </c>
      <c r="AR40" s="63">
        <f t="shared" si="28"/>
        <v>8.4399719083117599</v>
      </c>
      <c r="AS40" s="63">
        <f t="shared" si="44"/>
        <v>1.0232819676177376</v>
      </c>
      <c r="AT40" s="10"/>
      <c r="AU40">
        <f t="shared" si="45"/>
        <v>83.29192992452171</v>
      </c>
      <c r="BD40">
        <v>9.9984319999999993</v>
      </c>
      <c r="BE40">
        <v>2.7269999999999999</v>
      </c>
      <c r="BF40">
        <v>5.115812</v>
      </c>
      <c r="BG40">
        <v>94.558770424517263</v>
      </c>
      <c r="BH40">
        <v>802.77694931200062</v>
      </c>
    </row>
    <row r="41" spans="1:60" x14ac:dyDescent="0.25">
      <c r="A41" s="33" t="s">
        <v>236</v>
      </c>
      <c r="B41" s="5">
        <f>QgsTop*1000000000</f>
        <v>3.3</v>
      </c>
      <c r="C41" s="417" t="s">
        <v>136</v>
      </c>
      <c r="D41" s="417" t="s">
        <v>721</v>
      </c>
      <c r="G41">
        <v>32</v>
      </c>
      <c r="H41">
        <f t="shared" si="0"/>
        <v>0.96</v>
      </c>
      <c r="I41" s="407">
        <f t="shared" si="1"/>
        <v>0.21294000000000002</v>
      </c>
      <c r="J41" s="408">
        <f t="shared" si="2"/>
        <v>1.8128675675675674</v>
      </c>
      <c r="K41" s="408">
        <f t="shared" si="31"/>
        <v>1.8664337837837837</v>
      </c>
      <c r="L41" s="408">
        <f t="shared" si="32"/>
        <v>5.3566216216216267E-2</v>
      </c>
      <c r="M41" s="63">
        <f t="shared" si="3"/>
        <v>0</v>
      </c>
      <c r="N41" s="407">
        <f t="shared" ref="N41:N72" si="46">SQRT(H41^2+(J41^2)/12)</f>
        <v>1.0933773676678129</v>
      </c>
      <c r="O41" s="407">
        <f t="shared" si="5"/>
        <v>5.9802300246073227E-3</v>
      </c>
      <c r="P41">
        <f t="shared" si="6"/>
        <v>0.2</v>
      </c>
      <c r="Q41" s="407">
        <f t="shared" si="34"/>
        <v>0.20598023002460733</v>
      </c>
      <c r="R41" s="9">
        <f t="shared" si="39"/>
        <v>0.52332978907013861</v>
      </c>
      <c r="S41" s="9">
        <f t="shared" si="7"/>
        <v>2.7387406812819574E-3</v>
      </c>
      <c r="T41" s="9">
        <f t="shared" si="40"/>
        <v>2.7387406812819574E-3</v>
      </c>
      <c r="U41" s="407">
        <f t="shared" ref="U41:U72" si="47">SQRT(I41)*SQRT(H41^2+(J41^2)/12)</f>
        <v>0.50454360373234153</v>
      </c>
      <c r="V41" s="409">
        <f t="shared" si="9"/>
        <v>5.0912849613443613E-4</v>
      </c>
      <c r="W41" s="407">
        <f t="shared" si="41"/>
        <v>5.0912849613443613E-4</v>
      </c>
      <c r="X41" s="407">
        <f t="shared" ref="X41:X72" si="48">SQRT(I41)*SQRT(H41^2+(J41^2)/12)</f>
        <v>0.50454360373234153</v>
      </c>
      <c r="Y41" s="407">
        <f t="shared" si="11"/>
        <v>1.5273854884033083E-3</v>
      </c>
      <c r="Z41" s="407">
        <f t="shared" si="12"/>
        <v>2.3962270964306264E-2</v>
      </c>
      <c r="AA41" s="407">
        <f t="shared" si="13"/>
        <v>0.14400000000000002</v>
      </c>
      <c r="AB41" s="407">
        <f t="shared" si="14"/>
        <v>0</v>
      </c>
      <c r="AC41" s="407">
        <f t="shared" ref="AC41:AC72" si="49">(AB41+AA41+Z41+Y41*(1+RdsonTopTc*Ta-RdsonTopTc*25))/(1-Y41*RdsonTopTc*ThetaJaTop)</f>
        <v>0.16954144748202296</v>
      </c>
      <c r="AD41" s="407">
        <f t="shared" ref="AD41:AD72" si="50">SQRT(1-I41)*SQRT(H41^2+(J41^2)/12)</f>
        <v>0.97000506187389435</v>
      </c>
      <c r="AE41" s="407">
        <f t="shared" si="17"/>
        <v>5.6454589203658659E-3</v>
      </c>
      <c r="AF41" s="407">
        <f t="shared" si="18"/>
        <v>1.5551999999999998E-2</v>
      </c>
      <c r="AG41" s="407">
        <f t="shared" ref="AG41:AG72" si="51">(AF41+AE41*(1+RdsonBotTc*Ta-RdsonBotTc*25))/(1-AE41*RdsonBotTc*ThetaJaBot)</f>
        <v>2.1221419851166181E-2</v>
      </c>
      <c r="AH41" s="407">
        <f t="shared" ref="AH41:AH72" si="52">IF(RDSON_sense=1, 0, AD41^2*Rshunt)</f>
        <v>0</v>
      </c>
      <c r="AI41">
        <f t="shared" si="21"/>
        <v>0</v>
      </c>
      <c r="AJ41" s="408">
        <f t="shared" si="22"/>
        <v>0.45349113600000002</v>
      </c>
      <c r="AK41">
        <f t="shared" si="23"/>
        <v>4.8000000000000001E-2</v>
      </c>
      <c r="AL41" s="408">
        <f t="shared" si="24"/>
        <v>5.1750000000000004E-2</v>
      </c>
      <c r="AM41" s="408">
        <f t="shared" si="25"/>
        <v>0.13648893249607535</v>
      </c>
      <c r="AN41" s="408">
        <f t="shared" si="42"/>
        <v>9.9750000000000005E-2</v>
      </c>
      <c r="AO41" s="408">
        <f t="shared" ref="AO41:AO72" si="53">SUM(Q41,T41,W41,AC41,AJ41,AI41,AG41,AN41, AH41)</f>
        <v>0.95323210253521296</v>
      </c>
      <c r="AP41">
        <f t="shared" si="27"/>
        <v>4.8959999999999999</v>
      </c>
      <c r="AQ41" s="10">
        <f t="shared" si="43"/>
        <v>0.83703294965469799</v>
      </c>
      <c r="AR41" s="63">
        <f t="shared" ref="AR41:AR72" si="54">ThetaJaTop*AC41</f>
        <v>8.477072374101148</v>
      </c>
      <c r="AS41" s="63">
        <f t="shared" si="44"/>
        <v>1.0610709925583091</v>
      </c>
      <c r="AT41" s="10"/>
      <c r="AU41">
        <f t="shared" si="45"/>
        <v>83.703294965469794</v>
      </c>
      <c r="BD41">
        <v>9.9985180000000007</v>
      </c>
      <c r="BE41">
        <v>3.1859999999999999</v>
      </c>
      <c r="BF41">
        <v>5.1148889999999998</v>
      </c>
      <c r="BG41">
        <v>94.58411932633652</v>
      </c>
      <c r="BH41">
        <v>933.10990806000302</v>
      </c>
    </row>
    <row r="42" spans="1:60" x14ac:dyDescent="0.25">
      <c r="A42" s="33" t="s">
        <v>168</v>
      </c>
      <c r="B42" s="5">
        <f>RGateTop</f>
        <v>1.5</v>
      </c>
      <c r="C42" s="416" t="s">
        <v>208</v>
      </c>
      <c r="D42" s="31" t="s">
        <v>181</v>
      </c>
      <c r="G42">
        <v>33</v>
      </c>
      <c r="H42">
        <f t="shared" si="0"/>
        <v>0.99</v>
      </c>
      <c r="I42" s="407">
        <f t="shared" si="1"/>
        <v>0.21295374999999997</v>
      </c>
      <c r="J42" s="408">
        <f t="shared" si="2"/>
        <v>1.8129846283783779</v>
      </c>
      <c r="K42" s="408">
        <f t="shared" si="31"/>
        <v>1.896492314189189</v>
      </c>
      <c r="L42" s="408">
        <f t="shared" si="32"/>
        <v>8.3507685810811028E-2</v>
      </c>
      <c r="M42" s="63">
        <f t="shared" si="3"/>
        <v>0</v>
      </c>
      <c r="N42" s="407">
        <f t="shared" si="46"/>
        <v>1.1198256286410653</v>
      </c>
      <c r="O42" s="407">
        <f t="shared" si="5"/>
        <v>6.2731938505261788E-3</v>
      </c>
      <c r="P42">
        <f t="shared" si="6"/>
        <v>0.2</v>
      </c>
      <c r="Q42" s="407">
        <f t="shared" si="34"/>
        <v>0.2062731938505262</v>
      </c>
      <c r="R42" s="9">
        <f t="shared" si="39"/>
        <v>0.52336358161545504</v>
      </c>
      <c r="S42" s="9">
        <f t="shared" si="7"/>
        <v>2.7390943856135707E-3</v>
      </c>
      <c r="T42" s="9">
        <f t="shared" si="40"/>
        <v>2.7390943856135707E-3</v>
      </c>
      <c r="U42" s="407">
        <f t="shared" si="47"/>
        <v>0.51676494896329372</v>
      </c>
      <c r="V42" s="409">
        <f t="shared" si="9"/>
        <v>5.3409202495407115E-4</v>
      </c>
      <c r="W42" s="407">
        <f t="shared" si="41"/>
        <v>5.3409202495407115E-4</v>
      </c>
      <c r="X42" s="407">
        <f t="shared" si="48"/>
        <v>0.51676494896329372</v>
      </c>
      <c r="Y42" s="407">
        <f t="shared" si="11"/>
        <v>1.6022760748622136E-3</v>
      </c>
      <c r="Z42" s="407">
        <f t="shared" si="12"/>
        <v>2.4629021954271781E-2</v>
      </c>
      <c r="AA42" s="407">
        <f t="shared" si="13"/>
        <v>0.14400000000000002</v>
      </c>
      <c r="AB42" s="407">
        <f t="shared" si="14"/>
        <v>0</v>
      </c>
      <c r="AC42" s="407">
        <f t="shared" si="49"/>
        <v>0.17028586702325771</v>
      </c>
      <c r="AD42" s="407">
        <f t="shared" si="50"/>
        <v>0.99346032939635864</v>
      </c>
      <c r="AE42" s="407">
        <f t="shared" si="17"/>
        <v>5.9217805565059288E-3</v>
      </c>
      <c r="AF42" s="407">
        <f t="shared" si="18"/>
        <v>1.6038E-2</v>
      </c>
      <c r="AG42" s="407">
        <f t="shared" si="51"/>
        <v>2.1985819596306782E-2</v>
      </c>
      <c r="AH42" s="407">
        <f t="shared" si="52"/>
        <v>0</v>
      </c>
      <c r="AI42">
        <f t="shared" si="21"/>
        <v>0</v>
      </c>
      <c r="AJ42" s="408">
        <f t="shared" si="22"/>
        <v>0.45348773400000003</v>
      </c>
      <c r="AK42">
        <f t="shared" si="23"/>
        <v>4.8000000000000001E-2</v>
      </c>
      <c r="AL42" s="408">
        <f t="shared" si="24"/>
        <v>5.1750000000000004E-2</v>
      </c>
      <c r="AM42" s="408">
        <f t="shared" si="25"/>
        <v>0.13648893249607535</v>
      </c>
      <c r="AN42" s="408">
        <f t="shared" si="42"/>
        <v>9.9750000000000005E-2</v>
      </c>
      <c r="AO42" s="408">
        <f t="shared" si="53"/>
        <v>0.95505580088065833</v>
      </c>
      <c r="AP42">
        <f t="shared" si="27"/>
        <v>5.0489999999999995</v>
      </c>
      <c r="AQ42" s="10">
        <f t="shared" si="43"/>
        <v>0.84093155817429721</v>
      </c>
      <c r="AR42" s="63">
        <f t="shared" si="54"/>
        <v>8.5142933511628858</v>
      </c>
      <c r="AS42" s="63">
        <f t="shared" si="44"/>
        <v>1.0992909798153392</v>
      </c>
      <c r="AT42" s="10"/>
      <c r="AU42">
        <f t="shared" si="45"/>
        <v>84.093155817429718</v>
      </c>
      <c r="BD42">
        <v>9.9984190000000002</v>
      </c>
      <c r="BE42">
        <v>3.6920000000000002</v>
      </c>
      <c r="BF42">
        <v>5.1137540000000001</v>
      </c>
      <c r="BG42">
        <v>94.441363374789603</v>
      </c>
      <c r="BH42">
        <v>1111.2391205219994</v>
      </c>
    </row>
    <row r="43" spans="1:60" x14ac:dyDescent="0.25">
      <c r="A43" s="33" t="s">
        <v>140</v>
      </c>
      <c r="B43" s="5">
        <f>GmTop</f>
        <v>100</v>
      </c>
      <c r="C43" s="417" t="s">
        <v>137</v>
      </c>
      <c r="D43" s="31" t="s">
        <v>182</v>
      </c>
      <c r="G43">
        <v>34</v>
      </c>
      <c r="H43">
        <f t="shared" si="0"/>
        <v>1.02</v>
      </c>
      <c r="I43" s="407">
        <f t="shared" si="1"/>
        <v>0.21296749999999998</v>
      </c>
      <c r="J43" s="408">
        <f t="shared" si="2"/>
        <v>1.8131016891891889</v>
      </c>
      <c r="K43" s="408">
        <f t="shared" si="31"/>
        <v>1.9265508445945945</v>
      </c>
      <c r="L43" s="408">
        <f t="shared" si="32"/>
        <v>0.11344915540540557</v>
      </c>
      <c r="M43" s="63">
        <f t="shared" si="3"/>
        <v>0</v>
      </c>
      <c r="N43" s="407">
        <f t="shared" si="46"/>
        <v>1.1464487826668885</v>
      </c>
      <c r="O43" s="407">
        <f t="shared" si="5"/>
        <v>6.575180878340219E-3</v>
      </c>
      <c r="P43">
        <f t="shared" si="6"/>
        <v>0.2</v>
      </c>
      <c r="Q43" s="407">
        <f t="shared" si="34"/>
        <v>0.20657518087834023</v>
      </c>
      <c r="R43" s="9">
        <f t="shared" si="39"/>
        <v>0.5233973741607717</v>
      </c>
      <c r="S43" s="9">
        <f t="shared" si="7"/>
        <v>2.7394481127839083E-3</v>
      </c>
      <c r="T43" s="9">
        <f t="shared" si="40"/>
        <v>2.7394481127839083E-3</v>
      </c>
      <c r="U43" s="407">
        <f t="shared" si="47"/>
        <v>0.52906779206064947</v>
      </c>
      <c r="V43" s="409">
        <f t="shared" si="9"/>
        <v>5.5982545719186132E-4</v>
      </c>
      <c r="W43" s="407">
        <f t="shared" si="41"/>
        <v>5.5982545719186132E-4</v>
      </c>
      <c r="X43" s="407">
        <f t="shared" si="48"/>
        <v>0.52906779206064947</v>
      </c>
      <c r="Y43" s="407">
        <f t="shared" si="11"/>
        <v>1.6794763715755839E-3</v>
      </c>
      <c r="Z43" s="407">
        <f t="shared" si="12"/>
        <v>2.5295772944237294E-2</v>
      </c>
      <c r="AA43" s="407">
        <f t="shared" si="13"/>
        <v>0.14400000000000002</v>
      </c>
      <c r="AB43" s="407">
        <f t="shared" si="14"/>
        <v>0</v>
      </c>
      <c r="AC43" s="407">
        <f t="shared" si="49"/>
        <v>0.17103269839095578</v>
      </c>
      <c r="AD43" s="407">
        <f t="shared" si="50"/>
        <v>1.0170703430355543</v>
      </c>
      <c r="AE43" s="407">
        <f t="shared" si="17"/>
        <v>6.2065924960947611E-3</v>
      </c>
      <c r="AF43" s="407">
        <f t="shared" si="18"/>
        <v>1.6524E-2</v>
      </c>
      <c r="AG43" s="407">
        <f t="shared" si="51"/>
        <v>2.27588434695143E-2</v>
      </c>
      <c r="AH43" s="407">
        <f t="shared" si="52"/>
        <v>0</v>
      </c>
      <c r="AI43">
        <f t="shared" si="21"/>
        <v>0</v>
      </c>
      <c r="AJ43" s="408">
        <f t="shared" si="22"/>
        <v>0.45348433199999999</v>
      </c>
      <c r="AK43">
        <f t="shared" si="23"/>
        <v>4.8000000000000001E-2</v>
      </c>
      <c r="AL43" s="408">
        <f t="shared" si="24"/>
        <v>5.1750000000000004E-2</v>
      </c>
      <c r="AM43" s="408">
        <f t="shared" si="25"/>
        <v>0.13648893249607535</v>
      </c>
      <c r="AN43" s="408">
        <f t="shared" si="42"/>
        <v>9.9750000000000005E-2</v>
      </c>
      <c r="AO43" s="408">
        <f t="shared" si="53"/>
        <v>0.95690032830878602</v>
      </c>
      <c r="AP43">
        <f t="shared" si="27"/>
        <v>5.202</v>
      </c>
      <c r="AQ43" s="10">
        <f t="shared" si="43"/>
        <v>0.8446313014824276</v>
      </c>
      <c r="AR43" s="63">
        <f t="shared" si="54"/>
        <v>8.551634919547789</v>
      </c>
      <c r="AS43" s="63">
        <f t="shared" si="44"/>
        <v>1.1379421734757149</v>
      </c>
      <c r="AT43" s="10"/>
      <c r="AU43">
        <f t="shared" si="45"/>
        <v>84.463130148242755</v>
      </c>
      <c r="BD43">
        <v>9.998246</v>
      </c>
      <c r="BE43">
        <v>4.2430000000000003</v>
      </c>
      <c r="BF43">
        <v>5.1120590000000004</v>
      </c>
      <c r="BG43">
        <v>94.267178615859891</v>
      </c>
      <c r="BH43">
        <v>1319.0970775599953</v>
      </c>
    </row>
    <row r="44" spans="1:60" x14ac:dyDescent="0.25">
      <c r="A44" s="33" t="s">
        <v>170</v>
      </c>
      <c r="B44" s="5">
        <f>VthTop</f>
        <v>3.2</v>
      </c>
      <c r="C44" s="417" t="s">
        <v>0</v>
      </c>
      <c r="D44" s="31" t="s">
        <v>183</v>
      </c>
      <c r="G44">
        <v>35</v>
      </c>
      <c r="H44">
        <f t="shared" si="0"/>
        <v>1.0499999999999998</v>
      </c>
      <c r="I44" s="407">
        <f t="shared" si="1"/>
        <v>0.21298125000000001</v>
      </c>
      <c r="J44" s="408">
        <f t="shared" si="2"/>
        <v>1.8132187499999999</v>
      </c>
      <c r="K44" s="408">
        <f t="shared" si="31"/>
        <v>1.9566093749999998</v>
      </c>
      <c r="L44" s="408">
        <f t="shared" si="32"/>
        <v>0.14339062499999988</v>
      </c>
      <c r="M44" s="63">
        <f t="shared" si="3"/>
        <v>0</v>
      </c>
      <c r="N44" s="407">
        <f t="shared" si="46"/>
        <v>1.1732349237383348</v>
      </c>
      <c r="O44" s="407">
        <f t="shared" si="5"/>
        <v>6.8861924143633927E-3</v>
      </c>
      <c r="P44">
        <f t="shared" si="6"/>
        <v>0.2</v>
      </c>
      <c r="Q44" s="407">
        <f t="shared" si="34"/>
        <v>0.2068861924143634</v>
      </c>
      <c r="R44" s="9">
        <f t="shared" si="39"/>
        <v>0.52343116670608836</v>
      </c>
      <c r="S44" s="9">
        <f t="shared" si="7"/>
        <v>2.7398018627929686E-3</v>
      </c>
      <c r="T44" s="9">
        <f t="shared" si="40"/>
        <v>2.7398018627929686E-3</v>
      </c>
      <c r="U44" s="407">
        <f t="shared" si="47"/>
        <v>0.54144664619332294</v>
      </c>
      <c r="V44" s="409">
        <f t="shared" si="9"/>
        <v>5.8632894134799489E-4</v>
      </c>
      <c r="W44" s="407">
        <f t="shared" si="41"/>
        <v>5.8632894134799489E-4</v>
      </c>
      <c r="X44" s="407">
        <f t="shared" si="48"/>
        <v>0.54144664619332294</v>
      </c>
      <c r="Y44" s="407">
        <f t="shared" si="11"/>
        <v>1.7589868240439847E-3</v>
      </c>
      <c r="Z44" s="407">
        <f t="shared" si="12"/>
        <v>2.5962523934202807E-2</v>
      </c>
      <c r="AA44" s="407">
        <f t="shared" si="13"/>
        <v>0.14400000000000002</v>
      </c>
      <c r="AB44" s="407">
        <f t="shared" si="14"/>
        <v>0</v>
      </c>
      <c r="AC44" s="407">
        <f t="shared" si="49"/>
        <v>0.17178194319318393</v>
      </c>
      <c r="AD44" s="407">
        <f t="shared" si="50"/>
        <v>1.0408245364158644</v>
      </c>
      <c r="AE44" s="407">
        <f t="shared" si="17"/>
        <v>6.4998942936317942E-3</v>
      </c>
      <c r="AF44" s="407">
        <f t="shared" si="18"/>
        <v>1.7009999999999997E-2</v>
      </c>
      <c r="AG44" s="407">
        <f t="shared" si="51"/>
        <v>2.3540496441329443E-2</v>
      </c>
      <c r="AH44" s="407">
        <f t="shared" si="52"/>
        <v>0</v>
      </c>
      <c r="AI44">
        <f t="shared" si="21"/>
        <v>0</v>
      </c>
      <c r="AJ44" s="408">
        <f t="shared" si="22"/>
        <v>0.45348093</v>
      </c>
      <c r="AK44">
        <f t="shared" si="23"/>
        <v>4.8000000000000001E-2</v>
      </c>
      <c r="AL44" s="408">
        <f t="shared" si="24"/>
        <v>5.1750000000000004E-2</v>
      </c>
      <c r="AM44" s="408">
        <f t="shared" si="25"/>
        <v>0.13648893249607535</v>
      </c>
      <c r="AN44" s="408">
        <f t="shared" si="42"/>
        <v>9.9750000000000005E-2</v>
      </c>
      <c r="AO44" s="408">
        <f t="shared" si="53"/>
        <v>0.95876569285301783</v>
      </c>
      <c r="AP44">
        <f t="shared" si="27"/>
        <v>5.3549999999999986</v>
      </c>
      <c r="AQ44" s="10">
        <f t="shared" si="43"/>
        <v>0.84814677333713684</v>
      </c>
      <c r="AR44" s="63">
        <f t="shared" si="54"/>
        <v>8.5890971596591967</v>
      </c>
      <c r="AS44" s="63">
        <f t="shared" si="44"/>
        <v>1.1770248220664721</v>
      </c>
      <c r="AT44" s="10"/>
      <c r="AU44">
        <f t="shared" si="45"/>
        <v>84.814677333713689</v>
      </c>
      <c r="BD44">
        <v>9.9981469999999995</v>
      </c>
      <c r="BE44">
        <v>4.8490000000000002</v>
      </c>
      <c r="BF44">
        <v>5.1107740000000002</v>
      </c>
      <c r="BG44">
        <v>93.953815994681278</v>
      </c>
      <c r="BH44">
        <v>1594.7983209009985</v>
      </c>
    </row>
    <row r="45" spans="1:60" x14ac:dyDescent="0.25">
      <c r="A45" s="38" t="s">
        <v>235</v>
      </c>
      <c r="B45" s="5">
        <f>VspTop</f>
        <v>3.2600000000000002</v>
      </c>
      <c r="C45" s="418" t="s">
        <v>0</v>
      </c>
      <c r="G45">
        <v>36</v>
      </c>
      <c r="H45">
        <f t="shared" si="0"/>
        <v>1.08</v>
      </c>
      <c r="I45" s="407">
        <f t="shared" si="1"/>
        <v>0.21299499999999996</v>
      </c>
      <c r="J45" s="408">
        <f t="shared" si="2"/>
        <v>1.8133358108108104</v>
      </c>
      <c r="K45" s="408">
        <f t="shared" si="31"/>
        <v>1.9866679054054053</v>
      </c>
      <c r="L45" s="408">
        <f t="shared" si="32"/>
        <v>0.17333209459459487</v>
      </c>
      <c r="M45" s="63">
        <f t="shared" si="3"/>
        <v>0</v>
      </c>
      <c r="N45" s="407">
        <f t="shared" si="46"/>
        <v>1.2001731389945682</v>
      </c>
      <c r="O45" s="407">
        <f t="shared" si="5"/>
        <v>7.2062298040461228E-3</v>
      </c>
      <c r="P45">
        <f t="shared" si="6"/>
        <v>0.2</v>
      </c>
      <c r="Q45" s="407">
        <f t="shared" si="34"/>
        <v>0.20720622980404613</v>
      </c>
      <c r="R45" s="9">
        <f t="shared" si="39"/>
        <v>0.5234649592514049</v>
      </c>
      <c r="S45" s="9">
        <f t="shared" si="7"/>
        <v>2.7401556356407499E-3</v>
      </c>
      <c r="T45" s="9">
        <f t="shared" si="40"/>
        <v>2.7401556356407499E-3</v>
      </c>
      <c r="U45" s="407">
        <f t="shared" si="47"/>
        <v>0.55389648217092891</v>
      </c>
      <c r="V45" s="409">
        <f t="shared" si="9"/>
        <v>6.1360262592266037E-4</v>
      </c>
      <c r="W45" s="407">
        <f t="shared" si="41"/>
        <v>6.1360262592266037E-4</v>
      </c>
      <c r="X45" s="407">
        <f t="shared" si="48"/>
        <v>0.55389648217092891</v>
      </c>
      <c r="Y45" s="407">
        <f t="shared" si="11"/>
        <v>1.840807877767981E-3</v>
      </c>
      <c r="Z45" s="407">
        <f t="shared" si="12"/>
        <v>2.6629274924168323E-2</v>
      </c>
      <c r="AA45" s="407">
        <f t="shared" si="13"/>
        <v>0.14400000000000002</v>
      </c>
      <c r="AB45" s="407">
        <f t="shared" si="14"/>
        <v>0</v>
      </c>
      <c r="AC45" s="407">
        <f t="shared" si="49"/>
        <v>0.17253360304506934</v>
      </c>
      <c r="AD45" s="407">
        <f t="shared" si="50"/>
        <v>1.0647132245833828</v>
      </c>
      <c r="AE45" s="407">
        <f t="shared" si="17"/>
        <v>6.8016855036164697E-3</v>
      </c>
      <c r="AF45" s="407">
        <f t="shared" si="18"/>
        <v>1.7496000000000001E-2</v>
      </c>
      <c r="AG45" s="407">
        <f t="shared" si="51"/>
        <v>2.4330783571198038E-2</v>
      </c>
      <c r="AH45" s="407">
        <f t="shared" si="52"/>
        <v>0</v>
      </c>
      <c r="AI45">
        <f t="shared" si="21"/>
        <v>0</v>
      </c>
      <c r="AJ45" s="408">
        <f t="shared" si="22"/>
        <v>0.45347752800000002</v>
      </c>
      <c r="AK45">
        <f t="shared" si="23"/>
        <v>4.8000000000000001E-2</v>
      </c>
      <c r="AL45" s="408">
        <f t="shared" si="24"/>
        <v>5.1750000000000004E-2</v>
      </c>
      <c r="AM45" s="408">
        <f t="shared" si="25"/>
        <v>0.13648893249607535</v>
      </c>
      <c r="AN45" s="408">
        <f t="shared" si="42"/>
        <v>9.9750000000000005E-2</v>
      </c>
      <c r="AO45" s="408">
        <f t="shared" si="53"/>
        <v>0.96065190268187683</v>
      </c>
      <c r="AP45">
        <f t="shared" si="27"/>
        <v>5.508</v>
      </c>
      <c r="AQ45" s="10">
        <f t="shared" si="43"/>
        <v>0.85149117356529969</v>
      </c>
      <c r="AR45" s="63">
        <f t="shared" si="54"/>
        <v>8.6266801522534671</v>
      </c>
      <c r="AS45" s="63">
        <f t="shared" si="44"/>
        <v>1.216539178559902</v>
      </c>
      <c r="AT45" s="10"/>
      <c r="AU45">
        <f t="shared" si="45"/>
        <v>85.14911735652997</v>
      </c>
      <c r="BD45">
        <v>9.9979859999999992</v>
      </c>
      <c r="BE45">
        <v>5.4960000000000004</v>
      </c>
      <c r="BF45">
        <v>5.1097890000000001</v>
      </c>
      <c r="BG45">
        <v>93.599771362833366</v>
      </c>
      <c r="BH45">
        <v>1920.3056923499939</v>
      </c>
    </row>
    <row r="46" spans="1:60" x14ac:dyDescent="0.25">
      <c r="A46" s="118" t="s">
        <v>378</v>
      </c>
      <c r="B46" s="5">
        <f>VsdTop</f>
        <v>0.8</v>
      </c>
      <c r="C46" s="418" t="s">
        <v>0</v>
      </c>
      <c r="G46">
        <v>37</v>
      </c>
      <c r="H46">
        <f t="shared" si="0"/>
        <v>1.1099999999999999</v>
      </c>
      <c r="I46" s="407">
        <f t="shared" si="1"/>
        <v>0.21300875</v>
      </c>
      <c r="J46" s="408">
        <f t="shared" si="2"/>
        <v>1.8134528716216212</v>
      </c>
      <c r="K46" s="408">
        <f t="shared" si="31"/>
        <v>2.0167264358108103</v>
      </c>
      <c r="L46" s="408">
        <f t="shared" si="32"/>
        <v>0.20327356418918929</v>
      </c>
      <c r="M46" s="63">
        <f t="shared" si="3"/>
        <v>0</v>
      </c>
      <c r="N46" s="407">
        <f t="shared" si="46"/>
        <v>1.2272534143903309</v>
      </c>
      <c r="O46" s="407">
        <f t="shared" si="5"/>
        <v>7.5352944319898359E-3</v>
      </c>
      <c r="P46">
        <f t="shared" si="6"/>
        <v>0.2</v>
      </c>
      <c r="Q46" s="407">
        <f t="shared" si="34"/>
        <v>0.20753529443198984</v>
      </c>
      <c r="R46" s="9">
        <f t="shared" si="39"/>
        <v>0.52349875179672145</v>
      </c>
      <c r="S46" s="9">
        <f t="shared" si="7"/>
        <v>2.7405094313272538E-3</v>
      </c>
      <c r="T46" s="9">
        <f t="shared" si="40"/>
        <v>2.7405094313272538E-3</v>
      </c>
      <c r="U46" s="407">
        <f t="shared" si="47"/>
        <v>0.56641268498156261</v>
      </c>
      <c r="V46" s="409">
        <f t="shared" si="9"/>
        <v>6.416466594160457E-4</v>
      </c>
      <c r="W46" s="407">
        <f t="shared" si="41"/>
        <v>6.416466594160457E-4</v>
      </c>
      <c r="X46" s="407">
        <f t="shared" si="48"/>
        <v>0.56641268498156261</v>
      </c>
      <c r="Y46" s="407">
        <f t="shared" si="11"/>
        <v>1.9249399782481371E-3</v>
      </c>
      <c r="Z46" s="407">
        <f t="shared" si="12"/>
        <v>2.7296025914133833E-2</v>
      </c>
      <c r="AA46" s="407">
        <f t="shared" si="13"/>
        <v>0.14400000000000002</v>
      </c>
      <c r="AB46" s="407">
        <f t="shared" si="14"/>
        <v>0</v>
      </c>
      <c r="AC46" s="407">
        <f t="shared" si="49"/>
        <v>0.17328767956880997</v>
      </c>
      <c r="AD46" s="407">
        <f t="shared" si="50"/>
        <v>1.0887275202844384</v>
      </c>
      <c r="AE46" s="407">
        <f t="shared" si="17"/>
        <v>7.1119656805482129E-3</v>
      </c>
      <c r="AF46" s="407">
        <f t="shared" si="18"/>
        <v>1.7981999999999998E-2</v>
      </c>
      <c r="AG46" s="407">
        <f t="shared" si="51"/>
        <v>2.5129710007575412E-2</v>
      </c>
      <c r="AH46" s="407">
        <f t="shared" si="52"/>
        <v>0</v>
      </c>
      <c r="AI46">
        <f t="shared" si="21"/>
        <v>0</v>
      </c>
      <c r="AJ46" s="408">
        <f t="shared" si="22"/>
        <v>0.45347412599999998</v>
      </c>
      <c r="AK46">
        <f t="shared" si="23"/>
        <v>4.8000000000000001E-2</v>
      </c>
      <c r="AL46" s="408">
        <f t="shared" si="24"/>
        <v>5.1750000000000004E-2</v>
      </c>
      <c r="AM46" s="408">
        <f t="shared" si="25"/>
        <v>0.13648893249607535</v>
      </c>
      <c r="AN46" s="408">
        <f t="shared" si="42"/>
        <v>9.9750000000000005E-2</v>
      </c>
      <c r="AO46" s="408">
        <f t="shared" si="53"/>
        <v>0.96255896609911851</v>
      </c>
      <c r="AP46">
        <f t="shared" si="27"/>
        <v>5.6609999999999987</v>
      </c>
      <c r="AQ46" s="10">
        <f t="shared" si="43"/>
        <v>0.85467647060655538</v>
      </c>
      <c r="AR46" s="63">
        <f t="shared" si="54"/>
        <v>8.6643839784404992</v>
      </c>
      <c r="AS46" s="63">
        <f t="shared" si="44"/>
        <v>1.2564855003787705</v>
      </c>
      <c r="AT46" s="10"/>
      <c r="AU46">
        <f t="shared" si="45"/>
        <v>85.467647060655537</v>
      </c>
      <c r="BD46">
        <v>9.9978999999999996</v>
      </c>
      <c r="BE46">
        <v>6.1950000000000003</v>
      </c>
      <c r="BF46">
        <v>5.109191</v>
      </c>
      <c r="BG46">
        <v>93.156651672159526</v>
      </c>
      <c r="BH46">
        <v>2325.1351758999972</v>
      </c>
    </row>
    <row r="47" spans="1:60" x14ac:dyDescent="0.25">
      <c r="A47" s="33" t="s">
        <v>161</v>
      </c>
      <c r="B47" s="5">
        <f>ThetaJaTop</f>
        <v>50</v>
      </c>
      <c r="C47" s="417" t="s">
        <v>381</v>
      </c>
      <c r="D47" s="31" t="s">
        <v>184</v>
      </c>
      <c r="G47">
        <v>38</v>
      </c>
      <c r="H47">
        <f t="shared" si="0"/>
        <v>1.1400000000000001</v>
      </c>
      <c r="I47" s="407">
        <f t="shared" si="1"/>
        <v>0.2130225</v>
      </c>
      <c r="J47" s="408">
        <f t="shared" si="2"/>
        <v>1.8135699324324321</v>
      </c>
      <c r="K47" s="408">
        <f t="shared" si="31"/>
        <v>2.0467849662162161</v>
      </c>
      <c r="L47" s="408">
        <f t="shared" si="32"/>
        <v>0.23321503378378405</v>
      </c>
      <c r="M47" s="63">
        <f t="shared" si="3"/>
        <v>0</v>
      </c>
      <c r="N47" s="407">
        <f t="shared" si="46"/>
        <v>1.2544665499666574</v>
      </c>
      <c r="O47" s="407">
        <f t="shared" si="5"/>
        <v>7.873387721961984E-3</v>
      </c>
      <c r="P47">
        <f t="shared" si="6"/>
        <v>0.2</v>
      </c>
      <c r="Q47" s="407">
        <f t="shared" si="34"/>
        <v>0.20787338772196198</v>
      </c>
      <c r="R47" s="9">
        <f t="shared" si="39"/>
        <v>0.52353254434203811</v>
      </c>
      <c r="S47" s="9">
        <f t="shared" si="7"/>
        <v>2.7408632498524812E-3</v>
      </c>
      <c r="T47" s="9">
        <f t="shared" si="40"/>
        <v>2.7408632498524812E-3</v>
      </c>
      <c r="U47" s="407">
        <f t="shared" si="47"/>
        <v>0.57899101475253489</v>
      </c>
      <c r="V47" s="409">
        <f t="shared" si="9"/>
        <v>6.7046119032834024E-4</v>
      </c>
      <c r="W47" s="407">
        <f t="shared" si="41"/>
        <v>6.7046119032834024E-4</v>
      </c>
      <c r="X47" s="407">
        <f t="shared" si="48"/>
        <v>0.57899101475253489</v>
      </c>
      <c r="Y47" s="407">
        <f t="shared" si="11"/>
        <v>2.0113835709850204E-3</v>
      </c>
      <c r="Z47" s="407">
        <f t="shared" si="12"/>
        <v>2.7962776904099353E-2</v>
      </c>
      <c r="AA47" s="407">
        <f t="shared" si="13"/>
        <v>0.14400000000000002</v>
      </c>
      <c r="AB47" s="407">
        <f t="shared" si="14"/>
        <v>0</v>
      </c>
      <c r="AC47" s="407">
        <f t="shared" si="49"/>
        <v>0.17404417439368461</v>
      </c>
      <c r="AD47" s="407">
        <f t="shared" si="50"/>
        <v>1.1128592587659403</v>
      </c>
      <c r="AE47" s="407">
        <f t="shared" si="17"/>
        <v>7.4307343789264688E-3</v>
      </c>
      <c r="AF47" s="407">
        <f t="shared" si="18"/>
        <v>1.8468000000000002E-2</v>
      </c>
      <c r="AG47" s="407">
        <f t="shared" si="51"/>
        <v>2.59372809880332E-2</v>
      </c>
      <c r="AH47" s="407">
        <f t="shared" si="52"/>
        <v>0</v>
      </c>
      <c r="AI47">
        <f t="shared" si="21"/>
        <v>0</v>
      </c>
      <c r="AJ47" s="408">
        <f t="shared" si="22"/>
        <v>0.45347072399999999</v>
      </c>
      <c r="AK47">
        <f t="shared" si="23"/>
        <v>4.8000000000000001E-2</v>
      </c>
      <c r="AL47" s="408">
        <f t="shared" si="24"/>
        <v>5.1750000000000004E-2</v>
      </c>
      <c r="AM47" s="408">
        <f t="shared" si="25"/>
        <v>0.13648893249607535</v>
      </c>
      <c r="AN47" s="408">
        <f t="shared" si="42"/>
        <v>9.9750000000000005E-2</v>
      </c>
      <c r="AO47" s="408">
        <f t="shared" si="53"/>
        <v>0.96448689154386058</v>
      </c>
      <c r="AP47">
        <f t="shared" si="27"/>
        <v>5.8140000000000001</v>
      </c>
      <c r="AQ47" s="10">
        <f t="shared" si="43"/>
        <v>0.85771354183083914</v>
      </c>
      <c r="AR47" s="63">
        <f t="shared" si="54"/>
        <v>8.702208719684231</v>
      </c>
      <c r="AS47" s="63">
        <f t="shared" si="44"/>
        <v>1.2968640494016601</v>
      </c>
      <c r="AT47" s="10"/>
      <c r="AU47">
        <f t="shared" si="45"/>
        <v>85.771354183083915</v>
      </c>
      <c r="BD47">
        <v>9.9976269999999996</v>
      </c>
      <c r="BE47">
        <v>6.9470000000000001</v>
      </c>
      <c r="BF47">
        <v>5.1086669999999996</v>
      </c>
      <c r="BG47">
        <v>92.656807634751772</v>
      </c>
      <c r="BH47">
        <v>2812.6290012010018</v>
      </c>
    </row>
    <row r="48" spans="1:60" x14ac:dyDescent="0.25">
      <c r="A48" s="34" t="s">
        <v>130</v>
      </c>
      <c r="B48" s="25" t="s">
        <v>201</v>
      </c>
      <c r="C48" s="34" t="s">
        <v>148</v>
      </c>
      <c r="D48" s="27" t="s">
        <v>188</v>
      </c>
      <c r="G48">
        <v>39</v>
      </c>
      <c r="H48">
        <f t="shared" si="0"/>
        <v>1.17</v>
      </c>
      <c r="I48" s="407">
        <f t="shared" si="1"/>
        <v>0.21303624999999995</v>
      </c>
      <c r="J48" s="408">
        <f t="shared" si="2"/>
        <v>1.8136869932432427</v>
      </c>
      <c r="K48" s="408">
        <f t="shared" si="31"/>
        <v>2.0768434966216214</v>
      </c>
      <c r="L48" s="408">
        <f t="shared" si="32"/>
        <v>0.26315650337837859</v>
      </c>
      <c r="M48" s="63">
        <f t="shared" si="3"/>
        <v>0</v>
      </c>
      <c r="N48" s="407">
        <f t="shared" si="46"/>
        <v>1.2818040837513518</v>
      </c>
      <c r="O48" s="407">
        <f t="shared" si="5"/>
        <v>8.2205111369114212E-3</v>
      </c>
      <c r="P48">
        <f t="shared" si="6"/>
        <v>0.2</v>
      </c>
      <c r="Q48" s="407">
        <f t="shared" si="34"/>
        <v>0.20822051113691142</v>
      </c>
      <c r="R48" s="9">
        <f t="shared" si="39"/>
        <v>0.52356633688735454</v>
      </c>
      <c r="S48" s="9">
        <f t="shared" si="7"/>
        <v>2.7412170912164287E-3</v>
      </c>
      <c r="T48" s="9">
        <f t="shared" si="40"/>
        <v>2.7412170912164287E-3</v>
      </c>
      <c r="U48" s="407">
        <f t="shared" si="47"/>
        <v>0.59162757168666957</v>
      </c>
      <c r="V48" s="409">
        <f t="shared" si="9"/>
        <v>7.0004636715973064E-4</v>
      </c>
      <c r="W48" s="407">
        <f t="shared" si="41"/>
        <v>7.0004636715973064E-4</v>
      </c>
      <c r="X48" s="407">
        <f t="shared" si="48"/>
        <v>0.59162757168666957</v>
      </c>
      <c r="Y48" s="407">
        <f t="shared" si="11"/>
        <v>2.1001391014791922E-3</v>
      </c>
      <c r="Z48" s="407">
        <f t="shared" si="12"/>
        <v>2.8629527894064862E-2</v>
      </c>
      <c r="AA48" s="407">
        <f t="shared" si="13"/>
        <v>0.14400000000000002</v>
      </c>
      <c r="AB48" s="407">
        <f t="shared" si="14"/>
        <v>0</v>
      </c>
      <c r="AC48" s="407">
        <f t="shared" si="49"/>
        <v>0.17480308915606327</v>
      </c>
      <c r="AD48" s="407">
        <f t="shared" si="50"/>
        <v>1.1371009302352086</v>
      </c>
      <c r="AE48" s="407">
        <f t="shared" si="17"/>
        <v>7.757991153250661E-3</v>
      </c>
      <c r="AF48" s="407">
        <f t="shared" si="18"/>
        <v>1.8953999999999999E-2</v>
      </c>
      <c r="AG48" s="407">
        <f t="shared" si="51"/>
        <v>2.6753501839368317E-2</v>
      </c>
      <c r="AH48" s="407">
        <f t="shared" si="52"/>
        <v>0</v>
      </c>
      <c r="AI48">
        <f t="shared" si="21"/>
        <v>0</v>
      </c>
      <c r="AJ48" s="408">
        <f t="shared" si="22"/>
        <v>0.45346732200000001</v>
      </c>
      <c r="AK48">
        <f t="shared" si="23"/>
        <v>4.8000000000000001E-2</v>
      </c>
      <c r="AL48" s="408">
        <f t="shared" si="24"/>
        <v>5.1750000000000004E-2</v>
      </c>
      <c r="AM48" s="408">
        <f t="shared" si="25"/>
        <v>0.13648893249607535</v>
      </c>
      <c r="AN48" s="408">
        <f t="shared" si="42"/>
        <v>9.9750000000000005E-2</v>
      </c>
      <c r="AO48" s="408">
        <f t="shared" si="53"/>
        <v>0.96643568759071918</v>
      </c>
      <c r="AP48">
        <f t="shared" si="27"/>
        <v>5.9669999999999996</v>
      </c>
      <c r="AQ48" s="10">
        <f t="shared" si="43"/>
        <v>0.860612295096294</v>
      </c>
      <c r="AR48" s="63">
        <f t="shared" si="54"/>
        <v>8.7401544578031629</v>
      </c>
      <c r="AS48" s="63">
        <f t="shared" si="44"/>
        <v>1.3376750919684159</v>
      </c>
      <c r="AT48" s="10"/>
      <c r="AU48">
        <f t="shared" si="45"/>
        <v>86.061229509629399</v>
      </c>
      <c r="BD48">
        <v>9.9975280000000009</v>
      </c>
      <c r="BE48">
        <v>7.7530000000000001</v>
      </c>
      <c r="BF48">
        <v>5.10853</v>
      </c>
      <c r="BG48">
        <v>92.034336419785248</v>
      </c>
      <c r="BH48">
        <v>3427.976173640001</v>
      </c>
    </row>
    <row r="49" spans="1:60" x14ac:dyDescent="0.25">
      <c r="A49" s="33" t="s">
        <v>139</v>
      </c>
      <c r="B49" s="5">
        <f>RdsonBot*1000</f>
        <v>6</v>
      </c>
      <c r="C49" s="417" t="s">
        <v>621</v>
      </c>
      <c r="D49" s="31" t="s">
        <v>192</v>
      </c>
      <c r="G49">
        <v>40</v>
      </c>
      <c r="H49">
        <f t="shared" si="0"/>
        <v>1.2000000000000002</v>
      </c>
      <c r="I49" s="407">
        <f t="shared" si="1"/>
        <v>0.21304999999999999</v>
      </c>
      <c r="J49" s="408">
        <f t="shared" si="2"/>
        <v>1.8138040540540536</v>
      </c>
      <c r="K49" s="408">
        <f t="shared" si="31"/>
        <v>2.1069020270270271</v>
      </c>
      <c r="L49" s="408">
        <f t="shared" si="32"/>
        <v>0.29309797297297335</v>
      </c>
      <c r="M49" s="63">
        <f t="shared" si="3"/>
        <v>0</v>
      </c>
      <c r="N49" s="407">
        <f t="shared" si="46"/>
        <v>1.3092582234005294</v>
      </c>
      <c r="O49" s="407">
        <f t="shared" si="5"/>
        <v>8.5766661789842737E-3</v>
      </c>
      <c r="P49">
        <f t="shared" si="6"/>
        <v>0.2</v>
      </c>
      <c r="Q49" s="407">
        <f t="shared" si="34"/>
        <v>0.20857666617898429</v>
      </c>
      <c r="R49" s="9">
        <f t="shared" si="39"/>
        <v>0.5236001294326712</v>
      </c>
      <c r="S49" s="9">
        <f t="shared" si="7"/>
        <v>2.7415709554191002E-3</v>
      </c>
      <c r="T49" s="9">
        <f t="shared" si="40"/>
        <v>2.7415709554191002E-3</v>
      </c>
      <c r="U49" s="407">
        <f t="shared" si="47"/>
        <v>0.60431876456486444</v>
      </c>
      <c r="V49" s="409">
        <f t="shared" si="9"/>
        <v>7.304023384104081E-4</v>
      </c>
      <c r="W49" s="407">
        <f t="shared" si="41"/>
        <v>7.304023384104081E-4</v>
      </c>
      <c r="X49" s="407">
        <f t="shared" si="48"/>
        <v>0.60431876456486444</v>
      </c>
      <c r="Y49" s="407">
        <f t="shared" si="11"/>
        <v>2.1912070152312244E-3</v>
      </c>
      <c r="Z49" s="407">
        <f t="shared" si="12"/>
        <v>2.9296278884030379E-2</v>
      </c>
      <c r="AA49" s="407">
        <f t="shared" si="13"/>
        <v>0.14400000000000002</v>
      </c>
      <c r="AB49" s="407">
        <f t="shared" si="14"/>
        <v>0</v>
      </c>
      <c r="AC49" s="407">
        <f t="shared" si="49"/>
        <v>0.1755644254994175</v>
      </c>
      <c r="AD49" s="407">
        <f t="shared" si="50"/>
        <v>1.1614456191904581</v>
      </c>
      <c r="AE49" s="407">
        <f t="shared" si="17"/>
        <v>8.0937355580202389E-3</v>
      </c>
      <c r="AF49" s="407">
        <f t="shared" si="18"/>
        <v>1.9440000000000002E-2</v>
      </c>
      <c r="AG49" s="407">
        <f t="shared" si="51"/>
        <v>2.757837797771439E-2</v>
      </c>
      <c r="AH49" s="407">
        <f t="shared" si="52"/>
        <v>0</v>
      </c>
      <c r="AI49">
        <f t="shared" si="21"/>
        <v>0</v>
      </c>
      <c r="AJ49" s="408">
        <f t="shared" si="22"/>
        <v>0.45346391999999996</v>
      </c>
      <c r="AK49">
        <f t="shared" si="23"/>
        <v>4.8000000000000001E-2</v>
      </c>
      <c r="AL49" s="408">
        <f t="shared" si="24"/>
        <v>5.1750000000000004E-2</v>
      </c>
      <c r="AM49" s="408">
        <f t="shared" si="25"/>
        <v>0.13648893249607535</v>
      </c>
      <c r="AN49" s="408">
        <f t="shared" si="42"/>
        <v>9.9750000000000005E-2</v>
      </c>
      <c r="AO49" s="408">
        <f t="shared" si="53"/>
        <v>0.96840536294994561</v>
      </c>
      <c r="AP49">
        <f t="shared" si="27"/>
        <v>6.12</v>
      </c>
      <c r="AQ49" s="10">
        <f t="shared" si="43"/>
        <v>0.86338177440984709</v>
      </c>
      <c r="AR49" s="63">
        <f t="shared" si="54"/>
        <v>8.7782212749708748</v>
      </c>
      <c r="AS49" s="63">
        <f t="shared" si="44"/>
        <v>1.3789188988857195</v>
      </c>
      <c r="AT49" s="10"/>
      <c r="AU49">
        <f t="shared" si="45"/>
        <v>86.338177440984708</v>
      </c>
      <c r="BD49">
        <v>9.9970090000000003</v>
      </c>
      <c r="BE49">
        <v>8.6120000000000001</v>
      </c>
      <c r="BF49">
        <v>5.1085419999999999</v>
      </c>
      <c r="BG49">
        <v>91.346378256658895</v>
      </c>
      <c r="BH49">
        <v>4167.8065612820019</v>
      </c>
    </row>
    <row r="50" spans="1:60" x14ac:dyDescent="0.25">
      <c r="A50" s="33" t="s">
        <v>153</v>
      </c>
      <c r="B50" s="5">
        <v>4500</v>
      </c>
      <c r="C50" s="417" t="s">
        <v>622</v>
      </c>
      <c r="D50" s="31" t="s">
        <v>185</v>
      </c>
      <c r="G50">
        <v>41</v>
      </c>
      <c r="H50">
        <f t="shared" si="0"/>
        <v>1.23</v>
      </c>
      <c r="I50" s="407">
        <f t="shared" si="1"/>
        <v>0.21306375</v>
      </c>
      <c r="J50" s="408">
        <f t="shared" si="2"/>
        <v>1.8139211148648646</v>
      </c>
      <c r="K50" s="408">
        <f t="shared" si="31"/>
        <v>2.1369605574324324</v>
      </c>
      <c r="L50" s="408">
        <f t="shared" si="32"/>
        <v>0.32303944256756767</v>
      </c>
      <c r="M50" s="63">
        <f t="shared" si="3"/>
        <v>0</v>
      </c>
      <c r="N50" s="407">
        <f t="shared" si="46"/>
        <v>1.3368217847738904</v>
      </c>
      <c r="O50" s="407">
        <f t="shared" si="5"/>
        <v>8.9418543895401562E-3</v>
      </c>
      <c r="P50">
        <f t="shared" si="6"/>
        <v>0.2</v>
      </c>
      <c r="Q50" s="407">
        <f t="shared" si="34"/>
        <v>0.20894185438954016</v>
      </c>
      <c r="R50" s="9">
        <f t="shared" si="39"/>
        <v>0.52363392197798786</v>
      </c>
      <c r="S50" s="9">
        <f t="shared" si="7"/>
        <v>2.7419248424604948E-3</v>
      </c>
      <c r="T50" s="9">
        <f t="shared" si="40"/>
        <v>2.7419248424604948E-3</v>
      </c>
      <c r="U50" s="407">
        <f t="shared" si="47"/>
        <v>0.61706128244306435</v>
      </c>
      <c r="V50" s="409">
        <f t="shared" si="9"/>
        <v>7.6152925258055851E-4</v>
      </c>
      <c r="W50" s="407">
        <f t="shared" si="41"/>
        <v>7.6152925258055851E-4</v>
      </c>
      <c r="X50" s="407">
        <f t="shared" si="48"/>
        <v>0.61706128244306435</v>
      </c>
      <c r="Y50" s="407">
        <f t="shared" si="11"/>
        <v>2.2845877577416756E-3</v>
      </c>
      <c r="Z50" s="407">
        <f t="shared" si="12"/>
        <v>2.9963029873995888E-2</v>
      </c>
      <c r="AA50" s="407">
        <f t="shared" si="13"/>
        <v>0.14400000000000002</v>
      </c>
      <c r="AB50" s="407">
        <f t="shared" si="14"/>
        <v>0</v>
      </c>
      <c r="AC50" s="407">
        <f t="shared" si="49"/>
        <v>0.17632818507433071</v>
      </c>
      <c r="AD50" s="407">
        <f t="shared" si="50"/>
        <v>1.1858869499053315</v>
      </c>
      <c r="AE50" s="407">
        <f t="shared" si="17"/>
        <v>8.4379671477346225E-3</v>
      </c>
      <c r="AF50" s="407">
        <f t="shared" si="18"/>
        <v>1.9925999999999999E-2</v>
      </c>
      <c r="AG50" s="407">
        <f t="shared" si="51"/>
        <v>2.8411914908655314E-2</v>
      </c>
      <c r="AH50" s="407">
        <f t="shared" si="52"/>
        <v>0</v>
      </c>
      <c r="AI50">
        <f t="shared" si="21"/>
        <v>0</v>
      </c>
      <c r="AJ50" s="408">
        <f t="shared" si="22"/>
        <v>0.45346051799999998</v>
      </c>
      <c r="AK50">
        <f t="shared" si="23"/>
        <v>4.8000000000000001E-2</v>
      </c>
      <c r="AL50" s="408">
        <f t="shared" si="24"/>
        <v>5.1750000000000004E-2</v>
      </c>
      <c r="AM50" s="408">
        <f t="shared" si="25"/>
        <v>0.13648893249607535</v>
      </c>
      <c r="AN50" s="408">
        <f t="shared" si="42"/>
        <v>9.9750000000000005E-2</v>
      </c>
      <c r="AO50" s="408">
        <f t="shared" si="53"/>
        <v>0.97039592646756723</v>
      </c>
      <c r="AP50">
        <f t="shared" si="27"/>
        <v>6.2729999999999997</v>
      </c>
      <c r="AQ50" s="10">
        <f t="shared" si="43"/>
        <v>0.86603025206426809</v>
      </c>
      <c r="AR50" s="63">
        <f t="shared" si="54"/>
        <v>8.8164092537165359</v>
      </c>
      <c r="AS50" s="63">
        <f t="shared" si="44"/>
        <v>1.4205957454327658</v>
      </c>
      <c r="AT50" s="10"/>
      <c r="AU50">
        <f t="shared" si="45"/>
        <v>86.603025206426807</v>
      </c>
      <c r="BD50">
        <v>9.9969590000000004</v>
      </c>
      <c r="BE50">
        <v>9.5229999999999997</v>
      </c>
      <c r="BF50">
        <v>5.1087540000000002</v>
      </c>
      <c r="BG50">
        <v>90.547826191651922</v>
      </c>
      <c r="BH50">
        <v>5078.5816240809982</v>
      </c>
    </row>
    <row r="51" spans="1:60" x14ac:dyDescent="0.25">
      <c r="A51" s="33" t="s">
        <v>138</v>
      </c>
      <c r="B51" s="5">
        <f>QgBot*1000000000</f>
        <v>11.5</v>
      </c>
      <c r="C51" s="417" t="s">
        <v>136</v>
      </c>
      <c r="D51" s="31" t="s">
        <v>180</v>
      </c>
      <c r="G51">
        <v>42</v>
      </c>
      <c r="H51">
        <f t="shared" si="0"/>
        <v>1.26</v>
      </c>
      <c r="I51" s="407">
        <f t="shared" si="1"/>
        <v>0.2130775</v>
      </c>
      <c r="J51" s="408">
        <f t="shared" si="2"/>
        <v>1.8140381756756754</v>
      </c>
      <c r="K51" s="408">
        <f t="shared" si="31"/>
        <v>2.1670190878378377</v>
      </c>
      <c r="L51" s="408">
        <f t="shared" si="32"/>
        <v>0.35298091216216232</v>
      </c>
      <c r="M51" s="63">
        <f t="shared" si="3"/>
        <v>0</v>
      </c>
      <c r="N51" s="407">
        <f t="shared" si="46"/>
        <v>1.3644881367142996</v>
      </c>
      <c r="O51" s="407">
        <f t="shared" si="5"/>
        <v>9.3160773491689133E-3</v>
      </c>
      <c r="P51">
        <f t="shared" si="6"/>
        <v>0.2</v>
      </c>
      <c r="Q51" s="407">
        <f t="shared" si="34"/>
        <v>0.20931607734916893</v>
      </c>
      <c r="R51" s="9">
        <f t="shared" si="39"/>
        <v>0.52366771452330441</v>
      </c>
      <c r="S51" s="9">
        <f t="shared" si="7"/>
        <v>2.7422787523406107E-3</v>
      </c>
      <c r="T51" s="9">
        <f t="shared" si="40"/>
        <v>2.7422787523406107E-3</v>
      </c>
      <c r="U51" s="407">
        <f t="shared" si="47"/>
        <v>0.62985206920767167</v>
      </c>
      <c r="V51" s="409">
        <f t="shared" si="9"/>
        <v>7.9342725817037134E-4</v>
      </c>
      <c r="W51" s="407">
        <f t="shared" si="41"/>
        <v>7.9342725817037134E-4</v>
      </c>
      <c r="X51" s="407">
        <f t="shared" si="48"/>
        <v>0.62985206920767167</v>
      </c>
      <c r="Y51" s="407">
        <f t="shared" si="11"/>
        <v>2.3802817745111138E-3</v>
      </c>
      <c r="Z51" s="407">
        <f t="shared" si="12"/>
        <v>3.0629780863961401E-2</v>
      </c>
      <c r="AA51" s="407">
        <f t="shared" si="13"/>
        <v>0.14400000000000002</v>
      </c>
      <c r="AB51" s="407">
        <f t="shared" si="14"/>
        <v>0</v>
      </c>
      <c r="AC51" s="407">
        <f t="shared" si="49"/>
        <v>0.17709436953850874</v>
      </c>
      <c r="AD51" s="407">
        <f t="shared" si="50"/>
        <v>1.2104190374200479</v>
      </c>
      <c r="AE51" s="407">
        <f t="shared" si="17"/>
        <v>8.7906854768932518E-3</v>
      </c>
      <c r="AF51" s="407">
        <f t="shared" si="18"/>
        <v>2.0412E-2</v>
      </c>
      <c r="AG51" s="407">
        <f t="shared" si="51"/>
        <v>2.9254118227341336E-2</v>
      </c>
      <c r="AH51" s="407">
        <f t="shared" si="52"/>
        <v>0</v>
      </c>
      <c r="AI51">
        <f t="shared" si="21"/>
        <v>0</v>
      </c>
      <c r="AJ51" s="408">
        <f t="shared" si="22"/>
        <v>0.45345711599999999</v>
      </c>
      <c r="AK51">
        <f t="shared" si="23"/>
        <v>4.8000000000000001E-2</v>
      </c>
      <c r="AL51" s="408">
        <f t="shared" si="24"/>
        <v>5.1750000000000004E-2</v>
      </c>
      <c r="AM51" s="408">
        <f t="shared" si="25"/>
        <v>0.13648893249607535</v>
      </c>
      <c r="AN51" s="408">
        <f t="shared" si="42"/>
        <v>9.9750000000000005E-2</v>
      </c>
      <c r="AO51" s="408">
        <f t="shared" si="53"/>
        <v>0.9724073871255301</v>
      </c>
      <c r="AP51">
        <f t="shared" si="27"/>
        <v>6.4259999999999993</v>
      </c>
      <c r="AQ51" s="10">
        <f t="shared" si="43"/>
        <v>0.8685653092288913</v>
      </c>
      <c r="AR51" s="63">
        <f t="shared" si="54"/>
        <v>8.8547184769254361</v>
      </c>
      <c r="AS51" s="63">
        <f t="shared" si="44"/>
        <v>1.4627059113670668</v>
      </c>
      <c r="AT51" s="10"/>
      <c r="AU51">
        <f t="shared" si="45"/>
        <v>86.856530922889135</v>
      </c>
      <c r="BD51">
        <v>9.9964639999999996</v>
      </c>
      <c r="BE51">
        <v>10.493</v>
      </c>
      <c r="BF51">
        <v>5.1092279999999999</v>
      </c>
      <c r="BG51">
        <v>89.626660259106615</v>
      </c>
      <c r="BH51">
        <v>6204.9221585439973</v>
      </c>
    </row>
    <row r="52" spans="1:60" x14ac:dyDescent="0.25">
      <c r="A52" s="33" t="s">
        <v>169</v>
      </c>
      <c r="B52" s="5">
        <f>RGateBot</f>
        <v>1</v>
      </c>
      <c r="C52" s="416" t="s">
        <v>208</v>
      </c>
      <c r="D52" s="31" t="s">
        <v>181</v>
      </c>
      <c r="G52">
        <v>43</v>
      </c>
      <c r="H52">
        <f t="shared" si="0"/>
        <v>1.29</v>
      </c>
      <c r="I52" s="407">
        <f t="shared" si="1"/>
        <v>0.21309124999999998</v>
      </c>
      <c r="J52" s="408">
        <f t="shared" si="2"/>
        <v>1.8141552364864859</v>
      </c>
      <c r="K52" s="408">
        <f t="shared" si="31"/>
        <v>2.197077618243243</v>
      </c>
      <c r="L52" s="408">
        <f t="shared" si="32"/>
        <v>0.38292238175675708</v>
      </c>
      <c r="M52" s="63">
        <f t="shared" si="3"/>
        <v>0</v>
      </c>
      <c r="N52" s="407">
        <f t="shared" si="46"/>
        <v>1.3922511513753346</v>
      </c>
      <c r="O52" s="407">
        <f t="shared" si="5"/>
        <v>9.6993366777077001E-3</v>
      </c>
      <c r="P52">
        <f t="shared" si="6"/>
        <v>0.2</v>
      </c>
      <c r="Q52" s="407">
        <f t="shared" si="34"/>
        <v>0.20969933667770771</v>
      </c>
      <c r="R52" s="9">
        <f t="shared" si="39"/>
        <v>0.52370150706862095</v>
      </c>
      <c r="S52" s="9">
        <f t="shared" si="7"/>
        <v>2.7426326850594485E-3</v>
      </c>
      <c r="T52" s="9">
        <f t="shared" si="40"/>
        <v>2.7426326850594485E-3</v>
      </c>
      <c r="U52" s="407">
        <f t="shared" si="47"/>
        <v>0.64268830068705729</v>
      </c>
      <c r="V52" s="409">
        <f t="shared" si="9"/>
        <v>8.2609650368003476E-4</v>
      </c>
      <c r="W52" s="407">
        <f t="shared" si="41"/>
        <v>8.2609650368003476E-4</v>
      </c>
      <c r="X52" s="407">
        <f t="shared" si="48"/>
        <v>0.64268830068705729</v>
      </c>
      <c r="Y52" s="407">
        <f t="shared" si="11"/>
        <v>2.4782895110401042E-3</v>
      </c>
      <c r="Z52" s="407">
        <f t="shared" si="12"/>
        <v>3.1296531853926918E-2</v>
      </c>
      <c r="AA52" s="407">
        <f t="shared" si="13"/>
        <v>0.14400000000000002</v>
      </c>
      <c r="AB52" s="407">
        <f t="shared" si="14"/>
        <v>0</v>
      </c>
      <c r="AC52" s="407">
        <f t="shared" si="49"/>
        <v>0.17786298055679028</v>
      </c>
      <c r="AD52" s="407">
        <f t="shared" si="50"/>
        <v>1.2350364434566001</v>
      </c>
      <c r="AE52" s="407">
        <f t="shared" si="17"/>
        <v>9.1518900999955684E-3</v>
      </c>
      <c r="AF52" s="407">
        <f t="shared" si="18"/>
        <v>2.0898E-2</v>
      </c>
      <c r="AG52" s="407">
        <f t="shared" si="51"/>
        <v>3.010499361860728E-2</v>
      </c>
      <c r="AH52" s="407">
        <f t="shared" si="52"/>
        <v>0</v>
      </c>
      <c r="AI52">
        <f t="shared" si="21"/>
        <v>0</v>
      </c>
      <c r="AJ52" s="408">
        <f t="shared" si="22"/>
        <v>0.45345371400000001</v>
      </c>
      <c r="AK52">
        <f t="shared" si="23"/>
        <v>4.8000000000000001E-2</v>
      </c>
      <c r="AL52" s="408">
        <f t="shared" si="24"/>
        <v>5.1750000000000004E-2</v>
      </c>
      <c r="AM52" s="408">
        <f t="shared" si="25"/>
        <v>0.13648893249607535</v>
      </c>
      <c r="AN52" s="408">
        <f t="shared" si="42"/>
        <v>9.9750000000000005E-2</v>
      </c>
      <c r="AO52" s="408">
        <f t="shared" si="53"/>
        <v>0.9744397540418448</v>
      </c>
      <c r="AP52">
        <f t="shared" si="27"/>
        <v>6.5789999999999997</v>
      </c>
      <c r="AQ52" s="10">
        <f t="shared" si="43"/>
        <v>0.87099390664757437</v>
      </c>
      <c r="AR52" s="63">
        <f t="shared" si="54"/>
        <v>8.8931490278395149</v>
      </c>
      <c r="AS52" s="63">
        <f t="shared" si="44"/>
        <v>1.5052496809303639</v>
      </c>
      <c r="AT52" s="10"/>
      <c r="AU52">
        <f t="shared" si="45"/>
        <v>87.099390664757436</v>
      </c>
      <c r="BD52">
        <v>9.9959819999999997</v>
      </c>
      <c r="BE52">
        <v>11.519</v>
      </c>
      <c r="BF52">
        <v>5.1101260000000002</v>
      </c>
      <c r="BG52">
        <v>88.591390420220321</v>
      </c>
      <c r="BH52">
        <v>7580.3207309739973</v>
      </c>
    </row>
    <row r="53" spans="1:60" x14ac:dyDescent="0.25">
      <c r="A53" s="33" t="s">
        <v>144</v>
      </c>
      <c r="B53" s="5">
        <f>VsdBot</f>
        <v>0.9</v>
      </c>
      <c r="C53" s="417" t="s">
        <v>0</v>
      </c>
      <c r="D53" s="31" t="s">
        <v>186</v>
      </c>
      <c r="G53">
        <v>44</v>
      </c>
      <c r="H53">
        <f t="shared" si="0"/>
        <v>1.32</v>
      </c>
      <c r="I53" s="407">
        <f t="shared" si="1"/>
        <v>0.21310499999999999</v>
      </c>
      <c r="J53" s="408">
        <f t="shared" si="2"/>
        <v>1.8142722972972969</v>
      </c>
      <c r="K53" s="408">
        <f t="shared" si="31"/>
        <v>2.2271361486486487</v>
      </c>
      <c r="L53" s="408">
        <f t="shared" si="32"/>
        <v>0.41286385135135162</v>
      </c>
      <c r="M53" s="63">
        <f t="shared" si="3"/>
        <v>0</v>
      </c>
      <c r="N53" s="407">
        <f t="shared" si="46"/>
        <v>1.4201051595081615</v>
      </c>
      <c r="O53" s="407">
        <f t="shared" si="5"/>
        <v>1.0091634034258541E-2</v>
      </c>
      <c r="P53">
        <f t="shared" si="6"/>
        <v>0.2</v>
      </c>
      <c r="Q53" s="407">
        <f t="shared" si="34"/>
        <v>0.21009163403425854</v>
      </c>
      <c r="R53" s="9">
        <f t="shared" si="39"/>
        <v>0.52373529961393761</v>
      </c>
      <c r="S53" s="9">
        <f t="shared" si="7"/>
        <v>2.7429866406170102E-3</v>
      </c>
      <c r="T53" s="9">
        <f t="shared" si="40"/>
        <v>2.7429866406170102E-3</v>
      </c>
      <c r="U53" s="407">
        <f t="shared" si="47"/>
        <v>0.65556736404801963</v>
      </c>
      <c r="V53" s="409">
        <f t="shared" si="9"/>
        <v>8.5953713760973736E-4</v>
      </c>
      <c r="W53" s="407">
        <f t="shared" si="41"/>
        <v>8.5953713760973736E-4</v>
      </c>
      <c r="X53" s="407">
        <f t="shared" si="48"/>
        <v>0.65556736404801963</v>
      </c>
      <c r="Y53" s="407">
        <f t="shared" si="11"/>
        <v>2.5786114128292124E-3</v>
      </c>
      <c r="Z53" s="407">
        <f t="shared" si="12"/>
        <v>3.1963282843892438E-2</v>
      </c>
      <c r="AA53" s="407">
        <f t="shared" si="13"/>
        <v>0.14400000000000002</v>
      </c>
      <c r="AB53" s="407">
        <f t="shared" si="14"/>
        <v>0</v>
      </c>
      <c r="AC53" s="407">
        <f t="shared" si="49"/>
        <v>0.17863401980115742</v>
      </c>
      <c r="AD53" s="407">
        <f t="shared" si="50"/>
        <v>1.2597341367355384</v>
      </c>
      <c r="AE53" s="407">
        <f t="shared" si="17"/>
        <v>9.5215805715409933E-3</v>
      </c>
      <c r="AF53" s="407">
        <f t="shared" si="18"/>
        <v>2.1384000000000004E-2</v>
      </c>
      <c r="AG53" s="407">
        <f t="shared" si="51"/>
        <v>3.0964546857093211E-2</v>
      </c>
      <c r="AH53" s="407">
        <f t="shared" si="52"/>
        <v>0</v>
      </c>
      <c r="AI53">
        <f t="shared" si="21"/>
        <v>0</v>
      </c>
      <c r="AJ53" s="408">
        <f t="shared" si="22"/>
        <v>0.45345031200000002</v>
      </c>
      <c r="AK53">
        <f t="shared" si="23"/>
        <v>4.8000000000000001E-2</v>
      </c>
      <c r="AL53" s="408">
        <f t="shared" si="24"/>
        <v>5.1750000000000004E-2</v>
      </c>
      <c r="AM53" s="408">
        <f t="shared" si="25"/>
        <v>0.13648893249607535</v>
      </c>
      <c r="AN53" s="408">
        <f t="shared" si="42"/>
        <v>9.9750000000000005E-2</v>
      </c>
      <c r="AO53" s="408">
        <f t="shared" si="53"/>
        <v>0.97649303647073582</v>
      </c>
      <c r="AP53">
        <f t="shared" si="27"/>
        <v>6.7320000000000002</v>
      </c>
      <c r="AQ53" s="10">
        <f t="shared" si="43"/>
        <v>0.87332244683225213</v>
      </c>
      <c r="AR53" s="63">
        <f t="shared" si="54"/>
        <v>8.9317009900578714</v>
      </c>
      <c r="AS53" s="63">
        <f t="shared" si="44"/>
        <v>1.5482273428546605</v>
      </c>
      <c r="AT53" s="10"/>
      <c r="AU53">
        <f t="shared" si="45"/>
        <v>87.332244683225213</v>
      </c>
      <c r="BD53">
        <v>9.9955739999999995</v>
      </c>
      <c r="BE53">
        <v>12.605</v>
      </c>
      <c r="BF53">
        <v>5.1111979999999999</v>
      </c>
      <c r="BG53">
        <v>87.386508098290477</v>
      </c>
      <c r="BH53">
        <v>9299.4335961019988</v>
      </c>
    </row>
    <row r="54" spans="1:60" x14ac:dyDescent="0.25">
      <c r="A54" s="33" t="s">
        <v>145</v>
      </c>
      <c r="B54" s="5">
        <f>QrrBot*1000000000</f>
        <v>62.999999999999993</v>
      </c>
      <c r="C54" s="417" t="s">
        <v>136</v>
      </c>
      <c r="D54" s="31" t="s">
        <v>196</v>
      </c>
      <c r="G54">
        <v>45</v>
      </c>
      <c r="H54">
        <f t="shared" si="0"/>
        <v>1.35</v>
      </c>
      <c r="I54" s="407">
        <f t="shared" si="1"/>
        <v>0.21311875</v>
      </c>
      <c r="J54" s="408">
        <f t="shared" si="2"/>
        <v>1.8143893581081079</v>
      </c>
      <c r="K54" s="408">
        <f t="shared" si="31"/>
        <v>2.257194679054054</v>
      </c>
      <c r="L54" s="408">
        <f t="shared" si="32"/>
        <v>0.44280532094594616</v>
      </c>
      <c r="M54" s="63">
        <f t="shared" si="3"/>
        <v>0</v>
      </c>
      <c r="N54" s="407">
        <f t="shared" si="46"/>
        <v>1.4480449101810793</v>
      </c>
      <c r="O54" s="407">
        <f t="shared" si="5"/>
        <v>1.0492971117206292E-2</v>
      </c>
      <c r="P54">
        <f t="shared" si="6"/>
        <v>0.2</v>
      </c>
      <c r="Q54" s="407">
        <f t="shared" si="34"/>
        <v>0.2104929711172063</v>
      </c>
      <c r="R54" s="9">
        <f t="shared" si="39"/>
        <v>0.52376909215925427</v>
      </c>
      <c r="S54" s="9">
        <f t="shared" si="7"/>
        <v>2.7433406190132941E-3</v>
      </c>
      <c r="T54" s="9">
        <f t="shared" si="40"/>
        <v>2.7433406190132941E-3</v>
      </c>
      <c r="U54" s="407">
        <f t="shared" si="47"/>
        <v>0.66848683923457608</v>
      </c>
      <c r="V54" s="409">
        <f t="shared" si="9"/>
        <v>8.9374930845966796E-4</v>
      </c>
      <c r="W54" s="407">
        <f t="shared" si="41"/>
        <v>8.9374930845966796E-4</v>
      </c>
      <c r="X54" s="407">
        <f t="shared" si="48"/>
        <v>0.66848683923457608</v>
      </c>
      <c r="Y54" s="407">
        <f t="shared" si="11"/>
        <v>2.6812479253790038E-3</v>
      </c>
      <c r="Z54" s="407">
        <f t="shared" si="12"/>
        <v>3.2630033833857951E-2</v>
      </c>
      <c r="AA54" s="407">
        <f t="shared" si="13"/>
        <v>0.14400000000000002</v>
      </c>
      <c r="AB54" s="407">
        <f t="shared" si="14"/>
        <v>0</v>
      </c>
      <c r="AC54" s="407">
        <f t="shared" si="49"/>
        <v>0.17940748895074629</v>
      </c>
      <c r="AD54" s="407">
        <f t="shared" si="50"/>
        <v>1.284507457226892</v>
      </c>
      <c r="AE54" s="407">
        <f t="shared" si="17"/>
        <v>9.8997564460289733E-3</v>
      </c>
      <c r="AF54" s="407">
        <f t="shared" si="18"/>
        <v>2.1870000000000001E-2</v>
      </c>
      <c r="AG54" s="407">
        <f t="shared" si="51"/>
        <v>3.1832783807367378E-2</v>
      </c>
      <c r="AH54" s="407">
        <f t="shared" si="52"/>
        <v>0</v>
      </c>
      <c r="AI54">
        <f t="shared" si="21"/>
        <v>0</v>
      </c>
      <c r="AJ54" s="408">
        <f t="shared" si="22"/>
        <v>0.45344691000000004</v>
      </c>
      <c r="AK54">
        <f t="shared" si="23"/>
        <v>4.8000000000000001E-2</v>
      </c>
      <c r="AL54" s="408">
        <f t="shared" si="24"/>
        <v>5.1750000000000004E-2</v>
      </c>
      <c r="AM54" s="408">
        <f t="shared" si="25"/>
        <v>0.13648893249607535</v>
      </c>
      <c r="AN54" s="408">
        <f t="shared" si="42"/>
        <v>9.9750000000000005E-2</v>
      </c>
      <c r="AO54" s="408">
        <f t="shared" si="53"/>
        <v>0.97856724380279303</v>
      </c>
      <c r="AP54">
        <f t="shared" si="27"/>
        <v>6.8849999999999998</v>
      </c>
      <c r="AQ54" s="10">
        <f t="shared" si="43"/>
        <v>0.87555682892214182</v>
      </c>
      <c r="AR54" s="63">
        <f t="shared" si="54"/>
        <v>8.9703744475373153</v>
      </c>
      <c r="AS54" s="63">
        <f t="shared" si="44"/>
        <v>1.5916391903683689</v>
      </c>
      <c r="AT54" s="10"/>
      <c r="AU54">
        <f t="shared" si="45"/>
        <v>87.555682892214179</v>
      </c>
      <c r="BD54">
        <v>9.9949670000000008</v>
      </c>
      <c r="BE54">
        <v>13.75</v>
      </c>
      <c r="BF54">
        <v>5.1122329999999998</v>
      </c>
      <c r="BG54">
        <v>85.985113444924963</v>
      </c>
      <c r="BH54">
        <v>11457.230537720005</v>
      </c>
    </row>
    <row r="55" spans="1:60" x14ac:dyDescent="0.25">
      <c r="A55" s="33" t="s">
        <v>146</v>
      </c>
      <c r="B55" s="5">
        <f>TrrBot*1000000000</f>
        <v>40</v>
      </c>
      <c r="C55" s="417" t="s">
        <v>147</v>
      </c>
      <c r="D55" s="31" t="s">
        <v>187</v>
      </c>
      <c r="G55">
        <v>46</v>
      </c>
      <c r="H55">
        <f t="shared" si="0"/>
        <v>1.3800000000000001</v>
      </c>
      <c r="I55" s="407">
        <f t="shared" si="1"/>
        <v>0.21313249999999997</v>
      </c>
      <c r="J55" s="408">
        <f t="shared" si="2"/>
        <v>1.8145064189189184</v>
      </c>
      <c r="K55" s="408">
        <f t="shared" si="31"/>
        <v>2.2872532094594593</v>
      </c>
      <c r="L55" s="408">
        <f t="shared" si="32"/>
        <v>0.47274679054054092</v>
      </c>
      <c r="M55" s="63">
        <f t="shared" si="3"/>
        <v>0</v>
      </c>
      <c r="N55" s="407">
        <f t="shared" si="46"/>
        <v>1.476065534461404</v>
      </c>
      <c r="O55" s="407">
        <f t="shared" si="5"/>
        <v>1.090334966423704E-2</v>
      </c>
      <c r="P55">
        <f t="shared" si="6"/>
        <v>0.2</v>
      </c>
      <c r="Q55" s="407">
        <f t="shared" si="34"/>
        <v>0.21090334966423704</v>
      </c>
      <c r="R55" s="9">
        <f t="shared" si="39"/>
        <v>0.5238028847045707</v>
      </c>
      <c r="S55" s="9">
        <f t="shared" si="7"/>
        <v>2.7436946202482981E-3</v>
      </c>
      <c r="T55" s="9">
        <f t="shared" si="40"/>
        <v>2.7436946202482981E-3</v>
      </c>
      <c r="U55" s="407">
        <f t="shared" si="47"/>
        <v>0.68144448223241716</v>
      </c>
      <c r="V55" s="409">
        <f t="shared" si="9"/>
        <v>9.2873316473001419E-4</v>
      </c>
      <c r="W55" s="407">
        <f t="shared" si="41"/>
        <v>9.2873316473001419E-4</v>
      </c>
      <c r="X55" s="407">
        <f t="shared" si="48"/>
        <v>0.68144448223241716</v>
      </c>
      <c r="Y55" s="407">
        <f t="shared" si="11"/>
        <v>2.7861994941900427E-3</v>
      </c>
      <c r="Z55" s="407">
        <f t="shared" si="12"/>
        <v>3.3296784823823464E-2</v>
      </c>
      <c r="AA55" s="407">
        <f t="shared" si="13"/>
        <v>0.14400000000000002</v>
      </c>
      <c r="AB55" s="407">
        <f t="shared" si="14"/>
        <v>0</v>
      </c>
      <c r="AC55" s="407">
        <f t="shared" si="49"/>
        <v>0.18018338969185771</v>
      </c>
      <c r="AD55" s="407">
        <f t="shared" si="50"/>
        <v>1.3093520839177761</v>
      </c>
      <c r="AE55" s="407">
        <f t="shared" si="17"/>
        <v>1.0286417277958938E-2</v>
      </c>
      <c r="AF55" s="407">
        <f t="shared" si="18"/>
        <v>2.2356000000000001E-2</v>
      </c>
      <c r="AG55" s="407">
        <f t="shared" si="51"/>
        <v>3.270971042405154E-2</v>
      </c>
      <c r="AH55" s="407">
        <f t="shared" si="52"/>
        <v>0</v>
      </c>
      <c r="AI55">
        <f t="shared" si="21"/>
        <v>0</v>
      </c>
      <c r="AJ55" s="408">
        <f t="shared" si="22"/>
        <v>0.453443508</v>
      </c>
      <c r="AK55">
        <f t="shared" si="23"/>
        <v>4.8000000000000001E-2</v>
      </c>
      <c r="AL55" s="408">
        <f t="shared" si="24"/>
        <v>5.1750000000000004E-2</v>
      </c>
      <c r="AM55" s="408">
        <f t="shared" si="25"/>
        <v>0.13648893249607535</v>
      </c>
      <c r="AN55" s="408">
        <f t="shared" si="42"/>
        <v>9.9750000000000005E-2</v>
      </c>
      <c r="AO55" s="408">
        <f t="shared" si="53"/>
        <v>0.98066238556512464</v>
      </c>
      <c r="AP55">
        <f t="shared" si="27"/>
        <v>7.0380000000000003</v>
      </c>
      <c r="AQ55" s="10">
        <f t="shared" si="43"/>
        <v>0.87770249719822668</v>
      </c>
      <c r="AR55" s="63">
        <f t="shared" si="54"/>
        <v>9.0091694845928849</v>
      </c>
      <c r="AS55" s="63">
        <f t="shared" si="44"/>
        <v>1.635485521202577</v>
      </c>
      <c r="AT55" s="10"/>
      <c r="AU55">
        <f t="shared" si="45"/>
        <v>87.770249719822672</v>
      </c>
      <c r="BD55">
        <v>9.9943860000000004</v>
      </c>
      <c r="BE55">
        <v>14.954000000000001</v>
      </c>
      <c r="BF55">
        <v>5.1130310000000003</v>
      </c>
      <c r="BG55">
        <v>84.352650264578628</v>
      </c>
      <c r="BH55">
        <v>14183.318533699994</v>
      </c>
    </row>
    <row r="56" spans="1:60" x14ac:dyDescent="0.25">
      <c r="A56" s="33" t="s">
        <v>160</v>
      </c>
      <c r="B56" s="5">
        <f>ThetaJaBot</f>
        <v>50</v>
      </c>
      <c r="C56" s="417" t="s">
        <v>381</v>
      </c>
      <c r="D56" s="31" t="s">
        <v>184</v>
      </c>
      <c r="E56" s="2"/>
      <c r="G56">
        <v>47</v>
      </c>
      <c r="H56">
        <f t="shared" si="0"/>
        <v>1.41</v>
      </c>
      <c r="I56" s="407">
        <f t="shared" si="1"/>
        <v>0.21314624999999998</v>
      </c>
      <c r="J56" s="408">
        <f t="shared" si="2"/>
        <v>1.8146234797297291</v>
      </c>
      <c r="K56" s="408">
        <f t="shared" si="31"/>
        <v>2.3173117398648646</v>
      </c>
      <c r="L56" s="408">
        <f t="shared" si="32"/>
        <v>0.50268826013513535</v>
      </c>
      <c r="M56" s="63">
        <f t="shared" si="3"/>
        <v>0</v>
      </c>
      <c r="N56" s="407">
        <f t="shared" si="46"/>
        <v>1.5041625126402407</v>
      </c>
      <c r="O56" s="407">
        <f t="shared" si="5"/>
        <v>1.1322771452356935E-2</v>
      </c>
      <c r="P56">
        <f t="shared" si="6"/>
        <v>0.2</v>
      </c>
      <c r="Q56" s="407">
        <f t="shared" si="34"/>
        <v>0.21132277145235695</v>
      </c>
      <c r="R56" s="9">
        <f t="shared" si="39"/>
        <v>0.52383667724988725</v>
      </c>
      <c r="S56" s="9">
        <f t="shared" si="7"/>
        <v>2.7440486443220252E-3</v>
      </c>
      <c r="T56" s="9">
        <f t="shared" si="40"/>
        <v>2.7440486443220252E-3</v>
      </c>
      <c r="U56" s="407">
        <f t="shared" si="47"/>
        <v>0.69443820996578387</v>
      </c>
      <c r="V56" s="409">
        <f t="shared" si="9"/>
        <v>9.6448885492096432E-4</v>
      </c>
      <c r="W56" s="407">
        <f t="shared" si="41"/>
        <v>9.6448885492096432E-4</v>
      </c>
      <c r="X56" s="407">
        <f t="shared" si="48"/>
        <v>0.69443820996578387</v>
      </c>
      <c r="Y56" s="407">
        <f t="shared" si="11"/>
        <v>2.8934665647628926E-3</v>
      </c>
      <c r="Z56" s="407">
        <f t="shared" si="12"/>
        <v>3.3963535813788977E-2</v>
      </c>
      <c r="AA56" s="407">
        <f t="shared" si="13"/>
        <v>0.14400000000000002</v>
      </c>
      <c r="AB56" s="407">
        <f t="shared" si="14"/>
        <v>0</v>
      </c>
      <c r="AC56" s="407">
        <f t="shared" si="49"/>
        <v>0.18096172371796784</v>
      </c>
      <c r="AD56" s="407">
        <f t="shared" si="50"/>
        <v>1.3342640057243993</v>
      </c>
      <c r="AE56" s="407">
        <f t="shared" si="17"/>
        <v>1.068156262183032E-2</v>
      </c>
      <c r="AF56" s="407">
        <f t="shared" si="18"/>
        <v>2.2841999999999998E-2</v>
      </c>
      <c r="AG56" s="407">
        <f t="shared" si="51"/>
        <v>3.3595332751948551E-2</v>
      </c>
      <c r="AH56" s="407">
        <f t="shared" si="52"/>
        <v>0</v>
      </c>
      <c r="AI56">
        <f t="shared" si="21"/>
        <v>0</v>
      </c>
      <c r="AJ56" s="408">
        <f t="shared" si="22"/>
        <v>0.45344010600000001</v>
      </c>
      <c r="AK56">
        <f t="shared" si="23"/>
        <v>4.8000000000000001E-2</v>
      </c>
      <c r="AL56" s="408">
        <f t="shared" si="24"/>
        <v>5.1750000000000004E-2</v>
      </c>
      <c r="AM56" s="408">
        <f t="shared" si="25"/>
        <v>0.13648893249607535</v>
      </c>
      <c r="AN56" s="408">
        <f t="shared" si="42"/>
        <v>9.9750000000000005E-2</v>
      </c>
      <c r="AO56" s="408">
        <f t="shared" si="53"/>
        <v>0.98277847142151631</v>
      </c>
      <c r="AP56">
        <f t="shared" si="27"/>
        <v>7.1909999999999989</v>
      </c>
      <c r="AQ56" s="10">
        <f t="shared" si="43"/>
        <v>0.87976448409292407</v>
      </c>
      <c r="AR56" s="63">
        <f t="shared" si="54"/>
        <v>9.0480861858983914</v>
      </c>
      <c r="AS56" s="63">
        <f t="shared" si="44"/>
        <v>1.6797666375974276</v>
      </c>
      <c r="AT56" s="10"/>
      <c r="AU56">
        <f t="shared" si="45"/>
        <v>87.976448409292402</v>
      </c>
      <c r="BE56" s="28"/>
      <c r="BF56" s="29"/>
    </row>
    <row r="57" spans="1:60" x14ac:dyDescent="0.25">
      <c r="A57" s="34" t="s">
        <v>364</v>
      </c>
      <c r="B57" s="25" t="s">
        <v>201</v>
      </c>
      <c r="C57" s="34" t="s">
        <v>148</v>
      </c>
      <c r="D57" s="477" t="s">
        <v>391</v>
      </c>
      <c r="G57">
        <v>48</v>
      </c>
      <c r="H57">
        <f t="shared" si="0"/>
        <v>1.44</v>
      </c>
      <c r="I57" s="407">
        <f t="shared" si="1"/>
        <v>0.21315999999999999</v>
      </c>
      <c r="J57" s="408">
        <f t="shared" si="2"/>
        <v>1.8147405405405401</v>
      </c>
      <c r="K57" s="408">
        <f t="shared" si="31"/>
        <v>2.3473702702702699</v>
      </c>
      <c r="L57" s="408">
        <f t="shared" si="32"/>
        <v>0.53262972972972988</v>
      </c>
      <c r="M57" s="63">
        <f t="shared" si="3"/>
        <v>0</v>
      </c>
      <c r="N57" s="407">
        <f t="shared" si="46"/>
        <v>1.5323316446263999</v>
      </c>
      <c r="O57" s="407">
        <f t="shared" si="5"/>
        <v>1.1751238297911464E-2</v>
      </c>
      <c r="P57">
        <f t="shared" si="6"/>
        <v>0.2</v>
      </c>
      <c r="Q57" s="407">
        <f t="shared" si="34"/>
        <v>0.21175123829791148</v>
      </c>
      <c r="R57" s="9">
        <f t="shared" si="39"/>
        <v>0.52387046979520391</v>
      </c>
      <c r="S57" s="9">
        <f t="shared" si="7"/>
        <v>2.7444026912344767E-3</v>
      </c>
      <c r="T57" s="9">
        <f t="shared" si="40"/>
        <v>2.7444026912344767E-3</v>
      </c>
      <c r="U57" s="407">
        <f t="shared" si="47"/>
        <v>0.70746608665458588</v>
      </c>
      <c r="V57" s="409">
        <f t="shared" si="9"/>
        <v>1.001016527532708E-3</v>
      </c>
      <c r="W57" s="407">
        <f t="shared" si="41"/>
        <v>1.001016527532708E-3</v>
      </c>
      <c r="X57" s="407">
        <f t="shared" si="48"/>
        <v>0.70746608665458588</v>
      </c>
      <c r="Y57" s="407">
        <f t="shared" si="11"/>
        <v>3.0030495825981245E-3</v>
      </c>
      <c r="Z57" s="407">
        <f t="shared" si="12"/>
        <v>3.463028680375449E-2</v>
      </c>
      <c r="AA57" s="407">
        <f t="shared" si="13"/>
        <v>0.14400000000000002</v>
      </c>
      <c r="AB57" s="407">
        <f t="shared" si="14"/>
        <v>0</v>
      </c>
      <c r="AC57" s="407">
        <f t="shared" si="49"/>
        <v>0.18174249272973911</v>
      </c>
      <c r="AD57" s="407">
        <f t="shared" si="50"/>
        <v>1.359239495216753</v>
      </c>
      <c r="AE57" s="407">
        <f t="shared" si="17"/>
        <v>1.1085192032142562E-2</v>
      </c>
      <c r="AF57" s="407">
        <f t="shared" si="18"/>
        <v>2.3327999999999998E-2</v>
      </c>
      <c r="AG57" s="407">
        <f t="shared" si="51"/>
        <v>3.4489656926172431E-2</v>
      </c>
      <c r="AH57" s="407">
        <f t="shared" si="52"/>
        <v>0</v>
      </c>
      <c r="AI57">
        <f t="shared" si="21"/>
        <v>0</v>
      </c>
      <c r="AJ57" s="408">
        <f t="shared" si="22"/>
        <v>0.45343670400000002</v>
      </c>
      <c r="AK57">
        <f t="shared" si="23"/>
        <v>4.8000000000000001E-2</v>
      </c>
      <c r="AL57" s="408">
        <f t="shared" si="24"/>
        <v>5.1750000000000004E-2</v>
      </c>
      <c r="AM57" s="408">
        <f t="shared" si="25"/>
        <v>0.13648893249607535</v>
      </c>
      <c r="AN57" s="408">
        <f t="shared" si="42"/>
        <v>9.9750000000000005E-2</v>
      </c>
      <c r="AO57" s="408">
        <f t="shared" si="53"/>
        <v>0.98491551117259024</v>
      </c>
      <c r="AP57">
        <f t="shared" si="27"/>
        <v>7.3439999999999994</v>
      </c>
      <c r="AQ57" s="10">
        <f t="shared" si="43"/>
        <v>0.88174744841013186</v>
      </c>
      <c r="AR57" s="63">
        <f t="shared" si="54"/>
        <v>9.0871246364869549</v>
      </c>
      <c r="AS57" s="63">
        <f t="shared" si="44"/>
        <v>1.7244828463086215</v>
      </c>
      <c r="AT57" s="10"/>
      <c r="AU57">
        <f t="shared" si="45"/>
        <v>88.17474484101318</v>
      </c>
      <c r="BE57" s="28"/>
      <c r="BF57" s="29"/>
    </row>
    <row r="58" spans="1:60" x14ac:dyDescent="0.25">
      <c r="A58" s="33" t="s">
        <v>365</v>
      </c>
      <c r="B58" s="115">
        <f>VfdSky</f>
        <v>0</v>
      </c>
      <c r="C58" s="417" t="s">
        <v>0</v>
      </c>
      <c r="D58" s="31" t="s">
        <v>368</v>
      </c>
      <c r="G58">
        <v>49</v>
      </c>
      <c r="H58">
        <f t="shared" si="0"/>
        <v>1.47</v>
      </c>
      <c r="I58" s="407">
        <f t="shared" si="1"/>
        <v>0.21317374999999997</v>
      </c>
      <c r="J58" s="408">
        <f t="shared" si="2"/>
        <v>1.8148576013513507</v>
      </c>
      <c r="K58" s="408">
        <f t="shared" si="31"/>
        <v>2.3774288006756752</v>
      </c>
      <c r="L58" s="408">
        <f t="shared" si="32"/>
        <v>0.56257119932432464</v>
      </c>
      <c r="M58" s="63">
        <f t="shared" si="3"/>
        <v>0</v>
      </c>
      <c r="N58" s="407">
        <f t="shared" si="46"/>
        <v>1.5605690231766631</v>
      </c>
      <c r="O58" s="407">
        <f t="shared" si="5"/>
        <v>1.2188752056605084E-2</v>
      </c>
      <c r="P58">
        <f t="shared" si="6"/>
        <v>0.2</v>
      </c>
      <c r="Q58" s="407">
        <f t="shared" si="34"/>
        <v>0.21218875205660509</v>
      </c>
      <c r="R58" s="9">
        <f t="shared" si="39"/>
        <v>0.52390426234052045</v>
      </c>
      <c r="S58" s="9">
        <f t="shared" si="7"/>
        <v>2.7447567609856487E-3</v>
      </c>
      <c r="T58" s="9">
        <f t="shared" si="40"/>
        <v>2.7447567609856487E-3</v>
      </c>
      <c r="U58" s="407">
        <f t="shared" si="47"/>
        <v>0.72052631147843327</v>
      </c>
      <c r="V58" s="409">
        <f t="shared" si="9"/>
        <v>1.0383163310654325E-3</v>
      </c>
      <c r="W58" s="407">
        <f t="shared" si="41"/>
        <v>1.0383163310654325E-3</v>
      </c>
      <c r="X58" s="407">
        <f t="shared" si="48"/>
        <v>0.72052631147843327</v>
      </c>
      <c r="Y58" s="407">
        <f t="shared" si="11"/>
        <v>3.1149489931962975E-3</v>
      </c>
      <c r="Z58" s="407">
        <f t="shared" si="12"/>
        <v>3.5297037793720003E-2</v>
      </c>
      <c r="AA58" s="407">
        <f t="shared" si="13"/>
        <v>0.14400000000000002</v>
      </c>
      <c r="AB58" s="407">
        <f t="shared" si="14"/>
        <v>0</v>
      </c>
      <c r="AC58" s="407">
        <f t="shared" si="49"/>
        <v>0.18252569843503086</v>
      </c>
      <c r="AD58" s="407">
        <f t="shared" si="50"/>
        <v>1.3842750848606098</v>
      </c>
      <c r="AE58" s="407">
        <f t="shared" si="17"/>
        <v>1.1497305063395092E-2</v>
      </c>
      <c r="AF58" s="407">
        <f t="shared" si="18"/>
        <v>2.3813999999999998E-2</v>
      </c>
      <c r="AG58" s="407">
        <f t="shared" si="51"/>
        <v>3.5392689172280611E-2</v>
      </c>
      <c r="AH58" s="407">
        <f t="shared" si="52"/>
        <v>0</v>
      </c>
      <c r="AI58">
        <f t="shared" si="21"/>
        <v>0</v>
      </c>
      <c r="AJ58" s="408">
        <f t="shared" si="22"/>
        <v>0.45343330199999998</v>
      </c>
      <c r="AK58">
        <f t="shared" si="23"/>
        <v>4.8000000000000001E-2</v>
      </c>
      <c r="AL58" s="408">
        <f t="shared" si="24"/>
        <v>5.1750000000000004E-2</v>
      </c>
      <c r="AM58" s="408">
        <f t="shared" si="25"/>
        <v>0.13648893249607535</v>
      </c>
      <c r="AN58" s="408">
        <f t="shared" si="42"/>
        <v>9.9750000000000005E-2</v>
      </c>
      <c r="AO58" s="408">
        <f t="shared" si="53"/>
        <v>0.98707351475596772</v>
      </c>
      <c r="AP58">
        <f t="shared" si="27"/>
        <v>7.496999999999999</v>
      </c>
      <c r="AQ58" s="10">
        <f t="shared" si="43"/>
        <v>0.88365570936659199</v>
      </c>
      <c r="AR58" s="63">
        <f t="shared" si="54"/>
        <v>9.1262849217515427</v>
      </c>
      <c r="AS58" s="63">
        <f t="shared" si="44"/>
        <v>1.7696344586140307</v>
      </c>
      <c r="AT58" s="10"/>
      <c r="AU58">
        <f t="shared" si="45"/>
        <v>88.365570936659196</v>
      </c>
      <c r="BE58" s="28"/>
      <c r="BF58" s="29"/>
    </row>
    <row r="59" spans="1:60" x14ac:dyDescent="0.25">
      <c r="A59" s="33" t="s">
        <v>366</v>
      </c>
      <c r="B59" s="115">
        <f>QrrSky</f>
        <v>0</v>
      </c>
      <c r="C59" s="417" t="s">
        <v>136</v>
      </c>
      <c r="D59" s="31" t="s">
        <v>369</v>
      </c>
      <c r="G59">
        <v>50</v>
      </c>
      <c r="H59">
        <f t="shared" si="0"/>
        <v>1.5</v>
      </c>
      <c r="I59" s="407">
        <f t="shared" si="1"/>
        <v>0.2131875</v>
      </c>
      <c r="J59" s="408">
        <f t="shared" si="2"/>
        <v>1.8149746621621621</v>
      </c>
      <c r="K59" s="408">
        <f t="shared" si="31"/>
        <v>2.4074873310810809</v>
      </c>
      <c r="L59" s="408">
        <f t="shared" si="32"/>
        <v>0.59251266891891896</v>
      </c>
      <c r="M59" s="63">
        <f t="shared" si="3"/>
        <v>0</v>
      </c>
      <c r="N59" s="407">
        <f t="shared" si="46"/>
        <v>1.5888710096661574</v>
      </c>
      <c r="O59" s="407">
        <f t="shared" si="5"/>
        <v>1.2635314623521396E-2</v>
      </c>
      <c r="P59">
        <f t="shared" si="6"/>
        <v>0.2</v>
      </c>
      <c r="Q59" s="407">
        <f t="shared" si="34"/>
        <v>0.21263531462352142</v>
      </c>
      <c r="R59" s="9">
        <f t="shared" si="39"/>
        <v>0.52393805488583722</v>
      </c>
      <c r="S59" s="9">
        <f t="shared" si="7"/>
        <v>2.745110853575546E-3</v>
      </c>
      <c r="T59" s="9">
        <f t="shared" si="40"/>
        <v>2.745110853575546E-3</v>
      </c>
      <c r="U59" s="407">
        <f t="shared" si="47"/>
        <v>0.73361720741110181</v>
      </c>
      <c r="V59" s="409">
        <f t="shared" si="9"/>
        <v>1.0763884140193272E-3</v>
      </c>
      <c r="W59" s="407">
        <f t="shared" si="41"/>
        <v>1.0763884140193272E-3</v>
      </c>
      <c r="X59" s="407">
        <f t="shared" si="48"/>
        <v>0.73361720741110181</v>
      </c>
      <c r="Y59" s="407">
        <f t="shared" si="11"/>
        <v>3.2291652420579817E-3</v>
      </c>
      <c r="Z59" s="407">
        <f t="shared" si="12"/>
        <v>3.5963788783685516E-2</v>
      </c>
      <c r="AA59" s="407">
        <f t="shared" si="13"/>
        <v>0.14400000000000002</v>
      </c>
      <c r="AB59" s="407">
        <f t="shared" si="14"/>
        <v>0</v>
      </c>
      <c r="AC59" s="407">
        <f t="shared" si="49"/>
        <v>0.18331134254891029</v>
      </c>
      <c r="AD59" s="407">
        <f t="shared" si="50"/>
        <v>1.4093675455139056</v>
      </c>
      <c r="AE59" s="407">
        <f t="shared" si="17"/>
        <v>1.1917901270087345E-2</v>
      </c>
      <c r="AF59" s="407">
        <f t="shared" si="18"/>
        <v>2.4299999999999999E-2</v>
      </c>
      <c r="AG59" s="407">
        <f t="shared" si="51"/>
        <v>3.6304435806408741E-2</v>
      </c>
      <c r="AH59" s="407">
        <f t="shared" si="52"/>
        <v>0</v>
      </c>
      <c r="AI59">
        <f t="shared" si="21"/>
        <v>0</v>
      </c>
      <c r="AJ59" s="408">
        <f t="shared" si="22"/>
        <v>0.4534299</v>
      </c>
      <c r="AK59">
        <f t="shared" si="23"/>
        <v>4.8000000000000001E-2</v>
      </c>
      <c r="AL59" s="408">
        <f t="shared" si="24"/>
        <v>5.1750000000000004E-2</v>
      </c>
      <c r="AM59" s="408">
        <f t="shared" si="25"/>
        <v>0.13648893249607535</v>
      </c>
      <c r="AN59" s="408">
        <f t="shared" si="42"/>
        <v>9.9750000000000005E-2</v>
      </c>
      <c r="AO59" s="408">
        <f t="shared" si="53"/>
        <v>0.9892524922464353</v>
      </c>
      <c r="AP59">
        <f t="shared" si="27"/>
        <v>7.6499999999999995</v>
      </c>
      <c r="AQ59" s="10">
        <f t="shared" si="43"/>
        <v>0.88549327697804059</v>
      </c>
      <c r="AR59" s="63">
        <f t="shared" si="54"/>
        <v>9.1655671274455148</v>
      </c>
      <c r="AS59" s="63">
        <f t="shared" si="44"/>
        <v>1.8152217903204371</v>
      </c>
      <c r="AT59" s="10"/>
      <c r="AU59">
        <f t="shared" si="45"/>
        <v>88.54932769780406</v>
      </c>
      <c r="BE59" s="28"/>
      <c r="BF59" s="29"/>
    </row>
    <row r="60" spans="1:60" x14ac:dyDescent="0.25">
      <c r="A60" s="33" t="s">
        <v>367</v>
      </c>
      <c r="B60" s="115">
        <f>Ireverse</f>
        <v>0</v>
      </c>
      <c r="C60" s="417" t="s">
        <v>135</v>
      </c>
      <c r="D60" s="31" t="s">
        <v>370</v>
      </c>
      <c r="E60" s="2"/>
      <c r="G60">
        <v>51</v>
      </c>
      <c r="H60">
        <f t="shared" si="0"/>
        <v>1.53</v>
      </c>
      <c r="I60" s="407">
        <f t="shared" si="1"/>
        <v>0.21320124999999998</v>
      </c>
      <c r="J60" s="408">
        <f t="shared" si="2"/>
        <v>1.8150917229729726</v>
      </c>
      <c r="K60" s="408">
        <f t="shared" si="31"/>
        <v>2.4375458614864862</v>
      </c>
      <c r="L60" s="408">
        <f t="shared" si="32"/>
        <v>0.62245413851351372</v>
      </c>
      <c r="M60" s="63">
        <f t="shared" si="3"/>
        <v>0</v>
      </c>
      <c r="N60" s="407">
        <f t="shared" si="46"/>
        <v>1.6172342121351553</v>
      </c>
      <c r="O60" s="407">
        <f t="shared" si="5"/>
        <v>1.309092793314365E-2</v>
      </c>
      <c r="P60">
        <f t="shared" si="6"/>
        <v>0.2</v>
      </c>
      <c r="Q60" s="407">
        <f t="shared" si="34"/>
        <v>0.21309092793314366</v>
      </c>
      <c r="R60" s="9">
        <f t="shared" si="39"/>
        <v>0.52397184743115377</v>
      </c>
      <c r="S60" s="9">
        <f t="shared" si="7"/>
        <v>2.7454649690041629E-3</v>
      </c>
      <c r="T60" s="9">
        <f t="shared" si="40"/>
        <v>2.7454649690041629E-3</v>
      </c>
      <c r="U60" s="407">
        <f t="shared" si="47"/>
        <v>0.74673721110393976</v>
      </c>
      <c r="V60" s="409">
        <f t="shared" si="9"/>
        <v>1.1152329248945798E-3</v>
      </c>
      <c r="W60" s="407">
        <f t="shared" si="41"/>
        <v>1.1152329248945798E-3</v>
      </c>
      <c r="X60" s="407">
        <f t="shared" si="48"/>
        <v>0.74673721110393976</v>
      </c>
      <c r="Y60" s="407">
        <f t="shared" si="11"/>
        <v>3.3456987746837397E-3</v>
      </c>
      <c r="Z60" s="407">
        <f t="shared" si="12"/>
        <v>3.6630539773651036E-2</v>
      </c>
      <c r="AA60" s="407">
        <f t="shared" si="13"/>
        <v>0.14400000000000002</v>
      </c>
      <c r="AB60" s="407">
        <f t="shared" si="14"/>
        <v>0</v>
      </c>
      <c r="AC60" s="407">
        <f t="shared" si="49"/>
        <v>0.18409942679366351</v>
      </c>
      <c r="AD60" s="407">
        <f t="shared" si="50"/>
        <v>1.4345138669434767</v>
      </c>
      <c r="AE60" s="407">
        <f t="shared" si="17"/>
        <v>1.2346980206718761E-2</v>
      </c>
      <c r="AF60" s="407">
        <f t="shared" si="18"/>
        <v>2.4785999999999999E-2</v>
      </c>
      <c r="AG60" s="407">
        <f t="shared" si="51"/>
        <v>3.7224903235407683E-2</v>
      </c>
      <c r="AH60" s="407">
        <f t="shared" si="52"/>
        <v>0</v>
      </c>
      <c r="AI60">
        <f t="shared" si="21"/>
        <v>0</v>
      </c>
      <c r="AJ60" s="408">
        <f t="shared" si="22"/>
        <v>0.45342649800000001</v>
      </c>
      <c r="AK60">
        <f t="shared" si="23"/>
        <v>4.8000000000000001E-2</v>
      </c>
      <c r="AL60" s="408">
        <f t="shared" si="24"/>
        <v>5.1750000000000004E-2</v>
      </c>
      <c r="AM60" s="408">
        <f t="shared" si="25"/>
        <v>0.13648893249607535</v>
      </c>
      <c r="AN60" s="408">
        <f t="shared" si="42"/>
        <v>9.9750000000000005E-2</v>
      </c>
      <c r="AO60" s="408">
        <f t="shared" si="53"/>
        <v>0.99145245385611358</v>
      </c>
      <c r="AP60">
        <f t="shared" si="27"/>
        <v>7.8029999999999999</v>
      </c>
      <c r="AQ60" s="10">
        <f t="shared" si="43"/>
        <v>0.88726387923998729</v>
      </c>
      <c r="AR60" s="63">
        <f t="shared" si="54"/>
        <v>9.2049713396831745</v>
      </c>
      <c r="AS60" s="63">
        <f t="shared" si="44"/>
        <v>1.8612451617703842</v>
      </c>
      <c r="AT60" s="10"/>
      <c r="AU60">
        <f t="shared" si="45"/>
        <v>88.726387923998729</v>
      </c>
      <c r="BE60" s="28"/>
      <c r="BF60" s="29"/>
    </row>
    <row r="61" spans="1:60" x14ac:dyDescent="0.25">
      <c r="A61" s="34" t="s">
        <v>209</v>
      </c>
      <c r="B61" s="25" t="s">
        <v>201</v>
      </c>
      <c r="C61" s="34" t="s">
        <v>148</v>
      </c>
      <c r="D61" s="477" t="s">
        <v>391</v>
      </c>
      <c r="G61">
        <v>52</v>
      </c>
      <c r="H61">
        <f t="shared" si="0"/>
        <v>1.56</v>
      </c>
      <c r="I61" s="407">
        <f t="shared" si="1"/>
        <v>0.21321499999999996</v>
      </c>
      <c r="J61" s="408">
        <f t="shared" si="2"/>
        <v>1.8152087837837831</v>
      </c>
      <c r="K61" s="408">
        <f t="shared" si="31"/>
        <v>2.4676043918918915</v>
      </c>
      <c r="L61" s="408">
        <f t="shared" si="32"/>
        <v>0.65239560810810848</v>
      </c>
      <c r="M61" s="63">
        <f t="shared" si="3"/>
        <v>0</v>
      </c>
      <c r="N61" s="407">
        <f t="shared" si="46"/>
        <v>1.6456554653775954</v>
      </c>
      <c r="O61" s="407">
        <f t="shared" si="5"/>
        <v>1.3555593959375729E-2</v>
      </c>
      <c r="P61">
        <f t="shared" si="6"/>
        <v>0.2</v>
      </c>
      <c r="Q61" s="407">
        <f t="shared" si="34"/>
        <v>0.21355559395937573</v>
      </c>
      <c r="R61" s="9">
        <f t="shared" si="39"/>
        <v>0.52400563997647021</v>
      </c>
      <c r="S61" s="9">
        <f t="shared" si="7"/>
        <v>2.7458191072715012E-3</v>
      </c>
      <c r="T61" s="9">
        <f t="shared" si="40"/>
        <v>2.7458191072715012E-3</v>
      </c>
      <c r="U61" s="407">
        <f t="shared" si="47"/>
        <v>0.75988486371008157</v>
      </c>
      <c r="V61" s="409">
        <f t="shared" si="9"/>
        <v>1.1548500121913786E-3</v>
      </c>
      <c r="W61" s="407">
        <f t="shared" si="41"/>
        <v>1.1548500121913786E-3</v>
      </c>
      <c r="X61" s="407">
        <f t="shared" si="48"/>
        <v>0.75988486371008157</v>
      </c>
      <c r="Y61" s="407">
        <f t="shared" si="11"/>
        <v>3.4645500365741355E-3</v>
      </c>
      <c r="Z61" s="407">
        <f t="shared" si="12"/>
        <v>3.7297290763616542E-2</v>
      </c>
      <c r="AA61" s="407">
        <f t="shared" si="13"/>
        <v>0.14400000000000002</v>
      </c>
      <c r="AB61" s="407">
        <f t="shared" si="14"/>
        <v>0</v>
      </c>
      <c r="AC61" s="407">
        <f t="shared" si="49"/>
        <v>0.18488995289880625</v>
      </c>
      <c r="AD61" s="407">
        <f t="shared" si="50"/>
        <v>1.4597112401538399</v>
      </c>
      <c r="AE61" s="407">
        <f t="shared" si="17"/>
        <v>1.2784541427788768E-2</v>
      </c>
      <c r="AF61" s="407">
        <f t="shared" si="18"/>
        <v>2.5271999999999999E-2</v>
      </c>
      <c r="AG61" s="407">
        <f t="shared" si="51"/>
        <v>3.8154097956982963E-2</v>
      </c>
      <c r="AH61" s="407">
        <f t="shared" si="52"/>
        <v>0</v>
      </c>
      <c r="AI61">
        <f t="shared" si="21"/>
        <v>0</v>
      </c>
      <c r="AJ61" s="408">
        <f t="shared" si="22"/>
        <v>0.45342309599999997</v>
      </c>
      <c r="AK61">
        <f t="shared" si="23"/>
        <v>4.8000000000000001E-2</v>
      </c>
      <c r="AL61" s="408">
        <f t="shared" si="24"/>
        <v>5.1750000000000004E-2</v>
      </c>
      <c r="AM61" s="408">
        <f t="shared" si="25"/>
        <v>0.13648893249607535</v>
      </c>
      <c r="AN61" s="408">
        <f t="shared" si="42"/>
        <v>9.9750000000000005E-2</v>
      </c>
      <c r="AO61" s="408">
        <f t="shared" si="53"/>
        <v>0.99367340993462783</v>
      </c>
      <c r="AP61">
        <f t="shared" si="27"/>
        <v>7.9559999999999995</v>
      </c>
      <c r="AQ61" s="10">
        <f t="shared" si="43"/>
        <v>0.88897098649079243</v>
      </c>
      <c r="AR61" s="63">
        <f t="shared" si="54"/>
        <v>9.2444976449403118</v>
      </c>
      <c r="AS61" s="63">
        <f t="shared" si="44"/>
        <v>1.9077048978491482</v>
      </c>
      <c r="AT61" s="10"/>
      <c r="AU61">
        <f t="shared" si="45"/>
        <v>88.89709864907924</v>
      </c>
      <c r="BE61" s="28"/>
      <c r="BF61" s="29"/>
    </row>
    <row r="62" spans="1:60" x14ac:dyDescent="0.25">
      <c r="A62" s="33" t="s">
        <v>210</v>
      </c>
      <c r="B62" s="116">
        <v>20</v>
      </c>
      <c r="C62" s="417" t="s">
        <v>381</v>
      </c>
      <c r="D62" s="31" t="s">
        <v>184</v>
      </c>
      <c r="G62">
        <v>53</v>
      </c>
      <c r="H62">
        <f t="shared" si="0"/>
        <v>1.59</v>
      </c>
      <c r="I62" s="407">
        <f t="shared" si="1"/>
        <v>0.21322874999999999</v>
      </c>
      <c r="J62" s="408">
        <f t="shared" si="2"/>
        <v>1.8153258445945943</v>
      </c>
      <c r="K62" s="408">
        <f t="shared" si="31"/>
        <v>2.4976629222972972</v>
      </c>
      <c r="L62" s="408">
        <f t="shared" si="32"/>
        <v>0.68233707770270291</v>
      </c>
      <c r="M62" s="63">
        <f t="shared" si="3"/>
        <v>0</v>
      </c>
      <c r="N62" s="407">
        <f t="shared" si="46"/>
        <v>1.6741318128623435</v>
      </c>
      <c r="O62" s="407">
        <f t="shared" si="5"/>
        <v>1.4029314715563573E-2</v>
      </c>
      <c r="P62">
        <f t="shared" si="6"/>
        <v>0.2</v>
      </c>
      <c r="Q62" s="407">
        <f t="shared" si="34"/>
        <v>0.21402931471556358</v>
      </c>
      <c r="R62" s="9">
        <f t="shared" si="39"/>
        <v>0.52403943252178697</v>
      </c>
      <c r="S62" s="9">
        <f t="shared" si="7"/>
        <v>2.7461732683775652E-3</v>
      </c>
      <c r="T62" s="9">
        <f t="shared" si="40"/>
        <v>2.7461732683775652E-3</v>
      </c>
      <c r="U62" s="407">
        <f t="shared" si="47"/>
        <v>0.77305880255317982</v>
      </c>
      <c r="V62" s="409">
        <f t="shared" si="9"/>
        <v>1.1952398244099126E-3</v>
      </c>
      <c r="W62" s="407">
        <f t="shared" si="41"/>
        <v>1.1952398244099126E-3</v>
      </c>
      <c r="X62" s="407">
        <f t="shared" si="48"/>
        <v>0.77305880255317982</v>
      </c>
      <c r="Y62" s="407">
        <f t="shared" si="11"/>
        <v>3.5857194732297377E-3</v>
      </c>
      <c r="Z62" s="407">
        <f t="shared" si="12"/>
        <v>3.7964041753582062E-2</v>
      </c>
      <c r="AA62" s="407">
        <f t="shared" si="13"/>
        <v>0.14400000000000002</v>
      </c>
      <c r="AB62" s="407">
        <f t="shared" si="14"/>
        <v>0</v>
      </c>
      <c r="AC62" s="407">
        <f t="shared" si="49"/>
        <v>0.18568292260109523</v>
      </c>
      <c r="AD62" s="407">
        <f t="shared" si="50"/>
        <v>1.4849570413425435</v>
      </c>
      <c r="AE62" s="407">
        <f t="shared" si="17"/>
        <v>1.3230584487796803E-2</v>
      </c>
      <c r="AF62" s="407">
        <f t="shared" si="18"/>
        <v>2.5758E-2</v>
      </c>
      <c r="AG62" s="407">
        <f t="shared" si="51"/>
        <v>3.9092026559836623E-2</v>
      </c>
      <c r="AH62" s="407">
        <f t="shared" si="52"/>
        <v>0</v>
      </c>
      <c r="AI62">
        <f t="shared" si="21"/>
        <v>0</v>
      </c>
      <c r="AJ62" s="408">
        <f t="shared" si="22"/>
        <v>0.45341969399999998</v>
      </c>
      <c r="AK62">
        <f t="shared" si="23"/>
        <v>4.8000000000000001E-2</v>
      </c>
      <c r="AL62" s="408">
        <f t="shared" si="24"/>
        <v>5.1750000000000004E-2</v>
      </c>
      <c r="AM62" s="408">
        <f t="shared" si="25"/>
        <v>0.13648893249607535</v>
      </c>
      <c r="AN62" s="408">
        <f t="shared" si="42"/>
        <v>9.9750000000000005E-2</v>
      </c>
      <c r="AO62" s="408">
        <f t="shared" si="53"/>
        <v>0.99591537096928295</v>
      </c>
      <c r="AP62">
        <f t="shared" si="27"/>
        <v>8.109</v>
      </c>
      <c r="AQ62" s="10">
        <f t="shared" si="43"/>
        <v>0.89061783329203403</v>
      </c>
      <c r="AR62" s="63">
        <f t="shared" si="54"/>
        <v>9.2841461300547614</v>
      </c>
      <c r="AS62" s="63">
        <f t="shared" si="44"/>
        <v>1.9546013279918313</v>
      </c>
      <c r="AT62" s="10"/>
      <c r="AU62">
        <f t="shared" si="45"/>
        <v>89.061783329203408</v>
      </c>
      <c r="BE62" s="28"/>
      <c r="BF62" s="29"/>
    </row>
    <row r="63" spans="1:60" x14ac:dyDescent="0.25">
      <c r="A63" s="33" t="s">
        <v>210</v>
      </c>
      <c r="B63" s="116">
        <v>2</v>
      </c>
      <c r="C63" s="417" t="s">
        <v>278</v>
      </c>
      <c r="D63" s="31" t="s">
        <v>184</v>
      </c>
      <c r="G63">
        <v>54</v>
      </c>
      <c r="H63">
        <f t="shared" si="0"/>
        <v>1.62</v>
      </c>
      <c r="I63" s="407">
        <f t="shared" si="1"/>
        <v>0.21324249999999997</v>
      </c>
      <c r="J63" s="408">
        <f t="shared" si="2"/>
        <v>1.8154429054054049</v>
      </c>
      <c r="K63" s="408">
        <f t="shared" si="31"/>
        <v>2.5277214527027025</v>
      </c>
      <c r="L63" s="408">
        <f t="shared" si="32"/>
        <v>0.71227854729729767</v>
      </c>
      <c r="M63" s="63">
        <f t="shared" si="3"/>
        <v>0</v>
      </c>
      <c r="N63" s="407">
        <f t="shared" si="46"/>
        <v>1.7026604903010569</v>
      </c>
      <c r="O63" s="407">
        <f t="shared" si="5"/>
        <v>1.4512092254516988E-2</v>
      </c>
      <c r="P63">
        <f t="shared" si="6"/>
        <v>0.2</v>
      </c>
      <c r="Q63" s="407">
        <f t="shared" si="34"/>
        <v>0.21451209225451701</v>
      </c>
      <c r="R63" s="9">
        <f t="shared" si="39"/>
        <v>0.52407322506710341</v>
      </c>
      <c r="S63" s="9">
        <f t="shared" si="7"/>
        <v>2.7465274523223483E-3</v>
      </c>
      <c r="T63" s="9">
        <f t="shared" si="40"/>
        <v>2.7465274523223483E-3</v>
      </c>
      <c r="U63" s="407">
        <f t="shared" si="47"/>
        <v>0.7862577535548918</v>
      </c>
      <c r="V63" s="409">
        <f t="shared" si="9"/>
        <v>1.2364025100503699E-3</v>
      </c>
      <c r="W63" s="407">
        <f t="shared" si="41"/>
        <v>1.2364025100503699E-3</v>
      </c>
      <c r="X63" s="407">
        <f t="shared" si="48"/>
        <v>0.7862577535548918</v>
      </c>
      <c r="Y63" s="407">
        <f t="shared" si="11"/>
        <v>3.70920753015111E-3</v>
      </c>
      <c r="Z63" s="407">
        <f t="shared" si="12"/>
        <v>3.8630792743547575E-2</v>
      </c>
      <c r="AA63" s="407">
        <f t="shared" si="13"/>
        <v>0.14400000000000002</v>
      </c>
      <c r="AB63" s="407">
        <f t="shared" si="14"/>
        <v>0</v>
      </c>
      <c r="AC63" s="407">
        <f t="shared" si="49"/>
        <v>0.18647833764453894</v>
      </c>
      <c r="AD63" s="407">
        <f t="shared" si="50"/>
        <v>1.5102488173168853</v>
      </c>
      <c r="AE63" s="407">
        <f t="shared" si="17"/>
        <v>1.3685108941242304E-2</v>
      </c>
      <c r="AF63" s="407">
        <f t="shared" si="18"/>
        <v>2.6244E-2</v>
      </c>
      <c r="AG63" s="407">
        <f t="shared" si="51"/>
        <v>4.0038695723811427E-2</v>
      </c>
      <c r="AH63" s="407">
        <f t="shared" si="52"/>
        <v>0</v>
      </c>
      <c r="AI63">
        <f t="shared" si="21"/>
        <v>0</v>
      </c>
      <c r="AJ63" s="408">
        <f t="shared" si="22"/>
        <v>0.453416292</v>
      </c>
      <c r="AK63">
        <f t="shared" si="23"/>
        <v>4.8000000000000001E-2</v>
      </c>
      <c r="AL63" s="408">
        <f t="shared" si="24"/>
        <v>5.1750000000000004E-2</v>
      </c>
      <c r="AM63" s="408">
        <f t="shared" si="25"/>
        <v>0.13648893249607535</v>
      </c>
      <c r="AN63" s="408">
        <f t="shared" si="42"/>
        <v>9.9750000000000005E-2</v>
      </c>
      <c r="AO63" s="408">
        <f t="shared" si="53"/>
        <v>0.99817834758524016</v>
      </c>
      <c r="AP63">
        <f t="shared" si="27"/>
        <v>8.2620000000000005</v>
      </c>
      <c r="AQ63" s="10">
        <f t="shared" si="43"/>
        <v>0.89220743811640157</v>
      </c>
      <c r="AR63" s="63">
        <f t="shared" si="54"/>
        <v>9.323916882226948</v>
      </c>
      <c r="AS63" s="63">
        <f t="shared" si="44"/>
        <v>2.0019347861905712</v>
      </c>
      <c r="AT63" s="10"/>
      <c r="AU63">
        <f t="shared" si="45"/>
        <v>89.220743811640162</v>
      </c>
      <c r="BE63" s="28"/>
      <c r="BF63" s="29"/>
    </row>
    <row r="64" spans="1:60" x14ac:dyDescent="0.25">
      <c r="A64" s="117"/>
      <c r="B64" s="40"/>
      <c r="G64">
        <v>55</v>
      </c>
      <c r="H64">
        <f t="shared" si="0"/>
        <v>1.6500000000000001</v>
      </c>
      <c r="I64" s="407">
        <f t="shared" si="1"/>
        <v>0.21325625000000001</v>
      </c>
      <c r="J64" s="408">
        <f t="shared" si="2"/>
        <v>1.8155599662162158</v>
      </c>
      <c r="K64" s="408">
        <f t="shared" si="31"/>
        <v>2.5577799831081078</v>
      </c>
      <c r="L64" s="408">
        <f t="shared" si="32"/>
        <v>0.74222001689189221</v>
      </c>
      <c r="M64" s="63">
        <f t="shared" si="3"/>
        <v>0</v>
      </c>
      <c r="N64" s="407">
        <f t="shared" si="46"/>
        <v>1.7312389106967836</v>
      </c>
      <c r="O64" s="407">
        <f t="shared" si="5"/>
        <v>1.5003928668531926E-2</v>
      </c>
      <c r="P64">
        <f t="shared" si="6"/>
        <v>0.2</v>
      </c>
      <c r="Q64" s="407">
        <f t="shared" si="34"/>
        <v>0.21500392866853194</v>
      </c>
      <c r="R64" s="9">
        <f t="shared" si="39"/>
        <v>0.52410701761242007</v>
      </c>
      <c r="S64" s="9">
        <f t="shared" si="7"/>
        <v>2.7468816591058559E-3</v>
      </c>
      <c r="T64" s="9">
        <f t="shared" si="40"/>
        <v>2.7468816591058559E-3</v>
      </c>
      <c r="U64" s="407">
        <f t="shared" si="47"/>
        <v>0.79948052434469552</v>
      </c>
      <c r="V64" s="409">
        <f t="shared" si="9"/>
        <v>1.2783382176129385E-3</v>
      </c>
      <c r="W64" s="407">
        <f t="shared" si="41"/>
        <v>1.2783382176129385E-3</v>
      </c>
      <c r="X64" s="407">
        <f t="shared" si="48"/>
        <v>0.79948052434469552</v>
      </c>
      <c r="Y64" s="407">
        <f t="shared" si="11"/>
        <v>3.8350146528388159E-3</v>
      </c>
      <c r="Z64" s="407">
        <f t="shared" si="12"/>
        <v>3.9297543733513095E-2</v>
      </c>
      <c r="AA64" s="407">
        <f t="shared" si="13"/>
        <v>0.14400000000000002</v>
      </c>
      <c r="AB64" s="407">
        <f t="shared" si="14"/>
        <v>0</v>
      </c>
      <c r="AC64" s="407">
        <f t="shared" si="49"/>
        <v>0.1872761997804091</v>
      </c>
      <c r="AD64" s="407">
        <f t="shared" si="50"/>
        <v>1.535584272224783</v>
      </c>
      <c r="AE64" s="407">
        <f t="shared" si="17"/>
        <v>1.4148114342624699E-2</v>
      </c>
      <c r="AF64" s="407">
        <f t="shared" si="18"/>
        <v>2.6729999999999997E-2</v>
      </c>
      <c r="AG64" s="407">
        <f t="shared" si="51"/>
        <v>4.0994112220037397E-2</v>
      </c>
      <c r="AH64" s="407">
        <f t="shared" si="52"/>
        <v>0</v>
      </c>
      <c r="AI64">
        <f t="shared" si="21"/>
        <v>0</v>
      </c>
      <c r="AJ64" s="408">
        <f t="shared" si="22"/>
        <v>0.45341289000000001</v>
      </c>
      <c r="AK64">
        <f t="shared" si="23"/>
        <v>4.8000000000000001E-2</v>
      </c>
      <c r="AL64" s="408">
        <f t="shared" si="24"/>
        <v>5.1750000000000004E-2</v>
      </c>
      <c r="AM64" s="408">
        <f t="shared" si="25"/>
        <v>0.13648893249607535</v>
      </c>
      <c r="AN64" s="408">
        <f t="shared" si="42"/>
        <v>9.9750000000000005E-2</v>
      </c>
      <c r="AO64" s="408">
        <f t="shared" si="53"/>
        <v>1.0004623505456971</v>
      </c>
      <c r="AP64">
        <f t="shared" si="27"/>
        <v>8.4150000000000009</v>
      </c>
      <c r="AQ64" s="10">
        <f t="shared" si="43"/>
        <v>0.89374262109521219</v>
      </c>
      <c r="AR64" s="63">
        <f t="shared" si="54"/>
        <v>9.3638099890204547</v>
      </c>
      <c r="AS64" s="63">
        <f t="shared" si="44"/>
        <v>2.0497056110018699</v>
      </c>
      <c r="AT64" s="10"/>
      <c r="AU64">
        <f t="shared" si="45"/>
        <v>89.374262109521226</v>
      </c>
      <c r="BE64" s="28"/>
      <c r="BF64" s="29"/>
    </row>
    <row r="65" spans="1:58" x14ac:dyDescent="0.25">
      <c r="G65">
        <v>56</v>
      </c>
      <c r="H65">
        <f t="shared" si="0"/>
        <v>1.6800000000000002</v>
      </c>
      <c r="I65" s="407">
        <f t="shared" si="1"/>
        <v>0.21326999999999999</v>
      </c>
      <c r="J65" s="408">
        <f t="shared" si="2"/>
        <v>1.8156770270270268</v>
      </c>
      <c r="K65" s="408">
        <f t="shared" si="31"/>
        <v>2.5878385135135136</v>
      </c>
      <c r="L65" s="408">
        <f t="shared" si="32"/>
        <v>0.77216148648648675</v>
      </c>
      <c r="M65" s="63">
        <f t="shared" si="3"/>
        <v>0</v>
      </c>
      <c r="N65" s="407">
        <f t="shared" si="46"/>
        <v>1.7598646507253928</v>
      </c>
      <c r="O65" s="407">
        <f t="shared" si="5"/>
        <v>1.55048260894132E-2</v>
      </c>
      <c r="P65">
        <f t="shared" si="6"/>
        <v>0.2</v>
      </c>
      <c r="Q65" s="407">
        <f t="shared" si="34"/>
        <v>0.21550482608941321</v>
      </c>
      <c r="R65" s="9">
        <f t="shared" si="39"/>
        <v>0.52414081015773673</v>
      </c>
      <c r="S65" s="9">
        <f t="shared" si="7"/>
        <v>2.7472358887280861E-3</v>
      </c>
      <c r="T65" s="9">
        <f t="shared" si="40"/>
        <v>2.7472358887280861E-3</v>
      </c>
      <c r="U65" s="407">
        <f t="shared" si="47"/>
        <v>0.81272599798388623</v>
      </c>
      <c r="V65" s="409">
        <f t="shared" si="9"/>
        <v>1.3210470955978078E-3</v>
      </c>
      <c r="W65" s="407">
        <f t="shared" si="41"/>
        <v>1.3210470955978078E-3</v>
      </c>
      <c r="X65" s="407">
        <f t="shared" si="48"/>
        <v>0.81272599798388623</v>
      </c>
      <c r="Y65" s="407">
        <f t="shared" si="11"/>
        <v>3.9631412867934231E-3</v>
      </c>
      <c r="Z65" s="407">
        <f t="shared" si="12"/>
        <v>3.9964294723478601E-2</v>
      </c>
      <c r="AA65" s="407">
        <f t="shared" si="13"/>
        <v>0.14400000000000002</v>
      </c>
      <c r="AB65" s="407">
        <f t="shared" si="14"/>
        <v>0</v>
      </c>
      <c r="AC65" s="407">
        <f t="shared" si="49"/>
        <v>0.1880765107672516</v>
      </c>
      <c r="AD65" s="407">
        <f t="shared" si="50"/>
        <v>1.560961255468535</v>
      </c>
      <c r="AE65" s="407">
        <f t="shared" si="17"/>
        <v>1.461960024644343E-2</v>
      </c>
      <c r="AF65" s="407">
        <f t="shared" si="18"/>
        <v>2.7216000000000001E-2</v>
      </c>
      <c r="AG65" s="407">
        <f t="shared" si="51"/>
        <v>4.1958282911080863E-2</v>
      </c>
      <c r="AH65" s="407">
        <f t="shared" si="52"/>
        <v>0</v>
      </c>
      <c r="AI65">
        <f t="shared" si="21"/>
        <v>0</v>
      </c>
      <c r="AJ65" s="408">
        <f t="shared" si="22"/>
        <v>0.45340948800000003</v>
      </c>
      <c r="AK65">
        <f t="shared" si="23"/>
        <v>4.8000000000000001E-2</v>
      </c>
      <c r="AL65" s="408">
        <f t="shared" si="24"/>
        <v>5.1750000000000004E-2</v>
      </c>
      <c r="AM65" s="408">
        <f t="shared" si="25"/>
        <v>0.13648893249607535</v>
      </c>
      <c r="AN65" s="408">
        <f t="shared" si="42"/>
        <v>9.9750000000000005E-2</v>
      </c>
      <c r="AO65" s="408">
        <f t="shared" si="53"/>
        <v>1.0027673907520716</v>
      </c>
      <c r="AP65">
        <f t="shared" si="27"/>
        <v>8.5679999999999996</v>
      </c>
      <c r="AQ65" s="10">
        <f t="shared" si="43"/>
        <v>0.89522602004505791</v>
      </c>
      <c r="AR65" s="63">
        <f t="shared" si="54"/>
        <v>9.4038255383625806</v>
      </c>
      <c r="AS65" s="63">
        <f t="shared" si="44"/>
        <v>2.0979141455540433</v>
      </c>
      <c r="AT65" s="10"/>
      <c r="AU65">
        <f t="shared" si="45"/>
        <v>89.522602004505785</v>
      </c>
      <c r="BE65" s="28"/>
      <c r="BF65" s="29"/>
    </row>
    <row r="66" spans="1:58" x14ac:dyDescent="0.25">
      <c r="A66" s="12" t="s">
        <v>149</v>
      </c>
      <c r="B66" s="41"/>
      <c r="C66" s="41"/>
      <c r="G66">
        <v>57</v>
      </c>
      <c r="H66">
        <f t="shared" si="0"/>
        <v>1.71</v>
      </c>
      <c r="I66" s="407">
        <f t="shared" si="1"/>
        <v>0.21328374999999997</v>
      </c>
      <c r="J66" s="408">
        <f t="shared" si="2"/>
        <v>1.8157940878378374</v>
      </c>
      <c r="K66" s="408">
        <f t="shared" si="31"/>
        <v>2.6178970439189184</v>
      </c>
      <c r="L66" s="408">
        <f t="shared" si="32"/>
        <v>0.80210295608108129</v>
      </c>
      <c r="M66" s="63">
        <f t="shared" si="3"/>
        <v>0</v>
      </c>
      <c r="N66" s="407">
        <f t="shared" si="46"/>
        <v>1.7885354383178722</v>
      </c>
      <c r="O66" s="407">
        <f t="shared" si="5"/>
        <v>1.6014786688497592E-2</v>
      </c>
      <c r="P66">
        <f t="shared" si="6"/>
        <v>0.2</v>
      </c>
      <c r="Q66" s="407">
        <f t="shared" si="34"/>
        <v>0.21601478668849761</v>
      </c>
      <c r="R66" s="9">
        <f t="shared" si="39"/>
        <v>0.52417460270305316</v>
      </c>
      <c r="S66" s="9">
        <f t="shared" si="7"/>
        <v>2.7475901411890364E-3</v>
      </c>
      <c r="T66" s="9">
        <f t="shared" si="40"/>
        <v>2.7475901411890364E-3</v>
      </c>
      <c r="U66" s="407">
        <f t="shared" si="47"/>
        <v>0.82599312724294649</v>
      </c>
      <c r="V66" s="409">
        <f t="shared" si="9"/>
        <v>1.3645292925051648E-3</v>
      </c>
      <c r="W66" s="407">
        <f t="shared" si="41"/>
        <v>1.3645292925051648E-3</v>
      </c>
      <c r="X66" s="407">
        <f t="shared" si="48"/>
        <v>0.82599312724294649</v>
      </c>
      <c r="Y66" s="407">
        <f t="shared" si="11"/>
        <v>4.0935878775154944E-3</v>
      </c>
      <c r="Z66" s="407">
        <f t="shared" si="12"/>
        <v>4.0631045713444114E-2</v>
      </c>
      <c r="AA66" s="407">
        <f t="shared" si="13"/>
        <v>0.14400000000000002</v>
      </c>
      <c r="AB66" s="407">
        <f t="shared" si="14"/>
        <v>0</v>
      </c>
      <c r="AC66" s="407">
        <f t="shared" si="49"/>
        <v>0.18887927237089791</v>
      </c>
      <c r="AD66" s="407">
        <f t="shared" si="50"/>
        <v>1.5863777506843446</v>
      </c>
      <c r="AE66" s="407">
        <f t="shared" si="17"/>
        <v>1.5099566207197924E-2</v>
      </c>
      <c r="AF66" s="407">
        <f t="shared" si="18"/>
        <v>2.7701999999999997E-2</v>
      </c>
      <c r="AG66" s="407">
        <f t="shared" si="51"/>
        <v>4.2931214751095848E-2</v>
      </c>
      <c r="AH66" s="407">
        <f t="shared" si="52"/>
        <v>0</v>
      </c>
      <c r="AI66">
        <f t="shared" si="21"/>
        <v>0</v>
      </c>
      <c r="AJ66" s="408">
        <f t="shared" si="22"/>
        <v>0.45340608600000004</v>
      </c>
      <c r="AK66">
        <f t="shared" si="23"/>
        <v>4.8000000000000001E-2</v>
      </c>
      <c r="AL66" s="408">
        <f t="shared" si="24"/>
        <v>5.1750000000000004E-2</v>
      </c>
      <c r="AM66" s="408">
        <f t="shared" si="25"/>
        <v>0.13648893249607535</v>
      </c>
      <c r="AN66" s="408">
        <f t="shared" si="42"/>
        <v>9.9750000000000005E-2</v>
      </c>
      <c r="AO66" s="408">
        <f t="shared" si="53"/>
        <v>1.0050934792441857</v>
      </c>
      <c r="AP66">
        <f t="shared" si="27"/>
        <v>8.7210000000000001</v>
      </c>
      <c r="AQ66" s="10">
        <f t="shared" si="43"/>
        <v>0.8966601049651548</v>
      </c>
      <c r="AR66" s="63">
        <f t="shared" si="54"/>
        <v>9.4439636185448954</v>
      </c>
      <c r="AS66" s="63">
        <f t="shared" si="44"/>
        <v>2.1465607375547924</v>
      </c>
      <c r="AT66" s="10"/>
      <c r="AU66">
        <f t="shared" si="45"/>
        <v>89.666010496515483</v>
      </c>
      <c r="BE66" s="28"/>
      <c r="BF66" s="29"/>
    </row>
    <row r="67" spans="1:58" x14ac:dyDescent="0.25">
      <c r="A67" s="24" t="s">
        <v>125</v>
      </c>
      <c r="B67" s="25" t="s">
        <v>8</v>
      </c>
      <c r="C67" s="25" t="s">
        <v>148</v>
      </c>
      <c r="G67">
        <v>58</v>
      </c>
      <c r="H67">
        <f t="shared" si="0"/>
        <v>1.7399999999999998</v>
      </c>
      <c r="I67" s="407">
        <f t="shared" si="1"/>
        <v>0.2132975</v>
      </c>
      <c r="J67" s="408">
        <f t="shared" si="2"/>
        <v>1.8159111486486481</v>
      </c>
      <c r="K67" s="408">
        <f t="shared" si="31"/>
        <v>2.6479555743243237</v>
      </c>
      <c r="L67" s="408">
        <f t="shared" si="32"/>
        <v>0.83204442567567571</v>
      </c>
      <c r="M67" s="63">
        <f t="shared" si="3"/>
        <v>0</v>
      </c>
      <c r="N67" s="407">
        <f t="shared" si="46"/>
        <v>1.817249141325666</v>
      </c>
      <c r="O67" s="407">
        <f t="shared" si="5"/>
        <v>1.6533812676677442E-2</v>
      </c>
      <c r="P67">
        <f t="shared" si="6"/>
        <v>0.2</v>
      </c>
      <c r="Q67" s="407">
        <f t="shared" si="34"/>
        <v>0.21653381267667746</v>
      </c>
      <c r="R67" s="9">
        <f t="shared" si="39"/>
        <v>0.52420839524836982</v>
      </c>
      <c r="S67" s="9">
        <f t="shared" si="7"/>
        <v>2.7479444164887111E-3</v>
      </c>
      <c r="T67" s="9">
        <f t="shared" si="40"/>
        <v>2.7479444164887111E-3</v>
      </c>
      <c r="U67" s="407">
        <f t="shared" si="47"/>
        <v>0.83928092937800025</v>
      </c>
      <c r="V67" s="409">
        <f t="shared" si="9"/>
        <v>1.4087849568351998E-3</v>
      </c>
      <c r="W67" s="407">
        <f t="shared" si="41"/>
        <v>1.4087849568351998E-3</v>
      </c>
      <c r="X67" s="407">
        <f t="shared" si="48"/>
        <v>0.83928092937800025</v>
      </c>
      <c r="Y67" s="407">
        <f t="shared" si="11"/>
        <v>4.2263548705055998E-3</v>
      </c>
      <c r="Z67" s="407">
        <f t="shared" si="12"/>
        <v>4.129779670340962E-2</v>
      </c>
      <c r="AA67" s="407">
        <f t="shared" si="13"/>
        <v>0.14400000000000002</v>
      </c>
      <c r="AB67" s="407">
        <f t="shared" si="14"/>
        <v>0</v>
      </c>
      <c r="AC67" s="407">
        <f t="shared" si="49"/>
        <v>0.18968448636447641</v>
      </c>
      <c r="AD67" s="407">
        <f t="shared" si="50"/>
        <v>1.6118318656830402</v>
      </c>
      <c r="AE67" s="407">
        <f t="shared" si="17"/>
        <v>1.5588011779387619E-2</v>
      </c>
      <c r="AF67" s="407">
        <f t="shared" si="18"/>
        <v>2.8187999999999994E-2</v>
      </c>
      <c r="AG67" s="407">
        <f t="shared" si="51"/>
        <v>4.3912914785977829E-2</v>
      </c>
      <c r="AH67" s="407">
        <f t="shared" si="52"/>
        <v>0</v>
      </c>
      <c r="AI67">
        <f t="shared" si="21"/>
        <v>0</v>
      </c>
      <c r="AJ67" s="408">
        <f t="shared" si="22"/>
        <v>0.453402684</v>
      </c>
      <c r="AK67">
        <f t="shared" si="23"/>
        <v>4.8000000000000001E-2</v>
      </c>
      <c r="AL67" s="408">
        <f t="shared" si="24"/>
        <v>5.1750000000000004E-2</v>
      </c>
      <c r="AM67" s="408">
        <f t="shared" si="25"/>
        <v>0.13648893249607535</v>
      </c>
      <c r="AN67" s="408">
        <f t="shared" si="42"/>
        <v>9.9750000000000005E-2</v>
      </c>
      <c r="AO67" s="408">
        <f t="shared" si="53"/>
        <v>1.0074406272004555</v>
      </c>
      <c r="AP67">
        <f t="shared" si="27"/>
        <v>8.8739999999999988</v>
      </c>
      <c r="AQ67" s="10">
        <f t="shared" si="43"/>
        <v>0.89804719117298615</v>
      </c>
      <c r="AR67" s="63">
        <f t="shared" si="54"/>
        <v>9.4842243182238199</v>
      </c>
      <c r="AS67" s="63">
        <f t="shared" si="44"/>
        <v>2.1956457392988913</v>
      </c>
      <c r="AT67" s="10"/>
      <c r="AU67">
        <f t="shared" si="45"/>
        <v>89.804719117298617</v>
      </c>
      <c r="BE67" s="28"/>
      <c r="BF67" s="29"/>
    </row>
    <row r="68" spans="1:58" x14ac:dyDescent="0.25">
      <c r="A68" s="42" t="s">
        <v>386</v>
      </c>
      <c r="B68" s="410">
        <f>I109</f>
        <v>0.21387499999999995</v>
      </c>
      <c r="C68" s="31" t="s">
        <v>23</v>
      </c>
      <c r="G68">
        <v>59</v>
      </c>
      <c r="H68">
        <f t="shared" si="0"/>
        <v>1.77</v>
      </c>
      <c r="I68" s="407">
        <f t="shared" si="1"/>
        <v>0.21331124999999998</v>
      </c>
      <c r="J68" s="408">
        <f t="shared" si="2"/>
        <v>1.8160282094594591</v>
      </c>
      <c r="K68" s="408">
        <f t="shared" si="31"/>
        <v>2.6780141047297294</v>
      </c>
      <c r="L68" s="408">
        <f t="shared" si="32"/>
        <v>0.86198589527027047</v>
      </c>
      <c r="M68" s="63">
        <f t="shared" si="3"/>
        <v>0</v>
      </c>
      <c r="N68" s="407">
        <f t="shared" si="46"/>
        <v>1.846003757163758</v>
      </c>
      <c r="O68" s="407">
        <f t="shared" si="5"/>
        <v>1.7061906304424626E-2</v>
      </c>
      <c r="P68">
        <f t="shared" si="6"/>
        <v>0.2</v>
      </c>
      <c r="Q68" s="407">
        <f t="shared" si="34"/>
        <v>0.21706190630442462</v>
      </c>
      <c r="R68" s="9">
        <f t="shared" si="39"/>
        <v>0.52424218779368648</v>
      </c>
      <c r="S68" s="9">
        <f t="shared" si="7"/>
        <v>2.7482987146271081E-3</v>
      </c>
      <c r="T68" s="9">
        <f t="shared" si="40"/>
        <v>2.7482987146271081E-3</v>
      </c>
      <c r="U68" s="407">
        <f t="shared" si="47"/>
        <v>0.85258848135782961</v>
      </c>
      <c r="V68" s="409">
        <f t="shared" si="9"/>
        <v>1.4538142370881006E-3</v>
      </c>
      <c r="W68" s="407">
        <f t="shared" si="41"/>
        <v>1.4538142370881006E-3</v>
      </c>
      <c r="X68" s="407">
        <f t="shared" si="48"/>
        <v>0.85258848135782961</v>
      </c>
      <c r="Y68" s="407">
        <f t="shared" si="11"/>
        <v>4.361442711264301E-3</v>
      </c>
      <c r="Z68" s="407">
        <f t="shared" si="12"/>
        <v>4.1964547693375147E-2</v>
      </c>
      <c r="AA68" s="407">
        <f t="shared" si="13"/>
        <v>0.14400000000000002</v>
      </c>
      <c r="AB68" s="407">
        <f t="shared" si="14"/>
        <v>0</v>
      </c>
      <c r="AC68" s="407">
        <f t="shared" si="49"/>
        <v>0.19049215452842366</v>
      </c>
      <c r="AD68" s="407">
        <f t="shared" si="50"/>
        <v>1.6373218232585371</v>
      </c>
      <c r="AE68" s="407">
        <f t="shared" si="17"/>
        <v>1.6084936517511961E-2</v>
      </c>
      <c r="AF68" s="407">
        <f t="shared" si="18"/>
        <v>2.8673999999999998E-2</v>
      </c>
      <c r="AG68" s="407">
        <f t="shared" si="51"/>
        <v>4.4903390153520052E-2</v>
      </c>
      <c r="AH68" s="407">
        <f t="shared" si="52"/>
        <v>0</v>
      </c>
      <c r="AI68">
        <f t="shared" si="21"/>
        <v>0</v>
      </c>
      <c r="AJ68" s="408">
        <f t="shared" si="22"/>
        <v>0.45339928200000001</v>
      </c>
      <c r="AK68">
        <f t="shared" si="23"/>
        <v>4.8000000000000001E-2</v>
      </c>
      <c r="AL68" s="408">
        <f t="shared" si="24"/>
        <v>5.1750000000000004E-2</v>
      </c>
      <c r="AM68" s="408">
        <f t="shared" si="25"/>
        <v>0.13648893249607535</v>
      </c>
      <c r="AN68" s="408">
        <f t="shared" si="42"/>
        <v>9.9750000000000005E-2</v>
      </c>
      <c r="AO68" s="408">
        <f t="shared" si="53"/>
        <v>1.0098088459380836</v>
      </c>
      <c r="AP68">
        <f t="shared" si="27"/>
        <v>9.0269999999999992</v>
      </c>
      <c r="AQ68" s="10">
        <f t="shared" si="43"/>
        <v>0.89938945122515157</v>
      </c>
      <c r="AR68" s="63">
        <f t="shared" si="54"/>
        <v>9.5246077264211824</v>
      </c>
      <c r="AS68" s="63">
        <f t="shared" si="44"/>
        <v>2.2451695076760028</v>
      </c>
      <c r="AT68" s="10"/>
      <c r="AU68">
        <f t="shared" si="45"/>
        <v>89.93894512251515</v>
      </c>
      <c r="BE68" s="28"/>
      <c r="BF68" s="29"/>
    </row>
    <row r="69" spans="1:58" x14ac:dyDescent="0.25">
      <c r="A69" s="33" t="s">
        <v>151</v>
      </c>
      <c r="B69" s="410">
        <f>1-B68</f>
        <v>0.78612500000000007</v>
      </c>
      <c r="C69" s="31" t="s">
        <v>23</v>
      </c>
      <c r="G69">
        <v>60</v>
      </c>
      <c r="H69">
        <f t="shared" si="0"/>
        <v>1.7999999999999998</v>
      </c>
      <c r="I69" s="407">
        <f t="shared" si="1"/>
        <v>0.21332499999999999</v>
      </c>
      <c r="J69" s="408">
        <f t="shared" si="2"/>
        <v>1.8161452702702701</v>
      </c>
      <c r="K69" s="408">
        <f t="shared" si="31"/>
        <v>2.7080726351351347</v>
      </c>
      <c r="L69" s="408">
        <f t="shared" si="32"/>
        <v>0.89192736486486479</v>
      </c>
      <c r="M69" s="63">
        <f t="shared" si="3"/>
        <v>0</v>
      </c>
      <c r="N69" s="407">
        <f t="shared" si="46"/>
        <v>1.8747974033373371</v>
      </c>
      <c r="O69" s="407">
        <f t="shared" si="5"/>
        <v>1.7599069861815003E-2</v>
      </c>
      <c r="P69">
        <f t="shared" si="6"/>
        <v>0.2</v>
      </c>
      <c r="Q69" s="407">
        <f t="shared" si="34"/>
        <v>0.21759906986181501</v>
      </c>
      <c r="R69" s="9">
        <f t="shared" si="39"/>
        <v>0.52427598033900302</v>
      </c>
      <c r="S69" s="9">
        <f t="shared" si="7"/>
        <v>2.7486530356042268E-3</v>
      </c>
      <c r="T69" s="9">
        <f t="shared" si="40"/>
        <v>2.7486530356042268E-3</v>
      </c>
      <c r="U69" s="407">
        <f t="shared" si="47"/>
        <v>0.86591491549806843</v>
      </c>
      <c r="V69" s="409">
        <f t="shared" si="9"/>
        <v>1.4996172817640541E-3</v>
      </c>
      <c r="W69" s="407">
        <f t="shared" si="41"/>
        <v>1.4996172817640541E-3</v>
      </c>
      <c r="X69" s="407">
        <f t="shared" si="48"/>
        <v>0.86591491549806843</v>
      </c>
      <c r="Y69" s="407">
        <f t="shared" si="11"/>
        <v>4.4988518452921625E-3</v>
      </c>
      <c r="Z69" s="407">
        <f t="shared" si="12"/>
        <v>4.2631298683340646E-2</v>
      </c>
      <c r="AA69" s="407">
        <f t="shared" si="13"/>
        <v>0.14400000000000002</v>
      </c>
      <c r="AB69" s="407">
        <f t="shared" si="14"/>
        <v>0</v>
      </c>
      <c r="AC69" s="407">
        <f t="shared" si="49"/>
        <v>0.1913022786504959</v>
      </c>
      <c r="AD69" s="407">
        <f t="shared" si="50"/>
        <v>1.6628459527804718</v>
      </c>
      <c r="AE69" s="407">
        <f t="shared" si="17"/>
        <v>1.6590339976070369E-2</v>
      </c>
      <c r="AF69" s="407">
        <f t="shared" si="18"/>
        <v>2.9159999999999995E-2</v>
      </c>
      <c r="AG69" s="407">
        <f t="shared" si="51"/>
        <v>4.5902648083572035E-2</v>
      </c>
      <c r="AH69" s="407">
        <f t="shared" si="52"/>
        <v>0</v>
      </c>
      <c r="AI69">
        <f t="shared" si="21"/>
        <v>0</v>
      </c>
      <c r="AJ69" s="408">
        <f t="shared" si="22"/>
        <v>0.45339588000000003</v>
      </c>
      <c r="AK69">
        <f t="shared" si="23"/>
        <v>4.8000000000000001E-2</v>
      </c>
      <c r="AL69" s="408">
        <f t="shared" si="24"/>
        <v>5.1750000000000004E-2</v>
      </c>
      <c r="AM69" s="408">
        <f t="shared" si="25"/>
        <v>0.13648893249607535</v>
      </c>
      <c r="AN69" s="408">
        <f t="shared" si="42"/>
        <v>9.9750000000000005E-2</v>
      </c>
      <c r="AO69" s="408">
        <f t="shared" si="53"/>
        <v>1.0121981469132513</v>
      </c>
      <c r="AP69">
        <f t="shared" si="27"/>
        <v>9.1799999999999979</v>
      </c>
      <c r="AQ69" s="10">
        <f t="shared" si="43"/>
        <v>0.90068892575250814</v>
      </c>
      <c r="AR69" s="63">
        <f t="shared" si="54"/>
        <v>9.5651139325247954</v>
      </c>
      <c r="AS69" s="63">
        <f t="shared" si="44"/>
        <v>2.2951324041786019</v>
      </c>
      <c r="AT69" s="10"/>
      <c r="AU69">
        <f t="shared" si="45"/>
        <v>90.068892575250814</v>
      </c>
      <c r="BE69" s="28"/>
      <c r="BF69" s="29"/>
    </row>
    <row r="70" spans="1:58" x14ac:dyDescent="0.25">
      <c r="A70" s="43" t="s">
        <v>387</v>
      </c>
      <c r="B70" s="410">
        <f>Ipp</f>
        <v>0.78612500000000007</v>
      </c>
      <c r="C70" s="31" t="s">
        <v>2</v>
      </c>
      <c r="G70">
        <v>61</v>
      </c>
      <c r="H70">
        <f t="shared" si="0"/>
        <v>1.83</v>
      </c>
      <c r="I70" s="407">
        <f t="shared" si="1"/>
        <v>0.21333874999999999</v>
      </c>
      <c r="J70" s="408">
        <f t="shared" si="2"/>
        <v>1.816262331081081</v>
      </c>
      <c r="K70" s="408">
        <f t="shared" si="31"/>
        <v>2.7381311655405405</v>
      </c>
      <c r="L70" s="408">
        <f t="shared" si="32"/>
        <v>0.92186883445945955</v>
      </c>
      <c r="M70" s="63">
        <f t="shared" si="3"/>
        <v>0</v>
      </c>
      <c r="N70" s="407">
        <f t="shared" si="46"/>
        <v>1.9036283087677612</v>
      </c>
      <c r="O70" s="407">
        <f t="shared" si="5"/>
        <v>1.8145305678553283E-2</v>
      </c>
      <c r="P70">
        <f t="shared" si="6"/>
        <v>0.2</v>
      </c>
      <c r="Q70" s="407">
        <f t="shared" si="34"/>
        <v>0.21814530567855328</v>
      </c>
      <c r="R70" s="9">
        <f t="shared" si="39"/>
        <v>0.52430977288431968</v>
      </c>
      <c r="S70" s="9">
        <f t="shared" si="7"/>
        <v>2.7490073794200686E-3</v>
      </c>
      <c r="T70" s="9">
        <f t="shared" si="40"/>
        <v>2.7490073794200686E-3</v>
      </c>
      <c r="U70" s="407">
        <f t="shared" si="47"/>
        <v>0.87925941546373299</v>
      </c>
      <c r="V70" s="409">
        <f t="shared" si="9"/>
        <v>1.5461942393632509E-3</v>
      </c>
      <c r="W70" s="407">
        <f t="shared" si="41"/>
        <v>1.5461942393632509E-3</v>
      </c>
      <c r="X70" s="407">
        <f t="shared" si="48"/>
        <v>0.87925941546373299</v>
      </c>
      <c r="Y70" s="407">
        <f t="shared" si="11"/>
        <v>4.6385827180897531E-3</v>
      </c>
      <c r="Z70" s="407">
        <f t="shared" si="12"/>
        <v>4.3298049673306173E-2</v>
      </c>
      <c r="AA70" s="407">
        <f t="shared" si="13"/>
        <v>0.14400000000000002</v>
      </c>
      <c r="AB70" s="407">
        <f t="shared" si="14"/>
        <v>0</v>
      </c>
      <c r="AC70" s="407">
        <f t="shared" si="49"/>
        <v>0.19211486052578056</v>
      </c>
      <c r="AD70" s="407">
        <f t="shared" si="50"/>
        <v>1.6884026824962053</v>
      </c>
      <c r="AE70" s="407">
        <f t="shared" si="17"/>
        <v>1.710422170956229E-2</v>
      </c>
      <c r="AF70" s="407">
        <f t="shared" si="18"/>
        <v>2.9645999999999999E-2</v>
      </c>
      <c r="AG70" s="407">
        <f t="shared" si="51"/>
        <v>4.6910695898200828E-2</v>
      </c>
      <c r="AH70" s="407">
        <f t="shared" si="52"/>
        <v>0</v>
      </c>
      <c r="AI70">
        <f t="shared" si="21"/>
        <v>0</v>
      </c>
      <c r="AJ70" s="408">
        <f t="shared" si="22"/>
        <v>0.45339247799999999</v>
      </c>
      <c r="AK70">
        <f t="shared" si="23"/>
        <v>4.8000000000000001E-2</v>
      </c>
      <c r="AL70" s="408">
        <f t="shared" si="24"/>
        <v>5.1750000000000004E-2</v>
      </c>
      <c r="AM70" s="408">
        <f t="shared" si="25"/>
        <v>0.13648893249607535</v>
      </c>
      <c r="AN70" s="408">
        <f t="shared" si="42"/>
        <v>9.9750000000000005E-2</v>
      </c>
      <c r="AO70" s="408">
        <f t="shared" si="53"/>
        <v>1.014608541721318</v>
      </c>
      <c r="AP70">
        <f t="shared" si="27"/>
        <v>9.3330000000000002</v>
      </c>
      <c r="AQ70" s="10">
        <f t="shared" si="43"/>
        <v>0.90194753332323696</v>
      </c>
      <c r="AR70" s="63">
        <f t="shared" si="54"/>
        <v>9.6057430262890282</v>
      </c>
      <c r="AS70" s="63">
        <f t="shared" si="44"/>
        <v>2.3455347949100416</v>
      </c>
      <c r="AT70" s="10"/>
      <c r="AU70">
        <f t="shared" si="45"/>
        <v>90.1947533323237</v>
      </c>
      <c r="BE70" s="28"/>
      <c r="BF70" s="29"/>
    </row>
    <row r="71" spans="1:58" x14ac:dyDescent="0.25">
      <c r="A71" s="24" t="s">
        <v>129</v>
      </c>
      <c r="B71" s="25" t="s">
        <v>8</v>
      </c>
      <c r="C71" s="27" t="s">
        <v>148</v>
      </c>
      <c r="G71">
        <v>62</v>
      </c>
      <c r="H71">
        <f t="shared" si="0"/>
        <v>1.8599999999999999</v>
      </c>
      <c r="I71" s="407">
        <f t="shared" si="1"/>
        <v>0.21335249999999997</v>
      </c>
      <c r="J71" s="408">
        <f t="shared" si="2"/>
        <v>1.8163793918918913</v>
      </c>
      <c r="K71" s="408">
        <f t="shared" si="31"/>
        <v>2.7681896959459458</v>
      </c>
      <c r="L71" s="408">
        <f t="shared" si="32"/>
        <v>0.9518103040540542</v>
      </c>
      <c r="M71" s="63">
        <f t="shared" si="3"/>
        <v>0</v>
      </c>
      <c r="N71" s="407">
        <f t="shared" si="46"/>
        <v>1.9324948058422984</v>
      </c>
      <c r="O71" s="407">
        <f t="shared" si="5"/>
        <v>1.8700616123998322E-2</v>
      </c>
      <c r="P71">
        <f t="shared" si="6"/>
        <v>0.2</v>
      </c>
      <c r="Q71" s="407">
        <f t="shared" si="34"/>
        <v>0.21870061612399833</v>
      </c>
      <c r="R71" s="9">
        <f t="shared" si="39"/>
        <v>0.52434356542963612</v>
      </c>
      <c r="S71" s="9">
        <f t="shared" si="7"/>
        <v>2.749361746074631E-3</v>
      </c>
      <c r="T71" s="9">
        <f t="shared" si="40"/>
        <v>2.749361746074631E-3</v>
      </c>
      <c r="U71" s="407">
        <f t="shared" si="47"/>
        <v>0.89262121260529015</v>
      </c>
      <c r="V71" s="409">
        <f t="shared" si="9"/>
        <v>1.5935452583858772E-3</v>
      </c>
      <c r="W71" s="407">
        <f t="shared" si="41"/>
        <v>1.5935452583858772E-3</v>
      </c>
      <c r="X71" s="407">
        <f t="shared" si="48"/>
        <v>0.89262121260529015</v>
      </c>
      <c r="Y71" s="407">
        <f t="shared" si="11"/>
        <v>4.7806357751576318E-3</v>
      </c>
      <c r="Z71" s="407">
        <f t="shared" si="12"/>
        <v>4.3964800663271693E-2</v>
      </c>
      <c r="AA71" s="407">
        <f t="shared" si="13"/>
        <v>0.14400000000000002</v>
      </c>
      <c r="AB71" s="407">
        <f t="shared" si="14"/>
        <v>0</v>
      </c>
      <c r="AC71" s="407">
        <f t="shared" si="49"/>
        <v>0.19292990195670773</v>
      </c>
      <c r="AD71" s="407">
        <f t="shared" si="50"/>
        <v>1.7139905324751723</v>
      </c>
      <c r="AE71" s="407">
        <f t="shared" si="17"/>
        <v>1.7626581272487146E-2</v>
      </c>
      <c r="AF71" s="407">
        <f t="shared" si="18"/>
        <v>3.0131999999999996E-2</v>
      </c>
      <c r="AG71" s="407">
        <f t="shared" si="51"/>
        <v>4.792754101185432E-2</v>
      </c>
      <c r="AH71" s="407">
        <f t="shared" si="52"/>
        <v>0</v>
      </c>
      <c r="AI71">
        <f t="shared" si="21"/>
        <v>0</v>
      </c>
      <c r="AJ71" s="408">
        <f t="shared" si="22"/>
        <v>0.453389076</v>
      </c>
      <c r="AK71">
        <f t="shared" si="23"/>
        <v>4.8000000000000001E-2</v>
      </c>
      <c r="AL71" s="408">
        <f t="shared" si="24"/>
        <v>5.1750000000000004E-2</v>
      </c>
      <c r="AM71" s="408">
        <f t="shared" si="25"/>
        <v>0.13648893249607535</v>
      </c>
      <c r="AN71" s="408">
        <f t="shared" si="42"/>
        <v>9.9750000000000005E-2</v>
      </c>
      <c r="AO71" s="408">
        <f t="shared" si="53"/>
        <v>1.0170400420970209</v>
      </c>
      <c r="AP71">
        <f t="shared" si="27"/>
        <v>9.4859999999999989</v>
      </c>
      <c r="AQ71" s="10">
        <f t="shared" si="43"/>
        <v>0.90316707943408348</v>
      </c>
      <c r="AR71" s="63">
        <f t="shared" si="54"/>
        <v>9.6464950978353858</v>
      </c>
      <c r="AS71" s="63">
        <f t="shared" si="44"/>
        <v>2.396377050592716</v>
      </c>
      <c r="AT71" s="10"/>
      <c r="AU71">
        <f t="shared" si="45"/>
        <v>90.316707943408346</v>
      </c>
      <c r="BE71" s="28"/>
      <c r="BF71" s="29"/>
    </row>
    <row r="72" spans="1:58" x14ac:dyDescent="0.25">
      <c r="A72" s="42" t="s">
        <v>166</v>
      </c>
      <c r="B72" s="410">
        <f>(QgdTop+QgsTop/2)*(RdsonDRT+RGateTop)/(Vdd-VspTop)*1000000000</f>
        <v>2.6827830188679238</v>
      </c>
      <c r="C72" s="31" t="s">
        <v>147</v>
      </c>
      <c r="G72">
        <v>63</v>
      </c>
      <c r="H72">
        <f t="shared" si="0"/>
        <v>1.8900000000000001</v>
      </c>
      <c r="I72" s="407">
        <f t="shared" si="1"/>
        <v>0.21336624999999998</v>
      </c>
      <c r="J72" s="408">
        <f t="shared" si="2"/>
        <v>1.8164964527027023</v>
      </c>
      <c r="K72" s="408">
        <f t="shared" si="31"/>
        <v>2.7982482263513511</v>
      </c>
      <c r="L72" s="408">
        <f t="shared" si="32"/>
        <v>0.98175177364864896</v>
      </c>
      <c r="M72" s="63">
        <f t="shared" si="3"/>
        <v>0</v>
      </c>
      <c r="N72" s="407">
        <f t="shared" si="46"/>
        <v>1.9613953231199446</v>
      </c>
      <c r="O72" s="407">
        <f t="shared" si="5"/>
        <v>1.9265003607188875E-2</v>
      </c>
      <c r="P72">
        <f t="shared" si="6"/>
        <v>0.2</v>
      </c>
      <c r="Q72" s="407">
        <f t="shared" si="34"/>
        <v>0.2192650036071889</v>
      </c>
      <c r="R72" s="9">
        <f t="shared" si="39"/>
        <v>0.52437735797495277</v>
      </c>
      <c r="S72" s="9">
        <f t="shared" si="7"/>
        <v>2.7497161355679177E-3</v>
      </c>
      <c r="T72" s="9">
        <f t="shared" si="40"/>
        <v>2.7497161355679177E-3</v>
      </c>
      <c r="U72" s="407">
        <f t="shared" si="47"/>
        <v>0.90599958259706814</v>
      </c>
      <c r="V72" s="409">
        <f t="shared" si="9"/>
        <v>1.6416704873321235E-3</v>
      </c>
      <c r="W72" s="407">
        <f t="shared" si="41"/>
        <v>1.6416704873321235E-3</v>
      </c>
      <c r="X72" s="407">
        <f t="shared" si="48"/>
        <v>0.90599958259706814</v>
      </c>
      <c r="Y72" s="407">
        <f t="shared" si="11"/>
        <v>4.9250114619963708E-3</v>
      </c>
      <c r="Z72" s="407">
        <f t="shared" si="12"/>
        <v>4.4631551653237199E-2</v>
      </c>
      <c r="AA72" s="407">
        <f t="shared" si="13"/>
        <v>0.14400000000000002</v>
      </c>
      <c r="AB72" s="407">
        <f t="shared" si="14"/>
        <v>0</v>
      </c>
      <c r="AC72" s="407">
        <f t="shared" si="49"/>
        <v>0.19374740475306176</v>
      </c>
      <c r="AD72" s="407">
        <f t="shared" si="50"/>
        <v>1.7396081081354875</v>
      </c>
      <c r="AE72" s="407">
        <f t="shared" si="17"/>
        <v>1.8157418219344381E-2</v>
      </c>
      <c r="AF72" s="407">
        <f t="shared" si="18"/>
        <v>3.0617999999999999E-2</v>
      </c>
      <c r="AG72" s="407">
        <f t="shared" si="51"/>
        <v>4.8953190931527411E-2</v>
      </c>
      <c r="AH72" s="407">
        <f t="shared" si="52"/>
        <v>0</v>
      </c>
      <c r="AI72">
        <f t="shared" si="21"/>
        <v>0</v>
      </c>
      <c r="AJ72" s="408">
        <f t="shared" si="22"/>
        <v>0.45338567400000002</v>
      </c>
      <c r="AK72">
        <f t="shared" si="23"/>
        <v>4.8000000000000001E-2</v>
      </c>
      <c r="AL72" s="408">
        <f t="shared" si="24"/>
        <v>5.1750000000000004E-2</v>
      </c>
      <c r="AM72" s="408">
        <f t="shared" si="25"/>
        <v>0.13648893249607535</v>
      </c>
      <c r="AN72" s="408">
        <f t="shared" si="42"/>
        <v>9.9750000000000005E-2</v>
      </c>
      <c r="AO72" s="408">
        <f t="shared" si="53"/>
        <v>1.0194926599146781</v>
      </c>
      <c r="AP72">
        <f t="shared" si="27"/>
        <v>9.6389999999999993</v>
      </c>
      <c r="AQ72" s="10">
        <f t="shared" si="43"/>
        <v>0.90434926471837151</v>
      </c>
      <c r="AR72" s="63">
        <f t="shared" si="54"/>
        <v>9.6873702376530879</v>
      </c>
      <c r="AS72" s="63">
        <f t="shared" si="44"/>
        <v>2.4476595465763706</v>
      </c>
      <c r="AT72" s="10"/>
      <c r="AU72">
        <f t="shared" si="45"/>
        <v>90.434926471837144</v>
      </c>
      <c r="BE72" s="28"/>
      <c r="BF72" s="29"/>
    </row>
    <row r="73" spans="1:58" x14ac:dyDescent="0.25">
      <c r="A73" s="43" t="s">
        <v>167</v>
      </c>
      <c r="B73" s="410">
        <f>(QgdTop+QgsTop/2)*(RdsonDRT+RGateTop)/(VspTop)*1000000000</f>
        <v>3.4892638036809807</v>
      </c>
      <c r="C73" s="31" t="s">
        <v>147</v>
      </c>
      <c r="G73">
        <v>64</v>
      </c>
      <c r="H73">
        <f t="shared" ref="H73:H136" si="55">Iout*(G73/200)</f>
        <v>1.92</v>
      </c>
      <c r="I73" s="407">
        <f t="shared" si="1"/>
        <v>0.21337999999999999</v>
      </c>
      <c r="J73" s="408">
        <f t="shared" ref="J73:J136" si="56">(Vin-Vout)*I73/(Fsw*Lout2)</f>
        <v>1.8166135135135133</v>
      </c>
      <c r="K73" s="408">
        <f t="shared" si="31"/>
        <v>2.8283067567567564</v>
      </c>
      <c r="L73" s="408">
        <f t="shared" si="32"/>
        <v>1.0116932432432433</v>
      </c>
      <c r="M73" s="63">
        <f t="shared" ref="M73:M136" si="57">IF(MIN(Vin, -L73/(CossTop+CossBot)*0.00000002)&lt;0, 0, MIN(Vin, -L73/(CossTop+CossBot)*0.00000002))</f>
        <v>0</v>
      </c>
      <c r="N73" s="407">
        <f t="shared" ref="N73:N109" si="58">SQRT(H73^2+(J73^2)/12)</f>
        <v>1.9903283786325292</v>
      </c>
      <c r="O73" s="407">
        <f t="shared" si="5"/>
        <v>1.9838470576869747E-2</v>
      </c>
      <c r="P73">
        <f t="shared" ref="P73:P136" si="59">Core_Loss</f>
        <v>0.2</v>
      </c>
      <c r="Q73" s="407">
        <f t="shared" si="34"/>
        <v>0.21983847057686975</v>
      </c>
      <c r="R73" s="9">
        <f t="shared" si="39"/>
        <v>0.52441115052026943</v>
      </c>
      <c r="S73" s="9">
        <f t="shared" si="7"/>
        <v>2.7500705478999267E-3</v>
      </c>
      <c r="T73" s="9">
        <f t="shared" si="40"/>
        <v>2.7500705478999267E-3</v>
      </c>
      <c r="U73" s="407">
        <f t="shared" ref="U73:U109" si="60">SQRT(I73)*SQRT(H73^2+(J73^2)/12)</f>
        <v>0.91939384234999555</v>
      </c>
      <c r="V73" s="409">
        <f t="shared" si="9"/>
        <v>1.6905700747021771E-3</v>
      </c>
      <c r="W73" s="407">
        <f t="shared" si="41"/>
        <v>1.6905700747021771E-3</v>
      </c>
      <c r="X73" s="407">
        <f t="shared" ref="X73:X109" si="61">SQRT(I73)*SQRT(H73^2+(J73^2)/12)</f>
        <v>0.91939384234999555</v>
      </c>
      <c r="Y73" s="407">
        <f t="shared" si="11"/>
        <v>5.0717102241065312E-3</v>
      </c>
      <c r="Z73" s="407">
        <f t="shared" ref="Z73:Z136" si="62">IF(L73&lt;0, (Vin*K73*Tf/2)*Fsw, (Vin*L73*Tr/2+Vin*K73*Tf/2)*Fsw)</f>
        <v>4.5298302643202705E-2</v>
      </c>
      <c r="AA73" s="407">
        <f t="shared" ref="AA73:AA136" si="63">(0.5*CossTop*(Vin-M73)^2-0.5*CossBot*(Vin-M73)^2+(QossBot*(Vin-M73)/Vin)*Vin)*Fsw</f>
        <v>0.14400000000000002</v>
      </c>
      <c r="AB73" s="407">
        <f t="shared" ref="AB73:AB136" si="64">IF(L73&gt;0,0,-L73*VsdTop*Deadtime*Fsw)</f>
        <v>0</v>
      </c>
      <c r="AC73" s="407">
        <f t="shared" ref="AC73:AC104" si="65">(AB73+AA73+Z73+Y73*(1+RdsonTopTc*Ta-RdsonTopTc*25))/(1-Y73*RdsonTopTc*ThetaJaTop)</f>
        <v>0.19456737073199304</v>
      </c>
      <c r="AD73" s="407">
        <f t="shared" ref="AD73:AD109" si="66">SQRT(1-I73)*SQRT(H73^2+(J73^2)/12)</f>
        <v>1.7652540942988644</v>
      </c>
      <c r="AE73" s="407">
        <f t="shared" si="17"/>
        <v>1.8696732104633424E-2</v>
      </c>
      <c r="AF73" s="407">
        <f t="shared" ref="AF73:AF136" si="67">IF(L73&lt;0, Deadtime*Fsw*IF(VfdSky&gt;0,0,VsdBot)*K73, Deadtime*Fsw*IF(VfdSky&gt;0,0,VsdBot)*(K73+L73))</f>
        <v>3.1103999999999996E-2</v>
      </c>
      <c r="AG73" s="407">
        <f t="shared" ref="AG73:AG104" si="68">(AF73+AE73*(1+RdsonBotTc*Ta-RdsonBotTc*25))/(1-AE73*RdsonBotTc*ThetaJaBot)</f>
        <v>4.9987653256930248E-2</v>
      </c>
      <c r="AH73" s="407">
        <f t="shared" ref="AH73:AH109" si="69">IF(RDSON_sense=1, 0, AD73^2*Rshunt)</f>
        <v>0</v>
      </c>
      <c r="AI73">
        <f t="shared" ref="AI73:AI136" si="70">2*Deadtime*Fsw*IF(VfdSky&gt;0,VfdSky,0)*H73</f>
        <v>0</v>
      </c>
      <c r="AJ73" s="408">
        <f t="shared" ref="AJ73:AJ136" si="71">IF(QrrSky&gt;0,QrrSky,QrrBot)*Fsw*(Vin-H73*RdsonTop)</f>
        <v>0.45338227199999998</v>
      </c>
      <c r="AK73">
        <f t="shared" si="23"/>
        <v>4.8000000000000001E-2</v>
      </c>
      <c r="AL73" s="408">
        <f t="shared" ref="AL73:AL136" si="72">IF(Ext_VCC=1, Vdd*(QgTop+QgBot)*Fsw, Vin*(QgTop+QgBot)*Fsw)</f>
        <v>5.1750000000000004E-2</v>
      </c>
      <c r="AM73" s="408">
        <f t="shared" si="25"/>
        <v>0.13648893249607535</v>
      </c>
      <c r="AN73" s="408">
        <f t="shared" si="42"/>
        <v>9.9750000000000005E-2</v>
      </c>
      <c r="AO73" s="408">
        <f t="shared" ref="AO73:AO104" si="73">SUM(Q73,T73,W73,AC73,AJ73,AI73,AG73,AN73, AH73)</f>
        <v>1.0219664071883949</v>
      </c>
      <c r="AP73">
        <f t="shared" ref="AP73:AP136" si="74">Vout*H73</f>
        <v>9.7919999999999998</v>
      </c>
      <c r="AQ73" s="10">
        <f t="shared" si="43"/>
        <v>0.90549569244925143</v>
      </c>
      <c r="AR73" s="63">
        <f t="shared" ref="AR73:AR109" si="75">ThetaJaTop*AC73</f>
        <v>9.7283685365996515</v>
      </c>
      <c r="AS73" s="63">
        <f t="shared" si="44"/>
        <v>2.4993826628465126</v>
      </c>
      <c r="AT73" s="10"/>
      <c r="AU73">
        <f t="shared" si="45"/>
        <v>90.549569244925138</v>
      </c>
      <c r="BE73" s="28"/>
      <c r="BF73" s="29"/>
    </row>
    <row r="74" spans="1:58" x14ac:dyDescent="0.25">
      <c r="A74" s="24" t="s">
        <v>206</v>
      </c>
      <c r="B74" s="25" t="s">
        <v>8</v>
      </c>
      <c r="C74" s="27" t="s">
        <v>148</v>
      </c>
      <c r="G74">
        <v>65</v>
      </c>
      <c r="H74">
        <f t="shared" si="55"/>
        <v>1.9500000000000002</v>
      </c>
      <c r="I74" s="407">
        <f t="shared" ref="I74:I109" si="76">(Vout+Rdcr*H74+RdsonBot*H74)/(Vin-RdsonTop*H74+RdsonBot*H74)</f>
        <v>0.21339375000000002</v>
      </c>
      <c r="J74" s="408">
        <f t="shared" si="56"/>
        <v>1.8167305743243243</v>
      </c>
      <c r="K74" s="408">
        <f t="shared" ref="K74:K137" si="77">H74+J74/2</f>
        <v>2.8583652871621625</v>
      </c>
      <c r="L74" s="408">
        <f t="shared" ref="L74:L109" si="78">H74-J74/2</f>
        <v>1.041634712837838</v>
      </c>
      <c r="M74" s="63">
        <f t="shared" si="57"/>
        <v>0</v>
      </c>
      <c r="N74" s="407">
        <f t="shared" si="58"/>
        <v>2.0192925737265184</v>
      </c>
      <c r="O74" s="407">
        <f t="shared" ref="O74:O109" si="79">(N74^2*Rdcr*(1+Ltc*Ta-Ltc*25))/(1-N74^2*Rdcr*Ltc*ThetaCa)</f>
        <v>2.0421019521518435E-2</v>
      </c>
      <c r="P74">
        <f t="shared" si="59"/>
        <v>0.2</v>
      </c>
      <c r="Q74" s="407">
        <f t="shared" ref="Q74:Q137" si="80">O74+P74</f>
        <v>0.22042101952151844</v>
      </c>
      <c r="R74" s="9">
        <f t="shared" si="39"/>
        <v>0.52444494306558609</v>
      </c>
      <c r="S74" s="9">
        <f t="shared" ref="S74:S109" si="81">RCoutEsr*R74^2</f>
        <v>2.7504249830706583E-3</v>
      </c>
      <c r="T74" s="9">
        <f t="shared" si="40"/>
        <v>2.7504249830706583E-3</v>
      </c>
      <c r="U74" s="407">
        <f t="shared" si="60"/>
        <v>0.93280334717351532</v>
      </c>
      <c r="V74" s="409">
        <f t="shared" ref="V74:V109" si="82">RCinEsr*U74^2</f>
        <v>1.7402441689962276E-3</v>
      </c>
      <c r="W74" s="407">
        <f t="shared" si="41"/>
        <v>1.7402441689962276E-3</v>
      </c>
      <c r="X74" s="407">
        <f t="shared" si="61"/>
        <v>0.93280334717351532</v>
      </c>
      <c r="Y74" s="407">
        <f t="shared" ref="Y74:Y109" si="83">RdsonTop*X74^2</f>
        <v>5.2207325069886824E-3</v>
      </c>
      <c r="Z74" s="407">
        <f t="shared" si="62"/>
        <v>4.5965053633168239E-2</v>
      </c>
      <c r="AA74" s="407">
        <f t="shared" si="63"/>
        <v>0.14400000000000002</v>
      </c>
      <c r="AB74" s="407">
        <f t="shared" si="64"/>
        <v>0</v>
      </c>
      <c r="AC74" s="407">
        <f t="shared" si="65"/>
        <v>0.19538980171802961</v>
      </c>
      <c r="AD74" s="407">
        <f t="shared" si="66"/>
        <v>1.790927249725391</v>
      </c>
      <c r="AE74" s="407">
        <f t="shared" ref="AE74:AE109" si="84">RdsonBot*AD74^2</f>
        <v>1.9244522482853719E-2</v>
      </c>
      <c r="AF74" s="407">
        <f t="shared" si="67"/>
        <v>3.159E-2</v>
      </c>
      <c r="AG74" s="407">
        <f t="shared" si="68"/>
        <v>5.1030935680659223E-2</v>
      </c>
      <c r="AH74" s="407">
        <f t="shared" si="69"/>
        <v>0</v>
      </c>
      <c r="AI74">
        <f t="shared" si="70"/>
        <v>0</v>
      </c>
      <c r="AJ74" s="408">
        <f t="shared" si="71"/>
        <v>0.45337886999999999</v>
      </c>
      <c r="AK74">
        <f t="shared" ref="AK74:AK137" si="85">Iq*Vin</f>
        <v>4.8000000000000001E-2</v>
      </c>
      <c r="AL74" s="408">
        <f t="shared" si="72"/>
        <v>5.1750000000000004E-2</v>
      </c>
      <c r="AM74" s="408">
        <f t="shared" ref="AM74:AM137" si="86">(Vin-Vdd)*Fsw*(QgTop+QgBot)+(RdsonDRT+RdsonDRT2)*Fsw*QgTop*Vdd/(RdsonDRT+2*RGateTop+RdsonDRT2)+(RdsonDRB+RdsonDRB2)*Fsw*QgBot*Vdd/(RdsonDRB+2*RGateBot+RdsonDRB2)</f>
        <v>0.13648893249607535</v>
      </c>
      <c r="AN74" s="408">
        <f t="shared" si="42"/>
        <v>9.9750000000000005E-2</v>
      </c>
      <c r="AO74" s="408">
        <f t="shared" si="73"/>
        <v>1.0244612960722741</v>
      </c>
      <c r="AP74">
        <f t="shared" si="74"/>
        <v>9.9450000000000003</v>
      </c>
      <c r="AQ74" s="10">
        <f t="shared" si="43"/>
        <v>0.90660787540778387</v>
      </c>
      <c r="AR74" s="63">
        <f t="shared" si="75"/>
        <v>9.7694900859014808</v>
      </c>
      <c r="AS74" s="63">
        <f t="shared" si="44"/>
        <v>2.5515467840329613</v>
      </c>
      <c r="AT74" s="10"/>
      <c r="AU74">
        <f t="shared" si="45"/>
        <v>90.660787540778387</v>
      </c>
      <c r="BE74" s="28"/>
      <c r="BF74" s="29"/>
    </row>
    <row r="75" spans="1:58" x14ac:dyDescent="0.25">
      <c r="A75" s="44" t="s">
        <v>207</v>
      </c>
      <c r="B75" s="121">
        <f>AN9</f>
        <v>9.9750000000000005E-2</v>
      </c>
      <c r="C75" s="122" t="s">
        <v>208</v>
      </c>
      <c r="G75">
        <v>66</v>
      </c>
      <c r="H75">
        <f t="shared" si="55"/>
        <v>1.98</v>
      </c>
      <c r="I75" s="407">
        <f t="shared" si="76"/>
        <v>0.21340749999999997</v>
      </c>
      <c r="J75" s="408">
        <f t="shared" si="56"/>
        <v>1.8168476351351348</v>
      </c>
      <c r="K75" s="408">
        <f t="shared" si="77"/>
        <v>2.8884238175675674</v>
      </c>
      <c r="L75" s="408">
        <f t="shared" si="78"/>
        <v>1.0715761824324326</v>
      </c>
      <c r="M75" s="63">
        <f t="shared" si="57"/>
        <v>0</v>
      </c>
      <c r="N75" s="407">
        <f t="shared" si="58"/>
        <v>2.0482865873964049</v>
      </c>
      <c r="O75" s="407">
        <f t="shared" si="79"/>
        <v>2.1012652969372131E-2</v>
      </c>
      <c r="P75">
        <f t="shared" si="59"/>
        <v>0.2</v>
      </c>
      <c r="Q75" s="407">
        <f t="shared" si="80"/>
        <v>0.22101265296937214</v>
      </c>
      <c r="R75" s="9">
        <f t="shared" ref="R75:R109" si="87">J75/(2*SQRT(3))</f>
        <v>0.52447873561090252</v>
      </c>
      <c r="S75" s="9">
        <f t="shared" si="81"/>
        <v>2.75077944108011E-3</v>
      </c>
      <c r="T75" s="9">
        <f t="shared" ref="T75:T109" si="88">S75</f>
        <v>2.75077944108011E-3</v>
      </c>
      <c r="U75" s="407">
        <f t="shared" si="60"/>
        <v>0.9462274881640409</v>
      </c>
      <c r="V75" s="409">
        <f t="shared" si="82"/>
        <v>1.7906929187144602E-3</v>
      </c>
      <c r="W75" s="407">
        <f t="shared" ref="W75:W109" si="89">V75</f>
        <v>1.7906929187144602E-3</v>
      </c>
      <c r="X75" s="407">
        <f t="shared" si="61"/>
        <v>0.9462274881640409</v>
      </c>
      <c r="Y75" s="407">
        <f t="shared" si="83"/>
        <v>5.3720787561433812E-3</v>
      </c>
      <c r="Z75" s="407">
        <f t="shared" si="62"/>
        <v>4.6631804623133745E-2</v>
      </c>
      <c r="AA75" s="407">
        <f t="shared" si="63"/>
        <v>0.14400000000000002</v>
      </c>
      <c r="AB75" s="407">
        <f t="shared" si="64"/>
        <v>0</v>
      </c>
      <c r="AC75" s="407">
        <f t="shared" si="65"/>
        <v>0.19621469954308882</v>
      </c>
      <c r="AD75" s="407">
        <f t="shared" si="66"/>
        <v>1.8166264020845837</v>
      </c>
      <c r="AE75" s="407">
        <f t="shared" si="84"/>
        <v>1.9800788908504677E-2</v>
      </c>
      <c r="AF75" s="407">
        <f t="shared" si="67"/>
        <v>3.2076E-2</v>
      </c>
      <c r="AG75" s="407">
        <f t="shared" si="68"/>
        <v>5.2083045988370213E-2</v>
      </c>
      <c r="AH75" s="407">
        <f t="shared" si="69"/>
        <v>0</v>
      </c>
      <c r="AI75">
        <f t="shared" si="70"/>
        <v>0</v>
      </c>
      <c r="AJ75" s="408">
        <f t="shared" si="71"/>
        <v>0.45337546799999995</v>
      </c>
      <c r="AK75">
        <f t="shared" si="85"/>
        <v>4.8000000000000001E-2</v>
      </c>
      <c r="AL75" s="408">
        <f t="shared" si="72"/>
        <v>5.1750000000000004E-2</v>
      </c>
      <c r="AM75" s="408">
        <f t="shared" si="86"/>
        <v>0.13648893249607535</v>
      </c>
      <c r="AN75" s="408">
        <f t="shared" ref="AN75:AN109" si="90">SUM(AK75:AL75)</f>
        <v>9.9750000000000005E-2</v>
      </c>
      <c r="AO75" s="408">
        <f t="shared" si="73"/>
        <v>1.0269773388606258</v>
      </c>
      <c r="AP75">
        <f t="shared" si="74"/>
        <v>10.097999999999999</v>
      </c>
      <c r="AQ75" s="10">
        <f t="shared" ref="AQ75:AQ109" si="91">AP75/(AP75+AO75)</f>
        <v>0.90768724217771712</v>
      </c>
      <c r="AR75" s="63">
        <f t="shared" si="75"/>
        <v>9.810734977154441</v>
      </c>
      <c r="AS75" s="63">
        <f t="shared" ref="AS75:AS109" si="92">AG75*ThetaJaBot</f>
        <v>2.6041522994185105</v>
      </c>
      <c r="AT75" s="10"/>
      <c r="AU75">
        <f t="shared" ref="AU75:AU109" si="93">AQ75*100</f>
        <v>90.768724217771705</v>
      </c>
      <c r="BE75" s="28"/>
      <c r="BF75" s="29"/>
    </row>
    <row r="76" spans="1:58" x14ac:dyDescent="0.25">
      <c r="A76" s="44" t="s">
        <v>211</v>
      </c>
      <c r="B76" s="120">
        <f>B75*B62</f>
        <v>1.9950000000000001</v>
      </c>
      <c r="C76" s="417" t="s">
        <v>442</v>
      </c>
      <c r="G76">
        <v>67</v>
      </c>
      <c r="H76">
        <f t="shared" si="55"/>
        <v>2.0100000000000002</v>
      </c>
      <c r="I76" s="407">
        <f t="shared" si="76"/>
        <v>0.21342124999999998</v>
      </c>
      <c r="J76" s="408">
        <f t="shared" si="56"/>
        <v>1.8169646959459456</v>
      </c>
      <c r="K76" s="408">
        <f t="shared" si="77"/>
        <v>2.9184823479729731</v>
      </c>
      <c r="L76" s="408">
        <f t="shared" si="78"/>
        <v>1.1015176520270273</v>
      </c>
      <c r="M76" s="63">
        <f t="shared" si="57"/>
        <v>0</v>
      </c>
      <c r="N76" s="407">
        <f t="shared" si="58"/>
        <v>2.0773091710654987</v>
      </c>
      <c r="O76" s="407">
        <f t="shared" si="79"/>
        <v>2.1613373488455285E-2</v>
      </c>
      <c r="P76">
        <f t="shared" si="59"/>
        <v>0.2</v>
      </c>
      <c r="Q76" s="407">
        <f t="shared" si="80"/>
        <v>0.22161337348845531</v>
      </c>
      <c r="R76" s="9">
        <f t="shared" si="87"/>
        <v>0.52451252815621918</v>
      </c>
      <c r="S76" s="9">
        <f t="shared" si="81"/>
        <v>2.7511339219282861E-3</v>
      </c>
      <c r="T76" s="9">
        <f t="shared" si="88"/>
        <v>2.7511339219282861E-3</v>
      </c>
      <c r="U76" s="407">
        <f t="shared" si="60"/>
        <v>0.95966568979959566</v>
      </c>
      <c r="V76" s="409">
        <f t="shared" si="82"/>
        <v>1.8419164723570676E-3</v>
      </c>
      <c r="W76" s="407">
        <f t="shared" si="89"/>
        <v>1.8419164723570676E-3</v>
      </c>
      <c r="X76" s="407">
        <f t="shared" si="61"/>
        <v>0.95966568979959566</v>
      </c>
      <c r="Y76" s="407">
        <f t="shared" si="83"/>
        <v>5.525749417071203E-3</v>
      </c>
      <c r="Z76" s="407">
        <f t="shared" si="62"/>
        <v>4.7298555613099265E-2</v>
      </c>
      <c r="AA76" s="407">
        <f t="shared" si="63"/>
        <v>0.14400000000000002</v>
      </c>
      <c r="AB76" s="407">
        <f t="shared" si="64"/>
        <v>0</v>
      </c>
      <c r="AC76" s="407">
        <f t="shared" si="65"/>
        <v>0.19704206604648947</v>
      </c>
      <c r="AD76" s="407">
        <f t="shared" si="66"/>
        <v>1.8423504433234996</v>
      </c>
      <c r="AE76" s="407">
        <f t="shared" si="84"/>
        <v>2.0365530936085775E-2</v>
      </c>
      <c r="AF76" s="407">
        <f t="shared" si="67"/>
        <v>3.2562000000000001E-2</v>
      </c>
      <c r="AG76" s="407">
        <f t="shared" si="68"/>
        <v>5.3143992058954523E-2</v>
      </c>
      <c r="AH76" s="407">
        <f t="shared" si="69"/>
        <v>0</v>
      </c>
      <c r="AI76">
        <f t="shared" si="70"/>
        <v>0</v>
      </c>
      <c r="AJ76" s="408">
        <f t="shared" si="71"/>
        <v>0.45337206599999996</v>
      </c>
      <c r="AK76">
        <f t="shared" si="85"/>
        <v>4.8000000000000001E-2</v>
      </c>
      <c r="AL76" s="408">
        <f t="shared" si="72"/>
        <v>5.1750000000000004E-2</v>
      </c>
      <c r="AM76" s="408">
        <f t="shared" si="86"/>
        <v>0.13648893249607535</v>
      </c>
      <c r="AN76" s="408">
        <f t="shared" si="90"/>
        <v>9.9750000000000005E-2</v>
      </c>
      <c r="AO76" s="408">
        <f t="shared" si="73"/>
        <v>1.0295145479881846</v>
      </c>
      <c r="AP76">
        <f t="shared" si="74"/>
        <v>10.251000000000001</v>
      </c>
      <c r="AQ76" s="10">
        <f t="shared" si="91"/>
        <v>0.90873514292202273</v>
      </c>
      <c r="AR76" s="63">
        <f t="shared" si="75"/>
        <v>9.8521033023244726</v>
      </c>
      <c r="AS76" s="63">
        <f t="shared" si="92"/>
        <v>2.6571996029477263</v>
      </c>
      <c r="AT76" s="10"/>
      <c r="AU76">
        <f t="shared" si="93"/>
        <v>90.873514292202273</v>
      </c>
      <c r="BE76" s="28"/>
      <c r="BF76" s="29"/>
    </row>
    <row r="77" spans="1:58" x14ac:dyDescent="0.25">
      <c r="A77" s="44" t="s">
        <v>388</v>
      </c>
      <c r="B77" s="120">
        <f>(QgBot+QgTop)*Fsw+Iq</f>
        <v>8.8999999999999999E-3</v>
      </c>
      <c r="C77" s="31" t="s">
        <v>2</v>
      </c>
      <c r="G77">
        <v>68</v>
      </c>
      <c r="H77">
        <f t="shared" si="55"/>
        <v>2.04</v>
      </c>
      <c r="I77" s="407">
        <f t="shared" si="76"/>
        <v>0.21343500000000001</v>
      </c>
      <c r="J77" s="408">
        <f t="shared" si="56"/>
        <v>1.8170817567567565</v>
      </c>
      <c r="K77" s="408">
        <f t="shared" si="77"/>
        <v>2.9485408783783784</v>
      </c>
      <c r="L77" s="408">
        <f t="shared" si="78"/>
        <v>1.1314591216216217</v>
      </c>
      <c r="M77" s="63">
        <f t="shared" si="57"/>
        <v>0</v>
      </c>
      <c r="N77" s="407">
        <f t="shared" si="58"/>
        <v>2.1063591437742799</v>
      </c>
      <c r="O77" s="407">
        <f t="shared" si="79"/>
        <v>2.2223183686607421E-2</v>
      </c>
      <c r="P77">
        <f t="shared" si="59"/>
        <v>0.2</v>
      </c>
      <c r="Q77" s="407">
        <f t="shared" si="80"/>
        <v>0.22222318368660743</v>
      </c>
      <c r="R77" s="9">
        <f t="shared" si="87"/>
        <v>0.52454632070153573</v>
      </c>
      <c r="S77" s="9">
        <f t="shared" si="81"/>
        <v>2.751488425615184E-3</v>
      </c>
      <c r="T77" s="9">
        <f t="shared" si="88"/>
        <v>2.751488425615184E-3</v>
      </c>
      <c r="U77" s="407">
        <f t="shared" si="60"/>
        <v>0.97311740772227351</v>
      </c>
      <c r="V77" s="409">
        <f t="shared" si="82"/>
        <v>1.8939149784242351E-3</v>
      </c>
      <c r="W77" s="407">
        <f t="shared" si="89"/>
        <v>1.8939149784242351E-3</v>
      </c>
      <c r="X77" s="407">
        <f t="shared" si="61"/>
        <v>0.97311740772227351</v>
      </c>
      <c r="Y77" s="407">
        <f t="shared" si="83"/>
        <v>5.6817449352727055E-3</v>
      </c>
      <c r="Z77" s="407">
        <f t="shared" si="62"/>
        <v>4.7965306603064778E-2</v>
      </c>
      <c r="AA77" s="407">
        <f t="shared" si="63"/>
        <v>0.14400000000000002</v>
      </c>
      <c r="AB77" s="407">
        <f t="shared" si="64"/>
        <v>0</v>
      </c>
      <c r="AC77" s="407">
        <f t="shared" si="65"/>
        <v>0.19787190307496327</v>
      </c>
      <c r="AD77" s="407">
        <f t="shared" si="66"/>
        <v>1.8680983253965515</v>
      </c>
      <c r="AE77" s="407">
        <f t="shared" si="84"/>
        <v>2.0938748120096402E-2</v>
      </c>
      <c r="AF77" s="407">
        <f t="shared" si="67"/>
        <v>3.3048000000000001E-2</v>
      </c>
      <c r="AG77" s="407">
        <f t="shared" si="68"/>
        <v>5.4213781864717037E-2</v>
      </c>
      <c r="AH77" s="407">
        <f t="shared" si="69"/>
        <v>0</v>
      </c>
      <c r="AI77">
        <f t="shared" si="70"/>
        <v>0</v>
      </c>
      <c r="AJ77" s="408">
        <f t="shared" si="71"/>
        <v>0.45336866400000003</v>
      </c>
      <c r="AK77">
        <f t="shared" si="85"/>
        <v>4.8000000000000001E-2</v>
      </c>
      <c r="AL77" s="408">
        <f t="shared" si="72"/>
        <v>5.1750000000000004E-2</v>
      </c>
      <c r="AM77" s="408">
        <f t="shared" si="86"/>
        <v>0.13648893249607535</v>
      </c>
      <c r="AN77" s="408">
        <f t="shared" si="90"/>
        <v>9.9750000000000005E-2</v>
      </c>
      <c r="AO77" s="408">
        <f t="shared" si="73"/>
        <v>1.0320729360303271</v>
      </c>
      <c r="AP77">
        <f t="shared" si="74"/>
        <v>10.404</v>
      </c>
      <c r="AQ77" s="10">
        <f t="shared" si="91"/>
        <v>0.90975285469029388</v>
      </c>
      <c r="AR77" s="63">
        <f t="shared" si="75"/>
        <v>9.8935951537481639</v>
      </c>
      <c r="AS77" s="63">
        <f t="shared" si="92"/>
        <v>2.7106890932358518</v>
      </c>
      <c r="AT77" s="10"/>
      <c r="AU77">
        <f t="shared" si="93"/>
        <v>90.975285469029387</v>
      </c>
      <c r="BE77" s="28"/>
      <c r="BF77" s="29"/>
    </row>
    <row r="78" spans="1:58" x14ac:dyDescent="0.25">
      <c r="A78" s="44" t="s">
        <v>389</v>
      </c>
      <c r="B78" s="119">
        <f>QrrBot*Fsw</f>
        <v>1.89E-2</v>
      </c>
      <c r="C78" s="31" t="s">
        <v>2</v>
      </c>
      <c r="G78">
        <v>69</v>
      </c>
      <c r="H78">
        <f t="shared" si="55"/>
        <v>2.0699999999999998</v>
      </c>
      <c r="I78" s="407">
        <f t="shared" si="76"/>
        <v>0.21344874999999996</v>
      </c>
      <c r="J78" s="408">
        <f t="shared" si="56"/>
        <v>1.8171988175675671</v>
      </c>
      <c r="K78" s="408">
        <f t="shared" si="77"/>
        <v>2.9785994087837833</v>
      </c>
      <c r="L78" s="408">
        <f t="shared" si="78"/>
        <v>1.1614005912162164</v>
      </c>
      <c r="M78" s="63">
        <f t="shared" si="57"/>
        <v>0</v>
      </c>
      <c r="N78" s="407">
        <f t="shared" si="58"/>
        <v>2.1354353877404204</v>
      </c>
      <c r="O78" s="407">
        <f t="shared" si="79"/>
        <v>2.2842086211511615E-2</v>
      </c>
      <c r="P78">
        <f t="shared" si="59"/>
        <v>0.2</v>
      </c>
      <c r="Q78" s="407">
        <f t="shared" si="80"/>
        <v>0.22284208621151164</v>
      </c>
      <c r="R78" s="9">
        <f t="shared" si="87"/>
        <v>0.52458011324685228</v>
      </c>
      <c r="S78" s="9">
        <f t="shared" si="81"/>
        <v>2.7518429521408033E-3</v>
      </c>
      <c r="T78" s="9">
        <f t="shared" si="88"/>
        <v>2.7518429521408033E-3</v>
      </c>
      <c r="U78" s="407">
        <f t="shared" si="60"/>
        <v>0.98658212669198309</v>
      </c>
      <c r="V78" s="409">
        <f t="shared" si="82"/>
        <v>1.9466885854161524E-3</v>
      </c>
      <c r="W78" s="407">
        <f t="shared" si="89"/>
        <v>1.9466885854161524E-3</v>
      </c>
      <c r="X78" s="407">
        <f t="shared" si="61"/>
        <v>0.98658212669198309</v>
      </c>
      <c r="Y78" s="407">
        <f t="shared" si="83"/>
        <v>5.8400657562484573E-3</v>
      </c>
      <c r="Z78" s="407">
        <f t="shared" si="62"/>
        <v>4.8632057593030284E-2</v>
      </c>
      <c r="AA78" s="407">
        <f t="shared" si="63"/>
        <v>0.14400000000000002</v>
      </c>
      <c r="AB78" s="407">
        <f t="shared" si="64"/>
        <v>0</v>
      </c>
      <c r="AC78" s="407">
        <f t="shared" si="65"/>
        <v>0.19870421248266723</v>
      </c>
      <c r="AD78" s="407">
        <f t="shared" si="66"/>
        <v>1.8938690563251737</v>
      </c>
      <c r="AE78" s="407">
        <f t="shared" si="84"/>
        <v>2.1520440015036023E-2</v>
      </c>
      <c r="AF78" s="407">
        <f t="shared" si="67"/>
        <v>3.3533999999999994E-2</v>
      </c>
      <c r="AG78" s="407">
        <f t="shared" si="68"/>
        <v>5.5292423471557141E-2</v>
      </c>
      <c r="AH78" s="407">
        <f t="shared" si="69"/>
        <v>0</v>
      </c>
      <c r="AI78">
        <f t="shared" si="70"/>
        <v>0</v>
      </c>
      <c r="AJ78" s="408">
        <f t="shared" si="71"/>
        <v>0.45336526200000005</v>
      </c>
      <c r="AK78">
        <f t="shared" si="85"/>
        <v>4.8000000000000001E-2</v>
      </c>
      <c r="AL78" s="408">
        <f t="shared" si="72"/>
        <v>5.1750000000000004E-2</v>
      </c>
      <c r="AM78" s="408">
        <f t="shared" si="86"/>
        <v>0.13648893249607535</v>
      </c>
      <c r="AN78" s="408">
        <f t="shared" si="90"/>
        <v>9.9750000000000005E-2</v>
      </c>
      <c r="AO78" s="408">
        <f t="shared" si="73"/>
        <v>1.0346525157032931</v>
      </c>
      <c r="AP78">
        <f t="shared" si="74"/>
        <v>10.556999999999999</v>
      </c>
      <c r="AQ78" s="10">
        <f t="shared" si="91"/>
        <v>0.91074158630086244</v>
      </c>
      <c r="AR78" s="63">
        <f t="shared" si="75"/>
        <v>9.9352106241333615</v>
      </c>
      <c r="AS78" s="63">
        <f t="shared" si="92"/>
        <v>2.764621173577857</v>
      </c>
      <c r="AT78" s="10"/>
      <c r="AU78">
        <f t="shared" si="93"/>
        <v>91.074158630086245</v>
      </c>
      <c r="BE78" s="28"/>
      <c r="BF78" s="29"/>
    </row>
    <row r="79" spans="1:58" x14ac:dyDescent="0.25">
      <c r="A79" s="44" t="s">
        <v>390</v>
      </c>
      <c r="B79" s="476">
        <f>C79/Vin</f>
        <v>2.5057734375000002E-4</v>
      </c>
      <c r="C79" s="475">
        <f>Deadtime*Fsw*(Ipp/2)*(VsdTop+VsdBot)</f>
        <v>6.0138562500000005E-3</v>
      </c>
      <c r="G79">
        <v>70</v>
      </c>
      <c r="H79">
        <f t="shared" si="55"/>
        <v>2.0999999999999996</v>
      </c>
      <c r="I79" s="407">
        <f t="shared" si="76"/>
        <v>0.2134625</v>
      </c>
      <c r="J79" s="408">
        <f t="shared" si="56"/>
        <v>1.817315878378378</v>
      </c>
      <c r="K79" s="408">
        <f t="shared" si="77"/>
        <v>3.0086579391891886</v>
      </c>
      <c r="L79" s="408">
        <f t="shared" si="78"/>
        <v>1.1913420608108107</v>
      </c>
      <c r="M79" s="63">
        <f t="shared" si="57"/>
        <v>0</v>
      </c>
      <c r="N79" s="407">
        <f t="shared" si="58"/>
        <v>2.1645368442580306</v>
      </c>
      <c r="O79" s="407">
        <f t="shared" si="79"/>
        <v>2.3470083750723198E-2</v>
      </c>
      <c r="P79">
        <f t="shared" si="59"/>
        <v>0.2</v>
      </c>
      <c r="Q79" s="407">
        <f t="shared" si="80"/>
        <v>0.22347008375072322</v>
      </c>
      <c r="R79" s="9">
        <f t="shared" si="87"/>
        <v>0.52461390579216893</v>
      </c>
      <c r="S79" s="9">
        <f t="shared" si="81"/>
        <v>2.7521975015051469E-3</v>
      </c>
      <c r="T79" s="9">
        <f t="shared" si="88"/>
        <v>2.7521975015051469E-3</v>
      </c>
      <c r="U79" s="407">
        <f t="shared" si="60"/>
        <v>1.0000593586965247</v>
      </c>
      <c r="V79" s="409">
        <f t="shared" si="82"/>
        <v>2.0002374418330087E-3</v>
      </c>
      <c r="W79" s="407">
        <f t="shared" si="89"/>
        <v>2.0002374418330087E-3</v>
      </c>
      <c r="X79" s="407">
        <f t="shared" si="61"/>
        <v>1.0000593586965247</v>
      </c>
      <c r="Y79" s="407">
        <f t="shared" si="83"/>
        <v>6.0007123254990262E-3</v>
      </c>
      <c r="Z79" s="407">
        <f t="shared" si="62"/>
        <v>4.9298808582995797E-2</v>
      </c>
      <c r="AA79" s="407">
        <f t="shared" si="63"/>
        <v>0.14400000000000002</v>
      </c>
      <c r="AB79" s="407">
        <f t="shared" si="64"/>
        <v>0</v>
      </c>
      <c r="AC79" s="407">
        <f t="shared" si="65"/>
        <v>0.19953899613119527</v>
      </c>
      <c r="AD79" s="407">
        <f t="shared" si="66"/>
        <v>1.9196616965585396</v>
      </c>
      <c r="AE79" s="407">
        <f t="shared" si="84"/>
        <v>2.2110606175404061E-2</v>
      </c>
      <c r="AF79" s="407">
        <f t="shared" si="67"/>
        <v>3.4019999999999995E-2</v>
      </c>
      <c r="AG79" s="407">
        <f t="shared" si="68"/>
        <v>5.637992503915195E-2</v>
      </c>
      <c r="AH79" s="407">
        <f t="shared" si="69"/>
        <v>0</v>
      </c>
      <c r="AI79">
        <f t="shared" si="70"/>
        <v>0</v>
      </c>
      <c r="AJ79" s="408">
        <f t="shared" si="71"/>
        <v>0.45336186000000001</v>
      </c>
      <c r="AK79">
        <f t="shared" si="85"/>
        <v>4.8000000000000001E-2</v>
      </c>
      <c r="AL79" s="408">
        <f t="shared" si="72"/>
        <v>5.1750000000000004E-2</v>
      </c>
      <c r="AM79" s="408">
        <f t="shared" si="86"/>
        <v>0.13648893249607535</v>
      </c>
      <c r="AN79" s="408">
        <f t="shared" si="90"/>
        <v>9.9750000000000005E-2</v>
      </c>
      <c r="AO79" s="408">
        <f t="shared" si="73"/>
        <v>1.0372532998644086</v>
      </c>
      <c r="AP79">
        <f t="shared" si="74"/>
        <v>10.709999999999997</v>
      </c>
      <c r="AQ79" s="10">
        <f t="shared" si="91"/>
        <v>0.91170248283687039</v>
      </c>
      <c r="AR79" s="63">
        <f t="shared" si="75"/>
        <v>9.9769498065597642</v>
      </c>
      <c r="AS79" s="63">
        <f t="shared" si="92"/>
        <v>2.8189962519575973</v>
      </c>
      <c r="AT79" s="10"/>
      <c r="AU79">
        <f t="shared" si="93"/>
        <v>91.170248283687044</v>
      </c>
      <c r="BE79" s="28"/>
      <c r="BF79" s="29"/>
    </row>
    <row r="80" spans="1:58" x14ac:dyDescent="0.25">
      <c r="A80" s="44" t="s">
        <v>92</v>
      </c>
      <c r="B80" s="476">
        <f>SUM(B77:B79)</f>
        <v>2.8050577343749997E-2</v>
      </c>
      <c r="C80" s="31" t="s">
        <v>2</v>
      </c>
      <c r="G80">
        <v>71</v>
      </c>
      <c r="H80">
        <f t="shared" si="55"/>
        <v>2.13</v>
      </c>
      <c r="I80" s="407">
        <f t="shared" si="76"/>
        <v>0.21347625000000001</v>
      </c>
      <c r="J80" s="408">
        <f t="shared" si="56"/>
        <v>1.817432939189189</v>
      </c>
      <c r="K80" s="408">
        <f t="shared" si="77"/>
        <v>3.0387164695945943</v>
      </c>
      <c r="L80" s="408">
        <f t="shared" si="78"/>
        <v>1.2212835304054055</v>
      </c>
      <c r="M80" s="63">
        <f t="shared" si="57"/>
        <v>0</v>
      </c>
      <c r="N80" s="407">
        <f t="shared" si="58"/>
        <v>2.1936625099068499</v>
      </c>
      <c r="O80" s="407">
        <f t="shared" si="79"/>
        <v>2.4107179031699063E-2</v>
      </c>
      <c r="P80">
        <f t="shared" si="59"/>
        <v>0.2</v>
      </c>
      <c r="Q80" s="407">
        <f t="shared" si="80"/>
        <v>0.22410717903169908</v>
      </c>
      <c r="R80" s="9">
        <f t="shared" si="87"/>
        <v>0.52464769833748559</v>
      </c>
      <c r="S80" s="9">
        <f t="shared" si="81"/>
        <v>2.7525520737082128E-3</v>
      </c>
      <c r="T80" s="9">
        <f t="shared" si="88"/>
        <v>2.7525520737082128E-3</v>
      </c>
      <c r="U80" s="407">
        <f t="shared" si="60"/>
        <v>1.0135486412045034</v>
      </c>
      <c r="V80" s="409">
        <f t="shared" si="82"/>
        <v>2.0545616961749904E-3</v>
      </c>
      <c r="W80" s="407">
        <f t="shared" si="89"/>
        <v>2.0545616961749904E-3</v>
      </c>
      <c r="X80" s="407">
        <f t="shared" si="61"/>
        <v>1.0135486412045034</v>
      </c>
      <c r="Y80" s="407">
        <f t="shared" si="83"/>
        <v>6.1636850885249707E-3</v>
      </c>
      <c r="Z80" s="407">
        <f t="shared" si="62"/>
        <v>4.9965559572961317E-2</v>
      </c>
      <c r="AA80" s="407">
        <f t="shared" si="63"/>
        <v>0.14400000000000002</v>
      </c>
      <c r="AB80" s="407">
        <f t="shared" si="64"/>
        <v>0</v>
      </c>
      <c r="AC80" s="407">
        <f t="shared" si="65"/>
        <v>0.20037625588959052</v>
      </c>
      <c r="AD80" s="407">
        <f t="shared" si="66"/>
        <v>1.9454753556093496</v>
      </c>
      <c r="AE80" s="407">
        <f t="shared" si="84"/>
        <v>2.2709246155699952E-2</v>
      </c>
      <c r="AF80" s="407">
        <f t="shared" si="67"/>
        <v>3.4505999999999995E-2</v>
      </c>
      <c r="AG80" s="407">
        <f t="shared" si="68"/>
        <v>5.7476294821142131E-2</v>
      </c>
      <c r="AH80" s="407">
        <f t="shared" si="69"/>
        <v>0</v>
      </c>
      <c r="AI80">
        <f t="shared" si="70"/>
        <v>0</v>
      </c>
      <c r="AJ80" s="408">
        <f t="shared" si="71"/>
        <v>0.45335845800000002</v>
      </c>
      <c r="AK80">
        <f t="shared" si="85"/>
        <v>4.8000000000000001E-2</v>
      </c>
      <c r="AL80" s="408">
        <f t="shared" si="72"/>
        <v>5.1750000000000004E-2</v>
      </c>
      <c r="AM80" s="408">
        <f t="shared" si="86"/>
        <v>0.13648893249607535</v>
      </c>
      <c r="AN80" s="408">
        <f t="shared" si="90"/>
        <v>9.9750000000000005E-2</v>
      </c>
      <c r="AO80" s="408">
        <f t="shared" si="73"/>
        <v>1.039875301512315</v>
      </c>
      <c r="AP80">
        <f t="shared" si="74"/>
        <v>10.863</v>
      </c>
      <c r="AQ80" s="10">
        <f t="shared" si="91"/>
        <v>0.91263662979144267</v>
      </c>
      <c r="AR80" s="63">
        <f t="shared" si="75"/>
        <v>10.018812794479526</v>
      </c>
      <c r="AS80" s="63">
        <f t="shared" si="92"/>
        <v>2.8738147410571067</v>
      </c>
      <c r="AT80" s="10"/>
      <c r="AU80">
        <f t="shared" si="93"/>
        <v>91.263662979144272</v>
      </c>
      <c r="BE80" s="28"/>
      <c r="BF80" s="29"/>
    </row>
    <row r="81" spans="1:58" x14ac:dyDescent="0.25">
      <c r="A81" s="2"/>
      <c r="G81">
        <v>72</v>
      </c>
      <c r="H81">
        <f t="shared" si="55"/>
        <v>2.16</v>
      </c>
      <c r="I81" s="407">
        <f t="shared" si="76"/>
        <v>0.21348999999999996</v>
      </c>
      <c r="J81" s="408">
        <f t="shared" si="56"/>
        <v>1.8175499999999996</v>
      </c>
      <c r="K81" s="408">
        <f t="shared" si="77"/>
        <v>3.068775</v>
      </c>
      <c r="L81" s="408">
        <f t="shared" si="78"/>
        <v>1.2512250000000003</v>
      </c>
      <c r="M81" s="63">
        <f t="shared" si="57"/>
        <v>0</v>
      </c>
      <c r="N81" s="407">
        <f t="shared" si="58"/>
        <v>2.2228114330448725</v>
      </c>
      <c r="O81" s="407">
        <f t="shared" si="79"/>
        <v>2.475337482182733E-2</v>
      </c>
      <c r="P81">
        <f t="shared" si="59"/>
        <v>0.2</v>
      </c>
      <c r="Q81" s="407">
        <f t="shared" si="80"/>
        <v>0.22475337482182733</v>
      </c>
      <c r="R81" s="9">
        <f t="shared" si="87"/>
        <v>0.52468149088280203</v>
      </c>
      <c r="S81" s="9">
        <f t="shared" si="81"/>
        <v>2.7529066687499988E-3</v>
      </c>
      <c r="T81" s="9">
        <f t="shared" si="88"/>
        <v>2.7529066687499988E-3</v>
      </c>
      <c r="U81" s="407">
        <f t="shared" si="60"/>
        <v>1.0270495355488671</v>
      </c>
      <c r="V81" s="409">
        <f t="shared" si="82"/>
        <v>2.1096614969422873E-3</v>
      </c>
      <c r="W81" s="407">
        <f t="shared" si="89"/>
        <v>2.1096614969422873E-3</v>
      </c>
      <c r="X81" s="407">
        <f t="shared" si="61"/>
        <v>1.0270495355488671</v>
      </c>
      <c r="Y81" s="407">
        <f t="shared" si="83"/>
        <v>6.328984490826862E-3</v>
      </c>
      <c r="Z81" s="407">
        <f t="shared" si="62"/>
        <v>5.063231056292683E-2</v>
      </c>
      <c r="AA81" s="407">
        <f t="shared" si="63"/>
        <v>0.14400000000000002</v>
      </c>
      <c r="AB81" s="407">
        <f t="shared" si="64"/>
        <v>0</v>
      </c>
      <c r="AC81" s="407">
        <f t="shared" si="65"/>
        <v>0.20121599363435735</v>
      </c>
      <c r="AD81" s="407">
        <f t="shared" si="66"/>
        <v>1.9713091889411607</v>
      </c>
      <c r="AE81" s="407">
        <f t="shared" si="84"/>
        <v>2.3316359510423143E-2</v>
      </c>
      <c r="AF81" s="407">
        <f t="shared" si="67"/>
        <v>3.4992000000000002E-2</v>
      </c>
      <c r="AG81" s="407">
        <f t="shared" si="68"/>
        <v>5.8581541165320196E-2</v>
      </c>
      <c r="AH81" s="407">
        <f t="shared" si="69"/>
        <v>0</v>
      </c>
      <c r="AI81">
        <f t="shared" si="70"/>
        <v>0</v>
      </c>
      <c r="AJ81" s="408">
        <f t="shared" si="71"/>
        <v>0.45335505600000003</v>
      </c>
      <c r="AK81">
        <f t="shared" si="85"/>
        <v>4.8000000000000001E-2</v>
      </c>
      <c r="AL81" s="408">
        <f t="shared" si="72"/>
        <v>5.1750000000000004E-2</v>
      </c>
      <c r="AM81" s="408">
        <f t="shared" si="86"/>
        <v>0.13648893249607535</v>
      </c>
      <c r="AN81" s="408">
        <f t="shared" si="90"/>
        <v>9.9750000000000005E-2</v>
      </c>
      <c r="AO81" s="408">
        <f t="shared" si="73"/>
        <v>1.0425185337871974</v>
      </c>
      <c r="AP81">
        <f t="shared" si="74"/>
        <v>11.016</v>
      </c>
      <c r="AQ81" s="10">
        <f t="shared" si="91"/>
        <v>0.91354505689350418</v>
      </c>
      <c r="AR81" s="63">
        <f t="shared" si="75"/>
        <v>10.060799681717867</v>
      </c>
      <c r="AS81" s="63">
        <f t="shared" si="92"/>
        <v>2.9290770582660097</v>
      </c>
      <c r="AT81" s="10"/>
      <c r="AU81">
        <f t="shared" si="93"/>
        <v>91.354505689350418</v>
      </c>
      <c r="BE81" s="28"/>
      <c r="BF81" s="29"/>
    </row>
    <row r="82" spans="1:58" x14ac:dyDescent="0.25">
      <c r="A82" s="2"/>
      <c r="G82">
        <v>73</v>
      </c>
      <c r="H82">
        <f t="shared" si="55"/>
        <v>2.19</v>
      </c>
      <c r="I82" s="407">
        <f t="shared" si="76"/>
        <v>0.21350374999999999</v>
      </c>
      <c r="J82" s="408">
        <f t="shared" si="56"/>
        <v>1.8176670608108103</v>
      </c>
      <c r="K82" s="408">
        <f t="shared" si="77"/>
        <v>3.0988335304054049</v>
      </c>
      <c r="L82" s="408">
        <f t="shared" si="78"/>
        <v>1.2811664695945948</v>
      </c>
      <c r="M82" s="63">
        <f t="shared" si="57"/>
        <v>0</v>
      </c>
      <c r="N82" s="407">
        <f t="shared" si="58"/>
        <v>2.2519827105604189</v>
      </c>
      <c r="O82" s="407">
        <f t="shared" si="79"/>
        <v>2.5408673928457439E-2</v>
      </c>
      <c r="P82">
        <f t="shared" si="59"/>
        <v>0.2</v>
      </c>
      <c r="Q82" s="407">
        <f t="shared" si="80"/>
        <v>0.22540867392845745</v>
      </c>
      <c r="R82" s="9">
        <f t="shared" si="87"/>
        <v>0.52471528342811857</v>
      </c>
      <c r="S82" s="9">
        <f t="shared" si="81"/>
        <v>2.7532612866305079E-3</v>
      </c>
      <c r="T82" s="9">
        <f t="shared" si="88"/>
        <v>2.7532612866305079E-3</v>
      </c>
      <c r="U82" s="407">
        <f t="shared" si="60"/>
        <v>1.0405616254300099</v>
      </c>
      <c r="V82" s="409">
        <f t="shared" si="82"/>
        <v>2.1655369926350883E-3</v>
      </c>
      <c r="W82" s="407">
        <f t="shared" si="89"/>
        <v>2.1655369926350883E-3</v>
      </c>
      <c r="X82" s="407">
        <f t="shared" si="61"/>
        <v>1.0405616254300099</v>
      </c>
      <c r="Y82" s="407">
        <f t="shared" si="83"/>
        <v>6.4966109779052653E-3</v>
      </c>
      <c r="Z82" s="407">
        <f t="shared" si="62"/>
        <v>5.1299061552892336E-2</v>
      </c>
      <c r="AA82" s="407">
        <f t="shared" si="63"/>
        <v>0.14400000000000002</v>
      </c>
      <c r="AB82" s="407">
        <f t="shared" si="64"/>
        <v>0</v>
      </c>
      <c r="AC82" s="407">
        <f t="shared" si="65"/>
        <v>0.20205821124947346</v>
      </c>
      <c r="AD82" s="407">
        <f t="shared" si="66"/>
        <v>1.9971623950859647</v>
      </c>
      <c r="AE82" s="407">
        <f t="shared" si="84"/>
        <v>2.3931945794073043E-2</v>
      </c>
      <c r="AF82" s="407">
        <f t="shared" si="67"/>
        <v>3.5477999999999996E-2</v>
      </c>
      <c r="AG82" s="407">
        <f t="shared" si="68"/>
        <v>5.9695672513821338E-2</v>
      </c>
      <c r="AH82" s="407">
        <f t="shared" si="69"/>
        <v>0</v>
      </c>
      <c r="AI82">
        <f t="shared" si="70"/>
        <v>0</v>
      </c>
      <c r="AJ82" s="408">
        <f t="shared" si="71"/>
        <v>0.45335165399999999</v>
      </c>
      <c r="AK82">
        <f t="shared" si="85"/>
        <v>4.8000000000000001E-2</v>
      </c>
      <c r="AL82" s="408">
        <f t="shared" si="72"/>
        <v>5.1750000000000004E-2</v>
      </c>
      <c r="AM82" s="408">
        <f t="shared" si="86"/>
        <v>0.13648893249607535</v>
      </c>
      <c r="AN82" s="408">
        <f t="shared" si="90"/>
        <v>9.9750000000000005E-2</v>
      </c>
      <c r="AO82" s="408">
        <f t="shared" si="73"/>
        <v>1.045183009971018</v>
      </c>
      <c r="AP82">
        <f t="shared" si="74"/>
        <v>11.168999999999999</v>
      </c>
      <c r="AQ82" s="10">
        <f t="shared" si="91"/>
        <v>0.91442874164258181</v>
      </c>
      <c r="AR82" s="63">
        <f t="shared" si="75"/>
        <v>10.102910562473673</v>
      </c>
      <c r="AS82" s="63">
        <f t="shared" si="92"/>
        <v>2.9847836256910667</v>
      </c>
      <c r="AT82" s="10"/>
      <c r="AU82">
        <f t="shared" si="93"/>
        <v>91.442874164258185</v>
      </c>
      <c r="BE82" s="28"/>
      <c r="BF82" s="29"/>
    </row>
    <row r="83" spans="1:58" x14ac:dyDescent="0.25">
      <c r="A83" s="2"/>
      <c r="G83">
        <v>74</v>
      </c>
      <c r="H83">
        <f t="shared" si="55"/>
        <v>2.2199999999999998</v>
      </c>
      <c r="I83" s="407">
        <f t="shared" si="76"/>
        <v>0.2135175</v>
      </c>
      <c r="J83" s="408">
        <f t="shared" si="56"/>
        <v>1.8177841216216213</v>
      </c>
      <c r="K83" s="408">
        <f t="shared" si="77"/>
        <v>3.1288920608108102</v>
      </c>
      <c r="L83" s="408">
        <f t="shared" si="78"/>
        <v>1.3111079391891891</v>
      </c>
      <c r="M83" s="63">
        <f t="shared" si="57"/>
        <v>0</v>
      </c>
      <c r="N83" s="407">
        <f t="shared" si="58"/>
        <v>2.2811754848619108</v>
      </c>
      <c r="O83" s="407">
        <f t="shared" si="79"/>
        <v>2.6073079198930763E-2</v>
      </c>
      <c r="P83">
        <f t="shared" si="59"/>
        <v>0.2</v>
      </c>
      <c r="Q83" s="407">
        <f t="shared" si="80"/>
        <v>0.22607307919893077</v>
      </c>
      <c r="R83" s="9">
        <f t="shared" si="87"/>
        <v>0.52474907597343523</v>
      </c>
      <c r="S83" s="9">
        <f t="shared" si="81"/>
        <v>2.7536159273497413E-3</v>
      </c>
      <c r="T83" s="9">
        <f t="shared" si="88"/>
        <v>2.7536159273497413E-3</v>
      </c>
      <c r="U83" s="407">
        <f t="shared" si="60"/>
        <v>1.0540845155284229</v>
      </c>
      <c r="V83" s="409">
        <f t="shared" si="82"/>
        <v>2.2221883317535798E-3</v>
      </c>
      <c r="W83" s="407">
        <f t="shared" si="89"/>
        <v>2.2221883317535798E-3</v>
      </c>
      <c r="X83" s="407">
        <f t="shared" si="61"/>
        <v>1.0540845155284229</v>
      </c>
      <c r="Y83" s="407">
        <f t="shared" si="83"/>
        <v>6.6665649952607391E-3</v>
      </c>
      <c r="Z83" s="407">
        <f t="shared" si="62"/>
        <v>5.1965812542857856E-2</v>
      </c>
      <c r="AA83" s="407">
        <f t="shared" si="63"/>
        <v>0.14400000000000002</v>
      </c>
      <c r="AB83" s="407">
        <f t="shared" si="64"/>
        <v>0</v>
      </c>
      <c r="AC83" s="407">
        <f t="shared" si="65"/>
        <v>0.20290291062640234</v>
      </c>
      <c r="AD83" s="407">
        <f t="shared" si="66"/>
        <v>2.0230342129727279</v>
      </c>
      <c r="AE83" s="407">
        <f t="shared" si="84"/>
        <v>2.4556004561149109E-2</v>
      </c>
      <c r="AF83" s="407">
        <f t="shared" si="67"/>
        <v>3.5963999999999996E-2</v>
      </c>
      <c r="AG83" s="407">
        <f t="shared" si="68"/>
        <v>6.0818697403316906E-2</v>
      </c>
      <c r="AH83" s="407">
        <f t="shared" si="69"/>
        <v>0</v>
      </c>
      <c r="AI83">
        <f t="shared" si="70"/>
        <v>0</v>
      </c>
      <c r="AJ83" s="408">
        <f t="shared" si="71"/>
        <v>0.45334825200000001</v>
      </c>
      <c r="AK83">
        <f t="shared" si="85"/>
        <v>4.8000000000000001E-2</v>
      </c>
      <c r="AL83" s="408">
        <f t="shared" si="72"/>
        <v>5.1750000000000004E-2</v>
      </c>
      <c r="AM83" s="408">
        <f t="shared" si="86"/>
        <v>0.13648893249607535</v>
      </c>
      <c r="AN83" s="408">
        <f t="shared" si="90"/>
        <v>9.9750000000000005E-2</v>
      </c>
      <c r="AO83" s="408">
        <f t="shared" si="73"/>
        <v>1.0478687434877534</v>
      </c>
      <c r="AP83">
        <f t="shared" si="74"/>
        <v>11.321999999999997</v>
      </c>
      <c r="AQ83" s="10">
        <f t="shared" si="91"/>
        <v>0.91528861257809113</v>
      </c>
      <c r="AR83" s="63">
        <f t="shared" si="75"/>
        <v>10.145145531320116</v>
      </c>
      <c r="AS83" s="63">
        <f t="shared" si="92"/>
        <v>3.0409348701658452</v>
      </c>
      <c r="AT83" s="10"/>
      <c r="AU83">
        <f t="shared" si="93"/>
        <v>91.528861257809112</v>
      </c>
      <c r="BE83" s="28"/>
      <c r="BF83" s="29"/>
    </row>
    <row r="84" spans="1:58" x14ac:dyDescent="0.25">
      <c r="G84">
        <v>75</v>
      </c>
      <c r="H84">
        <f t="shared" si="55"/>
        <v>2.25</v>
      </c>
      <c r="I84" s="407">
        <f t="shared" si="76"/>
        <v>0.21353124999999998</v>
      </c>
      <c r="J84" s="408">
        <f t="shared" si="56"/>
        <v>1.8179011824324318</v>
      </c>
      <c r="K84" s="408">
        <f t="shared" si="77"/>
        <v>3.1589505912162159</v>
      </c>
      <c r="L84" s="408">
        <f t="shared" si="78"/>
        <v>1.3410494087837841</v>
      </c>
      <c r="M84" s="63">
        <f t="shared" si="57"/>
        <v>0</v>
      </c>
      <c r="N84" s="407">
        <f t="shared" si="58"/>
        <v>2.3103889410856282</v>
      </c>
      <c r="O84" s="407">
        <f t="shared" si="79"/>
        <v>2.6746593520611602E-2</v>
      </c>
      <c r="P84">
        <f t="shared" si="59"/>
        <v>0.2</v>
      </c>
      <c r="Q84" s="407">
        <f t="shared" si="80"/>
        <v>0.22674659352061161</v>
      </c>
      <c r="R84" s="9">
        <f t="shared" si="87"/>
        <v>0.52478286851875178</v>
      </c>
      <c r="S84" s="9">
        <f t="shared" si="81"/>
        <v>2.7539705909076953E-3</v>
      </c>
      <c r="T84" s="9">
        <f t="shared" si="88"/>
        <v>2.7539705909076953E-3</v>
      </c>
      <c r="U84" s="407">
        <f t="shared" si="60"/>
        <v>1.0676178302178059</v>
      </c>
      <c r="V84" s="409">
        <f t="shared" si="82"/>
        <v>2.2796156627979515E-3</v>
      </c>
      <c r="W84" s="407">
        <f t="shared" si="89"/>
        <v>2.2796156627979515E-3</v>
      </c>
      <c r="X84" s="407">
        <f t="shared" si="61"/>
        <v>1.0676178302178059</v>
      </c>
      <c r="Y84" s="407">
        <f t="shared" si="83"/>
        <v>6.8388469883938546E-3</v>
      </c>
      <c r="Z84" s="407">
        <f t="shared" si="62"/>
        <v>5.2632563532823369E-2</v>
      </c>
      <c r="AA84" s="407">
        <f t="shared" si="63"/>
        <v>0.14400000000000002</v>
      </c>
      <c r="AB84" s="407">
        <f t="shared" si="64"/>
        <v>0</v>
      </c>
      <c r="AC84" s="407">
        <f t="shared" si="65"/>
        <v>0.20375009366410518</v>
      </c>
      <c r="AD84" s="407">
        <f t="shared" si="66"/>
        <v>2.0489239194493765</v>
      </c>
      <c r="AE84" s="407">
        <f t="shared" si="84"/>
        <v>2.5188535366150767E-2</v>
      </c>
      <c r="AF84" s="407">
        <f t="shared" si="67"/>
        <v>3.6449999999999996E-2</v>
      </c>
      <c r="AG84" s="407">
        <f t="shared" si="68"/>
        <v>6.1950624465210179E-2</v>
      </c>
      <c r="AH84" s="407">
        <f t="shared" si="69"/>
        <v>0</v>
      </c>
      <c r="AI84">
        <f t="shared" si="70"/>
        <v>0</v>
      </c>
      <c r="AJ84" s="408">
        <f t="shared" si="71"/>
        <v>0.45334484999999997</v>
      </c>
      <c r="AK84">
        <f t="shared" si="85"/>
        <v>4.8000000000000001E-2</v>
      </c>
      <c r="AL84" s="408">
        <f t="shared" si="72"/>
        <v>5.1750000000000004E-2</v>
      </c>
      <c r="AM84" s="408">
        <f t="shared" si="86"/>
        <v>0.13648893249607535</v>
      </c>
      <c r="AN84" s="408">
        <f t="shared" si="90"/>
        <v>9.9750000000000005E-2</v>
      </c>
      <c r="AO84" s="408">
        <f t="shared" si="73"/>
        <v>1.0505757479036326</v>
      </c>
      <c r="AP84">
        <f t="shared" si="74"/>
        <v>11.475</v>
      </c>
      <c r="AQ84" s="10">
        <f t="shared" si="91"/>
        <v>0.9161255523060915</v>
      </c>
      <c r="AR84" s="63">
        <f t="shared" si="75"/>
        <v>10.187504683205258</v>
      </c>
      <c r="AS84" s="63">
        <f t="shared" si="92"/>
        <v>3.0975312232605088</v>
      </c>
      <c r="AT84" s="10"/>
      <c r="AU84">
        <f t="shared" si="93"/>
        <v>91.612555230609146</v>
      </c>
      <c r="BE84" s="28"/>
      <c r="BF84" s="29"/>
    </row>
    <row r="85" spans="1:58" x14ac:dyDescent="0.25">
      <c r="G85">
        <v>76</v>
      </c>
      <c r="H85">
        <f t="shared" si="55"/>
        <v>2.2800000000000002</v>
      </c>
      <c r="I85" s="407">
        <f t="shared" si="76"/>
        <v>0.21354499999999998</v>
      </c>
      <c r="J85" s="408">
        <f t="shared" si="56"/>
        <v>1.8180182432432428</v>
      </c>
      <c r="K85" s="408">
        <f t="shared" si="77"/>
        <v>3.1890091216216216</v>
      </c>
      <c r="L85" s="408">
        <f t="shared" si="78"/>
        <v>1.3709908783783789</v>
      </c>
      <c r="M85" s="63">
        <f t="shared" si="57"/>
        <v>0</v>
      </c>
      <c r="N85" s="407">
        <f t="shared" si="58"/>
        <v>2.3396223045035365</v>
      </c>
      <c r="O85" s="407">
        <f t="shared" si="79"/>
        <v>2.7429219820918598E-2</v>
      </c>
      <c r="P85">
        <f t="shared" si="59"/>
        <v>0.2</v>
      </c>
      <c r="Q85" s="407">
        <f t="shared" si="80"/>
        <v>0.2274292198209186</v>
      </c>
      <c r="R85" s="9">
        <f t="shared" si="87"/>
        <v>0.52481666106406843</v>
      </c>
      <c r="S85" s="9">
        <f t="shared" si="81"/>
        <v>2.7543252773043732E-3</v>
      </c>
      <c r="T85" s="9">
        <f t="shared" si="88"/>
        <v>2.7543252773043732E-3</v>
      </c>
      <c r="U85" s="407">
        <f t="shared" si="60"/>
        <v>1.0811612123703831</v>
      </c>
      <c r="V85" s="409">
        <f t="shared" si="82"/>
        <v>2.3378191342683934E-3</v>
      </c>
      <c r="W85" s="407">
        <f t="shared" si="89"/>
        <v>2.3378191342683934E-3</v>
      </c>
      <c r="X85" s="407">
        <f t="shared" si="61"/>
        <v>1.0811612123703831</v>
      </c>
      <c r="Y85" s="407">
        <f t="shared" si="83"/>
        <v>7.0134574028051806E-3</v>
      </c>
      <c r="Z85" s="407">
        <f t="shared" si="62"/>
        <v>5.3299314522788896E-2</v>
      </c>
      <c r="AA85" s="407">
        <f t="shared" si="63"/>
        <v>0.14400000000000002</v>
      </c>
      <c r="AB85" s="407">
        <f t="shared" si="64"/>
        <v>0</v>
      </c>
      <c r="AC85" s="407">
        <f t="shared" si="65"/>
        <v>0.20459976226905371</v>
      </c>
      <c r="AD85" s="407">
        <f t="shared" si="66"/>
        <v>2.0748308269823452</v>
      </c>
      <c r="AE85" s="407">
        <f t="shared" si="84"/>
        <v>2.5829537763577458E-2</v>
      </c>
      <c r="AF85" s="407">
        <f t="shared" si="67"/>
        <v>3.6936000000000004E-2</v>
      </c>
      <c r="AG85" s="407">
        <f t="shared" si="68"/>
        <v>6.3091462425834952E-2</v>
      </c>
      <c r="AH85" s="407">
        <f t="shared" si="69"/>
        <v>0</v>
      </c>
      <c r="AI85">
        <f t="shared" si="70"/>
        <v>0</v>
      </c>
      <c r="AJ85" s="408">
        <f t="shared" si="71"/>
        <v>0.45334144799999998</v>
      </c>
      <c r="AK85">
        <f t="shared" si="85"/>
        <v>4.8000000000000001E-2</v>
      </c>
      <c r="AL85" s="408">
        <f t="shared" si="72"/>
        <v>5.1750000000000004E-2</v>
      </c>
      <c r="AM85" s="408">
        <f t="shared" si="86"/>
        <v>0.13648893249607535</v>
      </c>
      <c r="AN85" s="408">
        <f t="shared" si="90"/>
        <v>9.9750000000000005E-2</v>
      </c>
      <c r="AO85" s="408">
        <f t="shared" si="73"/>
        <v>1.0533040369273801</v>
      </c>
      <c r="AP85">
        <f t="shared" si="74"/>
        <v>11.628</v>
      </c>
      <c r="AQ85" s="10">
        <f t="shared" si="91"/>
        <v>0.91694040030424273</v>
      </c>
      <c r="AR85" s="63">
        <f t="shared" si="75"/>
        <v>10.229988113452686</v>
      </c>
      <c r="AS85" s="63">
        <f t="shared" si="92"/>
        <v>3.1545731212917474</v>
      </c>
      <c r="AT85" s="10"/>
      <c r="AU85">
        <f t="shared" si="93"/>
        <v>91.694040030424276</v>
      </c>
      <c r="BE85" s="28"/>
      <c r="BF85" s="29"/>
    </row>
    <row r="86" spans="1:58" x14ac:dyDescent="0.25">
      <c r="G86">
        <v>77</v>
      </c>
      <c r="H86">
        <f t="shared" si="55"/>
        <v>2.31</v>
      </c>
      <c r="I86" s="407">
        <f t="shared" si="76"/>
        <v>0.21355874999999999</v>
      </c>
      <c r="J86" s="408">
        <f t="shared" si="56"/>
        <v>1.8181353040540535</v>
      </c>
      <c r="K86" s="408">
        <f t="shared" si="77"/>
        <v>3.2190676520270269</v>
      </c>
      <c r="L86" s="408">
        <f t="shared" si="78"/>
        <v>1.4009323479729732</v>
      </c>
      <c r="M86" s="63">
        <f t="shared" si="57"/>
        <v>0</v>
      </c>
      <c r="N86" s="407">
        <f t="shared" si="58"/>
        <v>2.3688748381149178</v>
      </c>
      <c r="O86" s="407">
        <f t="shared" si="79"/>
        <v>2.8120961067356683E-2</v>
      </c>
      <c r="P86">
        <f t="shared" si="59"/>
        <v>0.2</v>
      </c>
      <c r="Q86" s="407">
        <f t="shared" si="80"/>
        <v>0.22812096106735669</v>
      </c>
      <c r="R86" s="9">
        <f t="shared" si="87"/>
        <v>0.52485045360938498</v>
      </c>
      <c r="S86" s="9">
        <f t="shared" si="81"/>
        <v>2.7546799865397721E-3</v>
      </c>
      <c r="T86" s="9">
        <f t="shared" si="88"/>
        <v>2.7546799865397721E-3</v>
      </c>
      <c r="U86" s="407">
        <f t="shared" si="60"/>
        <v>1.0947143222469253</v>
      </c>
      <c r="V86" s="409">
        <f t="shared" si="82"/>
        <v>2.3967988946650902E-3</v>
      </c>
      <c r="W86" s="407">
        <f t="shared" si="89"/>
        <v>2.3967988946650902E-3</v>
      </c>
      <c r="X86" s="407">
        <f t="shared" si="61"/>
        <v>1.0947143222469253</v>
      </c>
      <c r="Y86" s="407">
        <f t="shared" si="83"/>
        <v>7.1903966839952701E-3</v>
      </c>
      <c r="Z86" s="407">
        <f t="shared" si="62"/>
        <v>5.3966065512754395E-2</v>
      </c>
      <c r="AA86" s="407">
        <f t="shared" si="63"/>
        <v>0.14400000000000002</v>
      </c>
      <c r="AB86" s="407">
        <f t="shared" si="64"/>
        <v>0</v>
      </c>
      <c r="AC86" s="407">
        <f t="shared" si="65"/>
        <v>0.2054519183552421</v>
      </c>
      <c r="AD86" s="407">
        <f t="shared" si="66"/>
        <v>2.1007542815192433</v>
      </c>
      <c r="AE86" s="407">
        <f t="shared" si="84"/>
        <v>2.6479011307928593E-2</v>
      </c>
      <c r="AF86" s="407">
        <f t="shared" si="67"/>
        <v>3.7421999999999997E-2</v>
      </c>
      <c r="AG86" s="407">
        <f t="shared" si="68"/>
        <v>6.4241220106656449E-2</v>
      </c>
      <c r="AH86" s="407">
        <f t="shared" si="69"/>
        <v>0</v>
      </c>
      <c r="AI86">
        <f t="shared" si="70"/>
        <v>0</v>
      </c>
      <c r="AJ86" s="408">
        <f t="shared" si="71"/>
        <v>0.45333804599999999</v>
      </c>
      <c r="AK86">
        <f t="shared" si="85"/>
        <v>4.8000000000000001E-2</v>
      </c>
      <c r="AL86" s="408">
        <f t="shared" si="72"/>
        <v>5.1750000000000004E-2</v>
      </c>
      <c r="AM86" s="408">
        <f t="shared" si="86"/>
        <v>0.13648893249607535</v>
      </c>
      <c r="AN86" s="408">
        <f t="shared" si="90"/>
        <v>9.9750000000000005E-2</v>
      </c>
      <c r="AO86" s="408">
        <f t="shared" si="73"/>
        <v>1.0560536244104601</v>
      </c>
      <c r="AP86">
        <f t="shared" si="74"/>
        <v>11.780999999999999</v>
      </c>
      <c r="AQ86" s="10">
        <f t="shared" si="91"/>
        <v>0.9177339555236953</v>
      </c>
      <c r="AR86" s="63">
        <f t="shared" si="75"/>
        <v>10.272595917762105</v>
      </c>
      <c r="AS86" s="63">
        <f t="shared" si="92"/>
        <v>3.2120610053328225</v>
      </c>
      <c r="AT86" s="10"/>
      <c r="AU86">
        <f t="shared" si="93"/>
        <v>91.773395552369536</v>
      </c>
      <c r="BE86" s="28"/>
      <c r="BF86" s="29"/>
    </row>
    <row r="87" spans="1:58" x14ac:dyDescent="0.25">
      <c r="G87">
        <v>78</v>
      </c>
      <c r="H87">
        <f t="shared" si="55"/>
        <v>2.34</v>
      </c>
      <c r="I87" s="407">
        <f t="shared" si="76"/>
        <v>0.21357249999999997</v>
      </c>
      <c r="J87" s="408">
        <f t="shared" si="56"/>
        <v>1.8182523648648641</v>
      </c>
      <c r="K87" s="408">
        <f t="shared" si="77"/>
        <v>3.2491261824324318</v>
      </c>
      <c r="L87" s="408">
        <f t="shared" si="78"/>
        <v>1.4308738175675679</v>
      </c>
      <c r="M87" s="63">
        <f t="shared" si="57"/>
        <v>0</v>
      </c>
      <c r="N87" s="407">
        <f t="shared" si="58"/>
        <v>2.3981458404069986</v>
      </c>
      <c r="O87" s="407">
        <f t="shared" si="79"/>
        <v>2.8821820267549376E-2</v>
      </c>
      <c r="P87">
        <f t="shared" si="59"/>
        <v>0.2</v>
      </c>
      <c r="Q87" s="407">
        <f t="shared" si="80"/>
        <v>0.22882182026754938</v>
      </c>
      <c r="R87" s="9">
        <f t="shared" si="87"/>
        <v>0.52488424615470153</v>
      </c>
      <c r="S87" s="9">
        <f t="shared" si="81"/>
        <v>2.7550347186138932E-3</v>
      </c>
      <c r="T87" s="9">
        <f t="shared" si="88"/>
        <v>2.7550347186138932E-3</v>
      </c>
      <c r="U87" s="407">
        <f t="shared" si="60"/>
        <v>1.1082768364646607</v>
      </c>
      <c r="V87" s="409">
        <f t="shared" si="82"/>
        <v>2.4565550924882324E-3</v>
      </c>
      <c r="W87" s="407">
        <f t="shared" si="89"/>
        <v>2.4565550924882324E-3</v>
      </c>
      <c r="X87" s="407">
        <f t="shared" si="61"/>
        <v>1.1082768364646607</v>
      </c>
      <c r="Y87" s="407">
        <f t="shared" si="83"/>
        <v>7.3696652774646971E-3</v>
      </c>
      <c r="Z87" s="407">
        <f t="shared" si="62"/>
        <v>5.4632816502719915E-2</v>
      </c>
      <c r="AA87" s="407">
        <f t="shared" si="63"/>
        <v>0.14400000000000002</v>
      </c>
      <c r="AB87" s="407">
        <f t="shared" si="64"/>
        <v>0</v>
      </c>
      <c r="AC87" s="407">
        <f t="shared" si="65"/>
        <v>0.20630656384419976</v>
      </c>
      <c r="AD87" s="407">
        <f t="shared" si="66"/>
        <v>2.126693660501501</v>
      </c>
      <c r="AE87" s="407">
        <f t="shared" si="84"/>
        <v>2.7136955553703643E-2</v>
      </c>
      <c r="AF87" s="407">
        <f t="shared" si="67"/>
        <v>3.7907999999999997E-2</v>
      </c>
      <c r="AG87" s="407">
        <f t="shared" si="68"/>
        <v>6.5399906424475115E-2</v>
      </c>
      <c r="AH87" s="407">
        <f t="shared" si="69"/>
        <v>0</v>
      </c>
      <c r="AI87">
        <f t="shared" si="70"/>
        <v>0</v>
      </c>
      <c r="AJ87" s="408">
        <f t="shared" si="71"/>
        <v>0.45333464399999995</v>
      </c>
      <c r="AK87">
        <f t="shared" si="85"/>
        <v>4.8000000000000001E-2</v>
      </c>
      <c r="AL87" s="408">
        <f t="shared" si="72"/>
        <v>5.1750000000000004E-2</v>
      </c>
      <c r="AM87" s="408">
        <f t="shared" si="86"/>
        <v>0.13648893249607535</v>
      </c>
      <c r="AN87" s="408">
        <f t="shared" si="90"/>
        <v>9.9750000000000005E-2</v>
      </c>
      <c r="AO87" s="408">
        <f t="shared" si="73"/>
        <v>1.0588245243473264</v>
      </c>
      <c r="AP87">
        <f t="shared" si="74"/>
        <v>11.933999999999999</v>
      </c>
      <c r="AQ87" s="10">
        <f t="shared" si="91"/>
        <v>0.91850697880486354</v>
      </c>
      <c r="AR87" s="63">
        <f t="shared" si="75"/>
        <v>10.315328192209988</v>
      </c>
      <c r="AS87" s="63">
        <f t="shared" si="92"/>
        <v>3.2699953212237558</v>
      </c>
      <c r="AT87" s="10"/>
      <c r="AU87">
        <f t="shared" si="93"/>
        <v>91.850697880486351</v>
      </c>
      <c r="BE87" s="28"/>
      <c r="BF87" s="29"/>
    </row>
    <row r="88" spans="1:58" x14ac:dyDescent="0.25">
      <c r="G88">
        <v>79</v>
      </c>
      <c r="H88">
        <f t="shared" si="55"/>
        <v>2.37</v>
      </c>
      <c r="I88" s="407">
        <f t="shared" si="76"/>
        <v>0.21358624999999998</v>
      </c>
      <c r="J88" s="408">
        <f t="shared" si="56"/>
        <v>1.8183694256756751</v>
      </c>
      <c r="K88" s="408">
        <f t="shared" si="77"/>
        <v>3.2791847128378375</v>
      </c>
      <c r="L88" s="408">
        <f t="shared" si="78"/>
        <v>1.4608152871621627</v>
      </c>
      <c r="M88" s="63">
        <f t="shared" si="57"/>
        <v>0</v>
      </c>
      <c r="N88" s="407">
        <f t="shared" si="58"/>
        <v>2.4274346432710963</v>
      </c>
      <c r="O88" s="407">
        <f t="shared" si="79"/>
        <v>2.9531800469271605E-2</v>
      </c>
      <c r="P88">
        <f t="shared" si="59"/>
        <v>0.2</v>
      </c>
      <c r="Q88" s="407">
        <f t="shared" si="80"/>
        <v>0.22953180046927163</v>
      </c>
      <c r="R88" s="9">
        <f t="shared" si="87"/>
        <v>0.52491803870001807</v>
      </c>
      <c r="S88" s="9">
        <f t="shared" si="81"/>
        <v>2.7553894735267365E-3</v>
      </c>
      <c r="T88" s="9">
        <f t="shared" si="88"/>
        <v>2.7553894735267365E-3</v>
      </c>
      <c r="U88" s="407">
        <f t="shared" si="60"/>
        <v>1.1218484470368557</v>
      </c>
      <c r="V88" s="409">
        <f t="shared" si="82"/>
        <v>2.51708787623801E-3</v>
      </c>
      <c r="W88" s="407">
        <f t="shared" si="89"/>
        <v>2.51708787623801E-3</v>
      </c>
      <c r="X88" s="407">
        <f t="shared" si="61"/>
        <v>1.1218484470368557</v>
      </c>
      <c r="Y88" s="407">
        <f t="shared" si="83"/>
        <v>7.5512636287140295E-3</v>
      </c>
      <c r="Z88" s="407">
        <f t="shared" si="62"/>
        <v>5.5299567492685421E-2</v>
      </c>
      <c r="AA88" s="407">
        <f t="shared" si="63"/>
        <v>0.14400000000000002</v>
      </c>
      <c r="AB88" s="407">
        <f t="shared" si="64"/>
        <v>0</v>
      </c>
      <c r="AC88" s="407">
        <f t="shared" si="65"/>
        <v>0.20716370066500375</v>
      </c>
      <c r="AD88" s="407">
        <f t="shared" si="66"/>
        <v>2.1526483710150317</v>
      </c>
      <c r="AE88" s="407">
        <f t="shared" si="84"/>
        <v>2.7803370055402017E-2</v>
      </c>
      <c r="AF88" s="407">
        <f t="shared" si="67"/>
        <v>3.8393999999999998E-2</v>
      </c>
      <c r="AG88" s="407">
        <f t="shared" si="68"/>
        <v>6.6567530391632573E-2</v>
      </c>
      <c r="AH88" s="407">
        <f t="shared" si="69"/>
        <v>0</v>
      </c>
      <c r="AI88">
        <f t="shared" si="70"/>
        <v>0</v>
      </c>
      <c r="AJ88" s="408">
        <f t="shared" si="71"/>
        <v>0.45333124199999997</v>
      </c>
      <c r="AK88">
        <f t="shared" si="85"/>
        <v>4.8000000000000001E-2</v>
      </c>
      <c r="AL88" s="408">
        <f t="shared" si="72"/>
        <v>5.1750000000000004E-2</v>
      </c>
      <c r="AM88" s="408">
        <f t="shared" si="86"/>
        <v>0.13648893249607535</v>
      </c>
      <c r="AN88" s="408">
        <f t="shared" si="90"/>
        <v>9.9750000000000005E-2</v>
      </c>
      <c r="AO88" s="408">
        <f t="shared" si="73"/>
        <v>1.0616167508756726</v>
      </c>
      <c r="AP88">
        <f t="shared" si="74"/>
        <v>12.087</v>
      </c>
      <c r="AQ88" s="10">
        <f t="shared" si="91"/>
        <v>0.9192601951224284</v>
      </c>
      <c r="AR88" s="63">
        <f t="shared" si="75"/>
        <v>10.358185033250187</v>
      </c>
      <c r="AS88" s="63">
        <f t="shared" si="92"/>
        <v>3.3283765195816288</v>
      </c>
      <c r="AT88" s="10"/>
      <c r="AU88">
        <f t="shared" si="93"/>
        <v>91.926019512242846</v>
      </c>
      <c r="BE88" s="28"/>
      <c r="BF88" s="29"/>
    </row>
    <row r="89" spans="1:58" x14ac:dyDescent="0.25">
      <c r="G89">
        <v>80</v>
      </c>
      <c r="H89">
        <f t="shared" si="55"/>
        <v>2.4000000000000004</v>
      </c>
      <c r="I89" s="407">
        <f t="shared" si="76"/>
        <v>0.21359999999999998</v>
      </c>
      <c r="J89" s="408">
        <f t="shared" si="56"/>
        <v>1.818486486486486</v>
      </c>
      <c r="K89" s="408">
        <f t="shared" si="77"/>
        <v>3.3092432432432433</v>
      </c>
      <c r="L89" s="408">
        <f t="shared" si="78"/>
        <v>1.4907567567567575</v>
      </c>
      <c r="M89" s="63">
        <f t="shared" si="57"/>
        <v>0</v>
      </c>
      <c r="N89" s="407">
        <f t="shared" si="58"/>
        <v>2.4567406100620048</v>
      </c>
      <c r="O89" s="407">
        <f t="shared" si="79"/>
        <v>3.0250904760482901E-2</v>
      </c>
      <c r="P89">
        <f t="shared" si="59"/>
        <v>0.2</v>
      </c>
      <c r="Q89" s="407">
        <f t="shared" si="80"/>
        <v>0.23025090476048291</v>
      </c>
      <c r="R89" s="9">
        <f t="shared" si="87"/>
        <v>0.52495183124533473</v>
      </c>
      <c r="S89" s="9">
        <f t="shared" si="81"/>
        <v>2.7557442512783038E-3</v>
      </c>
      <c r="T89" s="9">
        <f t="shared" si="88"/>
        <v>2.7557442512783038E-3</v>
      </c>
      <c r="U89" s="407">
        <f t="shared" si="60"/>
        <v>1.1354288604784117</v>
      </c>
      <c r="V89" s="409">
        <f t="shared" si="82"/>
        <v>2.5783973944146091E-3</v>
      </c>
      <c r="W89" s="407">
        <f t="shared" si="89"/>
        <v>2.5783973944146091E-3</v>
      </c>
      <c r="X89" s="407">
        <f t="shared" si="61"/>
        <v>1.1354288604784117</v>
      </c>
      <c r="Y89" s="407">
        <f t="shared" si="83"/>
        <v>7.7351921832438282E-3</v>
      </c>
      <c r="Z89" s="407">
        <f t="shared" si="62"/>
        <v>5.5966318482650948E-2</v>
      </c>
      <c r="AA89" s="407">
        <f t="shared" si="63"/>
        <v>0.14400000000000002</v>
      </c>
      <c r="AB89" s="407">
        <f t="shared" si="64"/>
        <v>0</v>
      </c>
      <c r="AC89" s="407">
        <f t="shared" si="65"/>
        <v>0.20802333075429136</v>
      </c>
      <c r="AD89" s="407">
        <f t="shared" si="66"/>
        <v>2.1786178480680189</v>
      </c>
      <c r="AE89" s="407">
        <f t="shared" si="84"/>
        <v>2.8478254367523156E-2</v>
      </c>
      <c r="AF89" s="407">
        <f t="shared" si="67"/>
        <v>3.8880000000000005E-2</v>
      </c>
      <c r="AG89" s="407">
        <f t="shared" si="68"/>
        <v>6.7744101116220548E-2</v>
      </c>
      <c r="AH89" s="407">
        <f t="shared" si="69"/>
        <v>0</v>
      </c>
      <c r="AI89">
        <f t="shared" si="70"/>
        <v>0</v>
      </c>
      <c r="AJ89" s="408">
        <f t="shared" si="71"/>
        <v>0.45332784000000004</v>
      </c>
      <c r="AK89">
        <f t="shared" si="85"/>
        <v>4.8000000000000001E-2</v>
      </c>
      <c r="AL89" s="408">
        <f t="shared" si="72"/>
        <v>5.1750000000000004E-2</v>
      </c>
      <c r="AM89" s="408">
        <f t="shared" si="86"/>
        <v>0.13648893249607535</v>
      </c>
      <c r="AN89" s="408">
        <f t="shared" si="90"/>
        <v>9.9750000000000005E-2</v>
      </c>
      <c r="AO89" s="408">
        <f t="shared" si="73"/>
        <v>1.0644303182766879</v>
      </c>
      <c r="AP89">
        <f t="shared" si="74"/>
        <v>12.24</v>
      </c>
      <c r="AQ89" s="10">
        <f t="shared" si="91"/>
        <v>0.91999429567349089</v>
      </c>
      <c r="AR89" s="63">
        <f t="shared" si="75"/>
        <v>10.401166537714568</v>
      </c>
      <c r="AS89" s="63">
        <f t="shared" si="92"/>
        <v>3.3872050558110276</v>
      </c>
      <c r="AT89" s="10"/>
      <c r="AU89">
        <f t="shared" si="93"/>
        <v>91.999429567349083</v>
      </c>
      <c r="BE89" s="28"/>
      <c r="BF89" s="29"/>
    </row>
    <row r="90" spans="1:58" x14ac:dyDescent="0.25">
      <c r="G90">
        <v>81</v>
      </c>
      <c r="H90">
        <f t="shared" si="55"/>
        <v>2.4300000000000002</v>
      </c>
      <c r="I90" s="407">
        <f t="shared" si="76"/>
        <v>0.21361374999999996</v>
      </c>
      <c r="J90" s="408">
        <f t="shared" si="56"/>
        <v>1.8186035472972966</v>
      </c>
      <c r="K90" s="408">
        <f t="shared" si="77"/>
        <v>3.3393017736486486</v>
      </c>
      <c r="L90" s="408">
        <f t="shared" si="78"/>
        <v>1.5206982263513518</v>
      </c>
      <c r="M90" s="63">
        <f t="shared" si="57"/>
        <v>0</v>
      </c>
      <c r="N90" s="407">
        <f t="shared" si="58"/>
        <v>2.4860631337894175</v>
      </c>
      <c r="O90" s="407">
        <f t="shared" si="79"/>
        <v>3.0979136269361062E-2</v>
      </c>
      <c r="P90">
        <f t="shared" si="59"/>
        <v>0.2</v>
      </c>
      <c r="Q90" s="407">
        <f t="shared" si="80"/>
        <v>0.23097913626936106</v>
      </c>
      <c r="R90" s="9">
        <f t="shared" si="87"/>
        <v>0.52498562379065128</v>
      </c>
      <c r="S90" s="9">
        <f t="shared" si="81"/>
        <v>2.7560990518685925E-3</v>
      </c>
      <c r="T90" s="9">
        <f t="shared" si="88"/>
        <v>2.7560990518685925E-3</v>
      </c>
      <c r="U90" s="407">
        <f t="shared" si="60"/>
        <v>1.1490177969723137</v>
      </c>
      <c r="V90" s="409">
        <f t="shared" si="82"/>
        <v>2.640483795518218E-3</v>
      </c>
      <c r="W90" s="407">
        <f t="shared" si="89"/>
        <v>2.640483795518218E-3</v>
      </c>
      <c r="X90" s="407">
        <f t="shared" si="61"/>
        <v>1.1490177969723137</v>
      </c>
      <c r="Y90" s="407">
        <f t="shared" si="83"/>
        <v>7.9214513865546541E-3</v>
      </c>
      <c r="Z90" s="407">
        <f t="shared" si="62"/>
        <v>5.6633069472616468E-2</v>
      </c>
      <c r="AA90" s="407">
        <f t="shared" si="63"/>
        <v>0.14400000000000002</v>
      </c>
      <c r="AB90" s="407">
        <f t="shared" si="64"/>
        <v>0</v>
      </c>
      <c r="AC90" s="407">
        <f t="shared" si="65"/>
        <v>0.20888545605627273</v>
      </c>
      <c r="AD90" s="407">
        <f t="shared" si="66"/>
        <v>2.2046015529858791</v>
      </c>
      <c r="AE90" s="407">
        <f t="shared" si="84"/>
        <v>2.9161608044566498E-2</v>
      </c>
      <c r="AF90" s="407">
        <f t="shared" si="67"/>
        <v>3.9365999999999998E-2</v>
      </c>
      <c r="AG90" s="407">
        <f t="shared" si="68"/>
        <v>6.8929627802292157E-2</v>
      </c>
      <c r="AH90" s="407">
        <f t="shared" si="69"/>
        <v>0</v>
      </c>
      <c r="AI90">
        <f t="shared" si="70"/>
        <v>0</v>
      </c>
      <c r="AJ90" s="408">
        <f t="shared" si="71"/>
        <v>0.45332443800000005</v>
      </c>
      <c r="AK90">
        <f t="shared" si="85"/>
        <v>4.8000000000000001E-2</v>
      </c>
      <c r="AL90" s="408">
        <f t="shared" si="72"/>
        <v>5.1750000000000004E-2</v>
      </c>
      <c r="AM90" s="408">
        <f t="shared" si="86"/>
        <v>0.13648893249607535</v>
      </c>
      <c r="AN90" s="408">
        <f t="shared" si="90"/>
        <v>9.9750000000000005E-2</v>
      </c>
      <c r="AO90" s="408">
        <f t="shared" si="73"/>
        <v>1.0672652409753129</v>
      </c>
      <c r="AP90">
        <f t="shared" si="74"/>
        <v>12.393000000000001</v>
      </c>
      <c r="AQ90" s="10">
        <f t="shared" si="91"/>
        <v>0.92070993982151417</v>
      </c>
      <c r="AR90" s="63">
        <f t="shared" si="75"/>
        <v>10.444272802813636</v>
      </c>
      <c r="AS90" s="63">
        <f t="shared" si="92"/>
        <v>3.4464813901146076</v>
      </c>
      <c r="AT90" s="10"/>
      <c r="AU90">
        <f t="shared" si="93"/>
        <v>92.070993982151421</v>
      </c>
      <c r="BE90" s="28"/>
      <c r="BF90" s="29"/>
    </row>
    <row r="91" spans="1:58" x14ac:dyDescent="0.25">
      <c r="G91">
        <v>82</v>
      </c>
      <c r="H91">
        <f t="shared" si="55"/>
        <v>2.46</v>
      </c>
      <c r="I91" s="407">
        <f t="shared" si="76"/>
        <v>0.21362749999999997</v>
      </c>
      <c r="J91" s="408">
        <f t="shared" si="56"/>
        <v>1.8187206081081075</v>
      </c>
      <c r="K91" s="408">
        <f t="shared" si="77"/>
        <v>3.3693603040540538</v>
      </c>
      <c r="L91" s="408">
        <f t="shared" si="78"/>
        <v>1.5506396959459461</v>
      </c>
      <c r="M91" s="63">
        <f t="shared" si="57"/>
        <v>0</v>
      </c>
      <c r="N91" s="407">
        <f t="shared" si="58"/>
        <v>2.5154016354311612</v>
      </c>
      <c r="O91" s="407">
        <f t="shared" si="79"/>
        <v>3.171649816433636E-2</v>
      </c>
      <c r="P91">
        <f t="shared" si="59"/>
        <v>0.2</v>
      </c>
      <c r="Q91" s="407">
        <f t="shared" si="80"/>
        <v>0.23171649816433637</v>
      </c>
      <c r="R91" s="9">
        <f t="shared" si="87"/>
        <v>0.52501941633596794</v>
      </c>
      <c r="S91" s="9">
        <f t="shared" si="81"/>
        <v>2.7564538752976042E-3</v>
      </c>
      <c r="T91" s="9">
        <f t="shared" si="88"/>
        <v>2.7564538752976042E-3</v>
      </c>
      <c r="U91" s="407">
        <f t="shared" si="60"/>
        <v>1.1626149895922182</v>
      </c>
      <c r="V91" s="409">
        <f t="shared" si="82"/>
        <v>2.7033472280490272E-3</v>
      </c>
      <c r="W91" s="407">
        <f t="shared" si="89"/>
        <v>2.7033472280490272E-3</v>
      </c>
      <c r="X91" s="407">
        <f t="shared" si="61"/>
        <v>1.1626149895922182</v>
      </c>
      <c r="Y91" s="407">
        <f t="shared" si="83"/>
        <v>8.1100416841470811E-3</v>
      </c>
      <c r="Z91" s="407">
        <f t="shared" si="62"/>
        <v>5.7299820462581967E-2</v>
      </c>
      <c r="AA91" s="407">
        <f t="shared" si="63"/>
        <v>0.14400000000000002</v>
      </c>
      <c r="AB91" s="407">
        <f t="shared" si="64"/>
        <v>0</v>
      </c>
      <c r="AC91" s="407">
        <f t="shared" si="65"/>
        <v>0.2097500785227436</v>
      </c>
      <c r="AD91" s="407">
        <f t="shared" si="66"/>
        <v>2.2305989719143255</v>
      </c>
      <c r="AE91" s="407">
        <f t="shared" si="84"/>
        <v>2.9853430641031478E-2</v>
      </c>
      <c r="AF91" s="407">
        <f t="shared" si="67"/>
        <v>3.9851999999999999E-2</v>
      </c>
      <c r="AG91" s="407">
        <f t="shared" si="68"/>
        <v>7.0124119750075931E-2</v>
      </c>
      <c r="AH91" s="407">
        <f t="shared" si="69"/>
        <v>0</v>
      </c>
      <c r="AI91">
        <f t="shared" si="70"/>
        <v>0</v>
      </c>
      <c r="AJ91" s="408">
        <f t="shared" si="71"/>
        <v>0.45332103600000001</v>
      </c>
      <c r="AK91">
        <f t="shared" si="85"/>
        <v>4.8000000000000001E-2</v>
      </c>
      <c r="AL91" s="408">
        <f t="shared" si="72"/>
        <v>5.1750000000000004E-2</v>
      </c>
      <c r="AM91" s="408">
        <f t="shared" si="86"/>
        <v>0.13648893249607535</v>
      </c>
      <c r="AN91" s="408">
        <f t="shared" si="90"/>
        <v>9.9750000000000005E-2</v>
      </c>
      <c r="AO91" s="408">
        <f t="shared" si="73"/>
        <v>1.0701215335405025</v>
      </c>
      <c r="AP91">
        <f t="shared" si="74"/>
        <v>12.545999999999999</v>
      </c>
      <c r="AQ91" s="10">
        <f t="shared" si="91"/>
        <v>0.9214077569075394</v>
      </c>
      <c r="AR91" s="63">
        <f t="shared" si="75"/>
        <v>10.48750392613718</v>
      </c>
      <c r="AS91" s="63">
        <f t="shared" si="92"/>
        <v>3.5062059875037965</v>
      </c>
      <c r="AT91" s="10"/>
      <c r="AU91">
        <f t="shared" si="93"/>
        <v>92.140775690753941</v>
      </c>
      <c r="BE91" s="28"/>
      <c r="BF91" s="29"/>
    </row>
    <row r="92" spans="1:58" x14ac:dyDescent="0.25">
      <c r="G92">
        <v>83</v>
      </c>
      <c r="H92">
        <f t="shared" si="55"/>
        <v>2.4899999999999998</v>
      </c>
      <c r="I92" s="407">
        <f t="shared" si="76"/>
        <v>0.21364125</v>
      </c>
      <c r="J92" s="408">
        <f t="shared" si="56"/>
        <v>1.8188376689189187</v>
      </c>
      <c r="K92" s="408">
        <f t="shared" si="77"/>
        <v>3.3994188344594591</v>
      </c>
      <c r="L92" s="408">
        <f t="shared" si="78"/>
        <v>1.5805811655405404</v>
      </c>
      <c r="M92" s="63">
        <f t="shared" si="57"/>
        <v>0</v>
      </c>
      <c r="N92" s="407">
        <f t="shared" si="58"/>
        <v>2.5447555623588944</v>
      </c>
      <c r="O92" s="407">
        <f t="shared" si="79"/>
        <v>3.2462993654125999E-2</v>
      </c>
      <c r="P92">
        <f t="shared" si="59"/>
        <v>0.2</v>
      </c>
      <c r="Q92" s="407">
        <f t="shared" si="80"/>
        <v>0.23246299365412601</v>
      </c>
      <c r="R92" s="9">
        <f t="shared" si="87"/>
        <v>0.52505320888128459</v>
      </c>
      <c r="S92" s="9">
        <f t="shared" si="81"/>
        <v>2.7568087215653386E-3</v>
      </c>
      <c r="T92" s="9">
        <f t="shared" si="88"/>
        <v>2.7568087215653386E-3</v>
      </c>
      <c r="U92" s="407">
        <f t="shared" si="60"/>
        <v>1.1762201835768726</v>
      </c>
      <c r="V92" s="409">
        <f t="shared" si="82"/>
        <v>2.766987840507224E-3</v>
      </c>
      <c r="W92" s="407">
        <f t="shared" si="89"/>
        <v>2.766987840507224E-3</v>
      </c>
      <c r="X92" s="407">
        <f t="shared" si="61"/>
        <v>1.1762201835768726</v>
      </c>
      <c r="Y92" s="407">
        <f t="shared" si="83"/>
        <v>8.3009635215216728E-3</v>
      </c>
      <c r="Z92" s="407">
        <f t="shared" si="62"/>
        <v>5.796657145254748E-2</v>
      </c>
      <c r="AA92" s="407">
        <f t="shared" si="63"/>
        <v>0.14400000000000002</v>
      </c>
      <c r="AB92" s="407">
        <f t="shared" si="64"/>
        <v>0</v>
      </c>
      <c r="AC92" s="407">
        <f t="shared" si="65"/>
        <v>0.21061720011309792</v>
      </c>
      <c r="AD92" s="407">
        <f t="shared" si="66"/>
        <v>2.2566096144222465</v>
      </c>
      <c r="AE92" s="407">
        <f t="shared" si="84"/>
        <v>3.0553721711417518E-2</v>
      </c>
      <c r="AF92" s="407">
        <f t="shared" si="67"/>
        <v>4.0337999999999992E-2</v>
      </c>
      <c r="AG92" s="407">
        <f t="shared" si="68"/>
        <v>7.1327586356192352E-2</v>
      </c>
      <c r="AH92" s="407">
        <f t="shared" si="69"/>
        <v>0</v>
      </c>
      <c r="AI92">
        <f t="shared" si="70"/>
        <v>0</v>
      </c>
      <c r="AJ92" s="408">
        <f t="shared" si="71"/>
        <v>0.45331763400000002</v>
      </c>
      <c r="AK92">
        <f t="shared" si="85"/>
        <v>4.8000000000000001E-2</v>
      </c>
      <c r="AL92" s="408">
        <f t="shared" si="72"/>
        <v>5.1750000000000004E-2</v>
      </c>
      <c r="AM92" s="408">
        <f t="shared" si="86"/>
        <v>0.13648893249607535</v>
      </c>
      <c r="AN92" s="408">
        <f t="shared" si="90"/>
        <v>9.9750000000000005E-2</v>
      </c>
      <c r="AO92" s="408">
        <f t="shared" si="73"/>
        <v>1.0729992106854889</v>
      </c>
      <c r="AP92">
        <f t="shared" si="74"/>
        <v>12.698999999999998</v>
      </c>
      <c r="AQ92" s="10">
        <f t="shared" si="91"/>
        <v>0.92208834793913119</v>
      </c>
      <c r="AR92" s="63">
        <f t="shared" si="75"/>
        <v>10.530860005654896</v>
      </c>
      <c r="AS92" s="63">
        <f t="shared" si="92"/>
        <v>3.5663793178096177</v>
      </c>
      <c r="AT92" s="10"/>
      <c r="AU92">
        <f t="shared" si="93"/>
        <v>92.208834793913113</v>
      </c>
      <c r="BE92" s="28"/>
      <c r="BF92" s="29"/>
    </row>
    <row r="93" spans="1:58" x14ac:dyDescent="0.25">
      <c r="G93">
        <v>84</v>
      </c>
      <c r="H93">
        <f t="shared" si="55"/>
        <v>2.52</v>
      </c>
      <c r="I93" s="407">
        <f t="shared" si="76"/>
        <v>0.21365499999999996</v>
      </c>
      <c r="J93" s="408">
        <f t="shared" si="56"/>
        <v>1.8189547297297288</v>
      </c>
      <c r="K93" s="408">
        <f t="shared" si="77"/>
        <v>3.4294773648648644</v>
      </c>
      <c r="L93" s="408">
        <f t="shared" si="78"/>
        <v>1.6105226351351356</v>
      </c>
      <c r="M93" s="63">
        <f t="shared" si="57"/>
        <v>0</v>
      </c>
      <c r="N93" s="407">
        <f t="shared" si="58"/>
        <v>2.5741243868677324</v>
      </c>
      <c r="O93" s="407">
        <f t="shared" si="79"/>
        <v>3.3218625987769208E-2</v>
      </c>
      <c r="P93">
        <f t="shared" si="59"/>
        <v>0.2</v>
      </c>
      <c r="Q93" s="407">
        <f t="shared" si="80"/>
        <v>0.23321862598776921</v>
      </c>
      <c r="R93" s="9">
        <f t="shared" si="87"/>
        <v>0.52508700142660103</v>
      </c>
      <c r="S93" s="9">
        <f t="shared" si="81"/>
        <v>2.7571635906717936E-3</v>
      </c>
      <c r="T93" s="9">
        <f t="shared" si="88"/>
        <v>2.7571635906717936E-3</v>
      </c>
      <c r="U93" s="407">
        <f t="shared" si="60"/>
        <v>1.1898331356524317</v>
      </c>
      <c r="V93" s="409">
        <f t="shared" si="82"/>
        <v>2.8314057813929958E-3</v>
      </c>
      <c r="W93" s="407">
        <f t="shared" si="89"/>
        <v>2.8314057813929958E-3</v>
      </c>
      <c r="X93" s="407">
        <f t="shared" si="61"/>
        <v>1.1898331356524317</v>
      </c>
      <c r="Y93" s="407">
        <f t="shared" si="83"/>
        <v>8.4942173441789875E-3</v>
      </c>
      <c r="Z93" s="407">
        <f t="shared" si="62"/>
        <v>5.8633322442513E-2</v>
      </c>
      <c r="AA93" s="407">
        <f t="shared" si="63"/>
        <v>0.14400000000000002</v>
      </c>
      <c r="AB93" s="407">
        <f t="shared" si="64"/>
        <v>0</v>
      </c>
      <c r="AC93" s="407">
        <f t="shared" si="65"/>
        <v>0.211486822794341</v>
      </c>
      <c r="AD93" s="407">
        <f t="shared" si="66"/>
        <v>2.2826330121968099</v>
      </c>
      <c r="AE93" s="407">
        <f t="shared" si="84"/>
        <v>3.1262480810224091E-2</v>
      </c>
      <c r="AF93" s="407">
        <f t="shared" si="67"/>
        <v>4.0823999999999999E-2</v>
      </c>
      <c r="AG93" s="407">
        <f t="shared" si="68"/>
        <v>7.2540037113873176E-2</v>
      </c>
      <c r="AH93" s="407">
        <f t="shared" si="69"/>
        <v>0</v>
      </c>
      <c r="AI93">
        <f t="shared" si="70"/>
        <v>0</v>
      </c>
      <c r="AJ93" s="408">
        <f t="shared" si="71"/>
        <v>0.45331423199999998</v>
      </c>
      <c r="AK93">
        <f t="shared" si="85"/>
        <v>4.8000000000000001E-2</v>
      </c>
      <c r="AL93" s="408">
        <f t="shared" si="72"/>
        <v>5.1750000000000004E-2</v>
      </c>
      <c r="AM93" s="408">
        <f t="shared" si="86"/>
        <v>0.13648893249607535</v>
      </c>
      <c r="AN93" s="408">
        <f t="shared" si="90"/>
        <v>9.9750000000000005E-2</v>
      </c>
      <c r="AO93" s="408">
        <f t="shared" si="73"/>
        <v>1.075898287268048</v>
      </c>
      <c r="AP93">
        <f t="shared" si="74"/>
        <v>12.851999999999999</v>
      </c>
      <c r="AQ93" s="10">
        <f t="shared" si="91"/>
        <v>0.92275228716657398</v>
      </c>
      <c r="AR93" s="63">
        <f t="shared" si="75"/>
        <v>10.574341139717051</v>
      </c>
      <c r="AS93" s="63">
        <f t="shared" si="92"/>
        <v>3.627001855693659</v>
      </c>
      <c r="AT93" s="10"/>
      <c r="AU93">
        <f t="shared" si="93"/>
        <v>92.275228716657395</v>
      </c>
      <c r="BE93" s="28"/>
      <c r="BF93" s="29"/>
    </row>
    <row r="94" spans="1:58" x14ac:dyDescent="0.25">
      <c r="G94">
        <v>85</v>
      </c>
      <c r="H94">
        <f t="shared" si="55"/>
        <v>2.5499999999999998</v>
      </c>
      <c r="I94" s="407">
        <f t="shared" si="76"/>
        <v>0.21366874999999996</v>
      </c>
      <c r="J94" s="408">
        <f t="shared" si="56"/>
        <v>1.8190717905405398</v>
      </c>
      <c r="K94" s="408">
        <f t="shared" si="77"/>
        <v>3.4595358952702697</v>
      </c>
      <c r="L94" s="408">
        <f t="shared" si="78"/>
        <v>1.6404641047297299</v>
      </c>
      <c r="M94" s="63">
        <f t="shared" si="57"/>
        <v>0</v>
      </c>
      <c r="N94" s="407">
        <f t="shared" si="58"/>
        <v>2.6035076048019712</v>
      </c>
      <c r="O94" s="407">
        <f t="shared" si="79"/>
        <v>3.3983398454662701E-2</v>
      </c>
      <c r="P94">
        <f t="shared" si="59"/>
        <v>0.2</v>
      </c>
      <c r="Q94" s="407">
        <f t="shared" si="80"/>
        <v>0.23398339845466271</v>
      </c>
      <c r="R94" s="9">
        <f t="shared" si="87"/>
        <v>0.52512079397191758</v>
      </c>
      <c r="S94" s="9">
        <f t="shared" si="81"/>
        <v>2.7575184826169712E-3</v>
      </c>
      <c r="T94" s="9">
        <f t="shared" si="88"/>
        <v>2.7575184826169712E-3</v>
      </c>
      <c r="U94" s="407">
        <f t="shared" si="60"/>
        <v>1.203453613399065</v>
      </c>
      <c r="V94" s="409">
        <f t="shared" si="82"/>
        <v>2.8966011992065323E-3</v>
      </c>
      <c r="W94" s="407">
        <f t="shared" si="89"/>
        <v>2.8966011992065323E-3</v>
      </c>
      <c r="X94" s="407">
        <f t="shared" si="61"/>
        <v>1.203453613399065</v>
      </c>
      <c r="Y94" s="407">
        <f t="shared" si="83"/>
        <v>8.6898035976195973E-3</v>
      </c>
      <c r="Z94" s="407">
        <f t="shared" si="62"/>
        <v>5.9300073432478506E-2</v>
      </c>
      <c r="AA94" s="407">
        <f t="shared" si="63"/>
        <v>0.14400000000000002</v>
      </c>
      <c r="AB94" s="407">
        <f t="shared" si="64"/>
        <v>0</v>
      </c>
      <c r="AC94" s="407">
        <f t="shared" si="65"/>
        <v>0.21235894854110196</v>
      </c>
      <c r="AD94" s="407">
        <f t="shared" si="66"/>
        <v>2.3086687178238523</v>
      </c>
      <c r="AE94" s="407">
        <f t="shared" si="84"/>
        <v>3.1979707491950581E-2</v>
      </c>
      <c r="AF94" s="407">
        <f t="shared" si="67"/>
        <v>4.1309999999999993E-2</v>
      </c>
      <c r="AG94" s="407">
        <f t="shared" si="68"/>
        <v>7.3761481613183064E-2</v>
      </c>
      <c r="AH94" s="407">
        <f t="shared" si="69"/>
        <v>0</v>
      </c>
      <c r="AI94">
        <f t="shared" si="70"/>
        <v>0</v>
      </c>
      <c r="AJ94" s="408">
        <f t="shared" si="71"/>
        <v>0.45331083</v>
      </c>
      <c r="AK94">
        <f t="shared" si="85"/>
        <v>4.8000000000000001E-2</v>
      </c>
      <c r="AL94" s="408">
        <f t="shared" si="72"/>
        <v>5.1750000000000004E-2</v>
      </c>
      <c r="AM94" s="408">
        <f t="shared" si="86"/>
        <v>0.13648893249607535</v>
      </c>
      <c r="AN94" s="408">
        <f t="shared" si="90"/>
        <v>9.9750000000000005E-2</v>
      </c>
      <c r="AO94" s="408">
        <f t="shared" si="73"/>
        <v>1.0788187782907712</v>
      </c>
      <c r="AP94">
        <f t="shared" si="74"/>
        <v>13.004999999999999</v>
      </c>
      <c r="AQ94" s="10">
        <f t="shared" si="91"/>
        <v>0.92340012355500523</v>
      </c>
      <c r="AR94" s="63">
        <f t="shared" si="75"/>
        <v>10.617947427055098</v>
      </c>
      <c r="AS94" s="63">
        <f t="shared" si="92"/>
        <v>3.688074080659153</v>
      </c>
      <c r="AT94" s="10"/>
      <c r="AU94">
        <f t="shared" si="93"/>
        <v>92.340012355500519</v>
      </c>
      <c r="BE94" s="28"/>
      <c r="BF94" s="29"/>
    </row>
    <row r="95" spans="1:58" x14ac:dyDescent="0.25">
      <c r="G95">
        <v>86</v>
      </c>
      <c r="H95">
        <f t="shared" si="55"/>
        <v>2.58</v>
      </c>
      <c r="I95" s="407">
        <f t="shared" si="76"/>
        <v>0.2136825</v>
      </c>
      <c r="J95" s="408">
        <f t="shared" si="56"/>
        <v>1.8191888513513512</v>
      </c>
      <c r="K95" s="408">
        <f t="shared" si="77"/>
        <v>3.4895944256756755</v>
      </c>
      <c r="L95" s="408">
        <f t="shared" si="78"/>
        <v>1.6704055743243245</v>
      </c>
      <c r="M95" s="63">
        <f t="shared" si="57"/>
        <v>0</v>
      </c>
      <c r="N95" s="407">
        <f t="shared" si="58"/>
        <v>2.6329047342697547</v>
      </c>
      <c r="O95" s="407">
        <f t="shared" si="79"/>
        <v>3.4757314384596547E-2</v>
      </c>
      <c r="P95">
        <f t="shared" si="59"/>
        <v>0.2</v>
      </c>
      <c r="Q95" s="407">
        <f t="shared" si="80"/>
        <v>0.23475731438459657</v>
      </c>
      <c r="R95" s="9">
        <f t="shared" si="87"/>
        <v>0.52515458651723435</v>
      </c>
      <c r="S95" s="9">
        <f t="shared" si="81"/>
        <v>2.757873397400874E-3</v>
      </c>
      <c r="T95" s="9">
        <f t="shared" si="88"/>
        <v>2.757873397400874E-3</v>
      </c>
      <c r="U95" s="407">
        <f t="shared" si="60"/>
        <v>1.2170813946585541</v>
      </c>
      <c r="V95" s="409">
        <f t="shared" si="82"/>
        <v>2.9625742424480225E-3</v>
      </c>
      <c r="W95" s="407">
        <f t="shared" si="89"/>
        <v>2.9625742424480225E-3</v>
      </c>
      <c r="X95" s="407">
        <f t="shared" si="61"/>
        <v>1.2170813946585541</v>
      </c>
      <c r="Y95" s="407">
        <f t="shared" si="83"/>
        <v>8.8877227273440676E-3</v>
      </c>
      <c r="Z95" s="407">
        <f t="shared" si="62"/>
        <v>5.9966824422444019E-2</v>
      </c>
      <c r="AA95" s="407">
        <f t="shared" si="63"/>
        <v>0.14400000000000002</v>
      </c>
      <c r="AB95" s="407">
        <f t="shared" si="64"/>
        <v>0</v>
      </c>
      <c r="AC95" s="407">
        <f t="shared" si="65"/>
        <v>0.21323357933564699</v>
      </c>
      <c r="AD95" s="407">
        <f t="shared" si="66"/>
        <v>2.3347163036472067</v>
      </c>
      <c r="AE95" s="407">
        <f t="shared" si="84"/>
        <v>3.2705401311096456E-2</v>
      </c>
      <c r="AF95" s="407">
        <f t="shared" si="67"/>
        <v>4.1796E-2</v>
      </c>
      <c r="AG95" s="407">
        <f t="shared" si="68"/>
        <v>7.4991929541244423E-2</v>
      </c>
      <c r="AH95" s="407">
        <f t="shared" si="69"/>
        <v>0</v>
      </c>
      <c r="AI95">
        <f t="shared" si="70"/>
        <v>0</v>
      </c>
      <c r="AJ95" s="408">
        <f t="shared" si="71"/>
        <v>0.45330742800000001</v>
      </c>
      <c r="AK95">
        <f t="shared" si="85"/>
        <v>4.8000000000000001E-2</v>
      </c>
      <c r="AL95" s="408">
        <f t="shared" si="72"/>
        <v>5.1750000000000004E-2</v>
      </c>
      <c r="AM95" s="408">
        <f t="shared" si="86"/>
        <v>0.13648893249607535</v>
      </c>
      <c r="AN95" s="408">
        <f t="shared" si="90"/>
        <v>9.9750000000000005E-2</v>
      </c>
      <c r="AO95" s="408">
        <f t="shared" si="73"/>
        <v>1.0817606989013369</v>
      </c>
      <c r="AP95">
        <f t="shared" si="74"/>
        <v>13.157999999999999</v>
      </c>
      <c r="AQ95" s="10">
        <f t="shared" si="91"/>
        <v>0.92403238216041095</v>
      </c>
      <c r="AR95" s="63">
        <f t="shared" si="75"/>
        <v>10.661678966782349</v>
      </c>
      <c r="AS95" s="63">
        <f t="shared" si="92"/>
        <v>3.7495964770622212</v>
      </c>
      <c r="AT95" s="10"/>
      <c r="AU95">
        <f t="shared" si="93"/>
        <v>92.403238216041089</v>
      </c>
      <c r="BE95" s="28"/>
      <c r="BF95" s="29"/>
    </row>
    <row r="96" spans="1:58" x14ac:dyDescent="0.25">
      <c r="G96">
        <v>87</v>
      </c>
      <c r="H96">
        <f t="shared" si="55"/>
        <v>2.61</v>
      </c>
      <c r="I96" s="407">
        <f t="shared" si="76"/>
        <v>0.21369624999999995</v>
      </c>
      <c r="J96" s="408">
        <f t="shared" si="56"/>
        <v>1.8193059121621613</v>
      </c>
      <c r="K96" s="408">
        <f t="shared" si="77"/>
        <v>3.5196529560810808</v>
      </c>
      <c r="L96" s="408">
        <f t="shared" si="78"/>
        <v>1.7003470439189192</v>
      </c>
      <c r="M96" s="63">
        <f t="shared" si="57"/>
        <v>0</v>
      </c>
      <c r="N96" s="407">
        <f t="shared" si="58"/>
        <v>2.6623153144401113</v>
      </c>
      <c r="O96" s="407">
        <f t="shared" si="79"/>
        <v>3.554037714779059E-2</v>
      </c>
      <c r="P96">
        <f t="shared" si="59"/>
        <v>0.2</v>
      </c>
      <c r="Q96" s="407">
        <f t="shared" si="80"/>
        <v>0.23554037714779061</v>
      </c>
      <c r="R96" s="9">
        <f t="shared" si="87"/>
        <v>0.52518837906255078</v>
      </c>
      <c r="S96" s="9">
        <f t="shared" si="81"/>
        <v>2.7582283350234956E-3</v>
      </c>
      <c r="T96" s="9">
        <f t="shared" si="88"/>
        <v>2.7582283350234956E-3</v>
      </c>
      <c r="U96" s="407">
        <f t="shared" si="60"/>
        <v>1.2307162669798535</v>
      </c>
      <c r="V96" s="409">
        <f t="shared" si="82"/>
        <v>3.0293250596176522E-3</v>
      </c>
      <c r="W96" s="407">
        <f t="shared" si="89"/>
        <v>3.0293250596176522E-3</v>
      </c>
      <c r="X96" s="407">
        <f t="shared" si="61"/>
        <v>1.2307162669798535</v>
      </c>
      <c r="Y96" s="407">
        <f t="shared" si="83"/>
        <v>9.0879751788529566E-3</v>
      </c>
      <c r="Z96" s="407">
        <f t="shared" si="62"/>
        <v>6.0633575412409546E-2</v>
      </c>
      <c r="AA96" s="407">
        <f t="shared" si="63"/>
        <v>0.14400000000000002</v>
      </c>
      <c r="AB96" s="407">
        <f t="shared" si="64"/>
        <v>0</v>
      </c>
      <c r="AC96" s="407">
        <f t="shared" si="65"/>
        <v>0.21411071716789218</v>
      </c>
      <c r="AD96" s="407">
        <f t="shared" si="66"/>
        <v>2.3607753607011239</v>
      </c>
      <c r="AE96" s="407">
        <f t="shared" si="84"/>
        <v>3.3439561822161137E-2</v>
      </c>
      <c r="AF96" s="407">
        <f t="shared" si="67"/>
        <v>4.2281999999999993E-2</v>
      </c>
      <c r="AG96" s="407">
        <f t="shared" si="68"/>
        <v>7.6231390682464248E-2</v>
      </c>
      <c r="AH96" s="407">
        <f t="shared" si="69"/>
        <v>0</v>
      </c>
      <c r="AI96">
        <f t="shared" si="70"/>
        <v>0</v>
      </c>
      <c r="AJ96" s="408">
        <f t="shared" si="71"/>
        <v>0.45330402599999997</v>
      </c>
      <c r="AK96">
        <f t="shared" si="85"/>
        <v>4.8000000000000001E-2</v>
      </c>
      <c r="AL96" s="408">
        <f t="shared" si="72"/>
        <v>5.1750000000000004E-2</v>
      </c>
      <c r="AM96" s="408">
        <f t="shared" si="86"/>
        <v>0.13648893249607535</v>
      </c>
      <c r="AN96" s="408">
        <f t="shared" si="90"/>
        <v>9.9750000000000005E-2</v>
      </c>
      <c r="AO96" s="408">
        <f t="shared" si="73"/>
        <v>1.084724064392788</v>
      </c>
      <c r="AP96">
        <f t="shared" si="74"/>
        <v>13.310999999999998</v>
      </c>
      <c r="AQ96" s="10">
        <f t="shared" si="91"/>
        <v>0.92464956541673327</v>
      </c>
      <c r="AR96" s="63">
        <f t="shared" si="75"/>
        <v>10.705535858394608</v>
      </c>
      <c r="AS96" s="63">
        <f t="shared" si="92"/>
        <v>3.8115695341232123</v>
      </c>
      <c r="AT96" s="10"/>
      <c r="AU96">
        <f t="shared" si="93"/>
        <v>92.464956541673331</v>
      </c>
      <c r="BE96" s="28"/>
      <c r="BF96" s="29"/>
    </row>
    <row r="97" spans="7:58" x14ac:dyDescent="0.25">
      <c r="G97">
        <v>88</v>
      </c>
      <c r="H97">
        <f t="shared" si="55"/>
        <v>2.64</v>
      </c>
      <c r="I97" s="407">
        <f t="shared" si="76"/>
        <v>0.21370999999999998</v>
      </c>
      <c r="J97" s="408">
        <f t="shared" si="56"/>
        <v>1.8194229729729725</v>
      </c>
      <c r="K97" s="408">
        <f t="shared" si="77"/>
        <v>3.5497114864864865</v>
      </c>
      <c r="L97" s="408">
        <f t="shared" si="78"/>
        <v>1.7302885135135138</v>
      </c>
      <c r="M97" s="63">
        <f t="shared" si="57"/>
        <v>0</v>
      </c>
      <c r="N97" s="407">
        <f t="shared" si="58"/>
        <v>2.6917389044163413</v>
      </c>
      <c r="O97" s="407">
        <f t="shared" si="79"/>
        <v>3.6332590154931274E-2</v>
      </c>
      <c r="P97">
        <f t="shared" si="59"/>
        <v>0.2</v>
      </c>
      <c r="Q97" s="407">
        <f t="shared" si="80"/>
        <v>0.2363325901549313</v>
      </c>
      <c r="R97" s="9">
        <f t="shared" si="87"/>
        <v>0.52522217160786744</v>
      </c>
      <c r="S97" s="9">
        <f t="shared" si="81"/>
        <v>2.7585832954848417E-3</v>
      </c>
      <c r="T97" s="9">
        <f t="shared" si="88"/>
        <v>2.7585832954848417E-3</v>
      </c>
      <c r="U97" s="407">
        <f t="shared" si="60"/>
        <v>1.2443580270998402</v>
      </c>
      <c r="V97" s="409">
        <f t="shared" si="82"/>
        <v>3.0968537992156135E-3</v>
      </c>
      <c r="W97" s="407">
        <f t="shared" si="89"/>
        <v>3.0968537992156135E-3</v>
      </c>
      <c r="X97" s="407">
        <f t="shared" si="61"/>
        <v>1.2443580270998402</v>
      </c>
      <c r="Y97" s="407">
        <f t="shared" si="83"/>
        <v>9.2905613976468401E-3</v>
      </c>
      <c r="Z97" s="407">
        <f t="shared" si="62"/>
        <v>6.1300326402375052E-2</v>
      </c>
      <c r="AA97" s="407">
        <f t="shared" si="63"/>
        <v>0.14400000000000002</v>
      </c>
      <c r="AB97" s="407">
        <f t="shared" si="64"/>
        <v>0</v>
      </c>
      <c r="AC97" s="407">
        <f t="shared" si="65"/>
        <v>0.21499036403541658</v>
      </c>
      <c r="AD97" s="407">
        <f t="shared" si="66"/>
        <v>2.386845497710457</v>
      </c>
      <c r="AE97" s="407">
        <f t="shared" si="84"/>
        <v>3.4182188579644071E-2</v>
      </c>
      <c r="AF97" s="407">
        <f t="shared" si="67"/>
        <v>4.2768E-2</v>
      </c>
      <c r="AG97" s="407">
        <f t="shared" si="68"/>
        <v>7.7479874918764152E-2</v>
      </c>
      <c r="AH97" s="407">
        <f t="shared" si="69"/>
        <v>0</v>
      </c>
      <c r="AI97">
        <f t="shared" si="70"/>
        <v>0</v>
      </c>
      <c r="AJ97" s="408">
        <f t="shared" si="71"/>
        <v>0.45330062399999999</v>
      </c>
      <c r="AK97">
        <f t="shared" si="85"/>
        <v>4.8000000000000001E-2</v>
      </c>
      <c r="AL97" s="408">
        <f t="shared" si="72"/>
        <v>5.1750000000000004E-2</v>
      </c>
      <c r="AM97" s="408">
        <f t="shared" si="86"/>
        <v>0.13648893249607535</v>
      </c>
      <c r="AN97" s="408">
        <f t="shared" si="90"/>
        <v>9.9750000000000005E-2</v>
      </c>
      <c r="AO97" s="408">
        <f t="shared" si="73"/>
        <v>1.0877088902038126</v>
      </c>
      <c r="AP97">
        <f t="shared" si="74"/>
        <v>13.464</v>
      </c>
      <c r="AQ97" s="10">
        <f t="shared" si="91"/>
        <v>0.92525215434071417</v>
      </c>
      <c r="AR97" s="63">
        <f t="shared" si="75"/>
        <v>10.74951820177083</v>
      </c>
      <c r="AS97" s="63">
        <f t="shared" si="92"/>
        <v>3.8739937459382077</v>
      </c>
      <c r="AT97" s="10"/>
      <c r="AU97">
        <f t="shared" si="93"/>
        <v>92.525215434071413</v>
      </c>
      <c r="BE97" s="28"/>
      <c r="BF97" s="29"/>
    </row>
    <row r="98" spans="7:58" x14ac:dyDescent="0.25">
      <c r="G98">
        <v>89</v>
      </c>
      <c r="H98">
        <f t="shared" si="55"/>
        <v>2.67</v>
      </c>
      <c r="I98" s="407">
        <f t="shared" si="76"/>
        <v>0.21372374999999999</v>
      </c>
      <c r="J98" s="408">
        <f t="shared" si="56"/>
        <v>1.8195400337837835</v>
      </c>
      <c r="K98" s="408">
        <f t="shared" si="77"/>
        <v>3.5797700168918918</v>
      </c>
      <c r="L98" s="408">
        <f t="shared" si="78"/>
        <v>1.7602299831081081</v>
      </c>
      <c r="M98" s="63">
        <f t="shared" si="57"/>
        <v>0</v>
      </c>
      <c r="N98" s="407">
        <f t="shared" si="58"/>
        <v>2.7211750821802134</v>
      </c>
      <c r="O98" s="407">
        <f t="shared" si="79"/>
        <v>3.7133956857208841E-2</v>
      </c>
      <c r="P98">
        <f t="shared" si="59"/>
        <v>0.2</v>
      </c>
      <c r="Q98" s="407">
        <f t="shared" si="80"/>
        <v>0.23713395685720884</v>
      </c>
      <c r="R98" s="9">
        <f t="shared" si="87"/>
        <v>0.5252559641531841</v>
      </c>
      <c r="S98" s="9">
        <f t="shared" si="81"/>
        <v>2.7589382787849104E-3</v>
      </c>
      <c r="T98" s="9">
        <f t="shared" si="88"/>
        <v>2.7589382787849104E-3</v>
      </c>
      <c r="U98" s="407">
        <f t="shared" si="60"/>
        <v>1.2580064804566968</v>
      </c>
      <c r="V98" s="409">
        <f t="shared" si="82"/>
        <v>3.1651606097420912E-3</v>
      </c>
      <c r="W98" s="407">
        <f t="shared" si="89"/>
        <v>3.1651606097420912E-3</v>
      </c>
      <c r="X98" s="407">
        <f t="shared" si="61"/>
        <v>1.2580064804566968</v>
      </c>
      <c r="Y98" s="407">
        <f t="shared" si="83"/>
        <v>9.4954818292262745E-3</v>
      </c>
      <c r="Z98" s="407">
        <f t="shared" si="62"/>
        <v>6.1967077392340572E-2</v>
      </c>
      <c r="AA98" s="407">
        <f t="shared" si="63"/>
        <v>0.14400000000000002</v>
      </c>
      <c r="AB98" s="407">
        <f t="shared" si="64"/>
        <v>0</v>
      </c>
      <c r="AC98" s="407">
        <f t="shared" si="65"/>
        <v>0.21587252194347559</v>
      </c>
      <c r="AD98" s="407">
        <f t="shared" si="66"/>
        <v>2.4129263401536827</v>
      </c>
      <c r="AE98" s="407">
        <f t="shared" si="84"/>
        <v>3.4933281138044676E-2</v>
      </c>
      <c r="AF98" s="407">
        <f t="shared" si="67"/>
        <v>4.3253999999999994E-2</v>
      </c>
      <c r="AG98" s="407">
        <f t="shared" si="68"/>
        <v>7.8737392229812783E-2</v>
      </c>
      <c r="AH98" s="407">
        <f t="shared" si="69"/>
        <v>0</v>
      </c>
      <c r="AI98">
        <f t="shared" si="70"/>
        <v>0</v>
      </c>
      <c r="AJ98" s="408">
        <f t="shared" si="71"/>
        <v>0.453297222</v>
      </c>
      <c r="AK98">
        <f t="shared" si="85"/>
        <v>4.8000000000000001E-2</v>
      </c>
      <c r="AL98" s="408">
        <f t="shared" si="72"/>
        <v>5.1750000000000004E-2</v>
      </c>
      <c r="AM98" s="408">
        <f t="shared" si="86"/>
        <v>0.13648893249607535</v>
      </c>
      <c r="AN98" s="408">
        <f t="shared" si="90"/>
        <v>9.9750000000000005E-2</v>
      </c>
      <c r="AO98" s="408">
        <f t="shared" si="73"/>
        <v>1.0907151919190241</v>
      </c>
      <c r="AP98">
        <f t="shared" si="74"/>
        <v>13.616999999999999</v>
      </c>
      <c r="AQ98" s="10">
        <f t="shared" si="91"/>
        <v>0.92584060966054715</v>
      </c>
      <c r="AR98" s="63">
        <f t="shared" si="75"/>
        <v>10.79362609717378</v>
      </c>
      <c r="AS98" s="63">
        <f t="shared" si="92"/>
        <v>3.9368696114906392</v>
      </c>
      <c r="AT98" s="10"/>
      <c r="AU98">
        <f t="shared" si="93"/>
        <v>92.584060966054722</v>
      </c>
      <c r="BE98" s="28"/>
      <c r="BF98" s="29"/>
    </row>
    <row r="99" spans="7:58" x14ac:dyDescent="0.25">
      <c r="G99">
        <v>90</v>
      </c>
      <c r="H99">
        <f t="shared" si="55"/>
        <v>2.7</v>
      </c>
      <c r="I99" s="407">
        <f t="shared" si="76"/>
        <v>0.2137375</v>
      </c>
      <c r="J99" s="408">
        <f t="shared" si="56"/>
        <v>1.8196570945945945</v>
      </c>
      <c r="K99" s="408">
        <f t="shared" si="77"/>
        <v>3.6098285472972975</v>
      </c>
      <c r="L99" s="408">
        <f t="shared" si="78"/>
        <v>1.7901714527027028</v>
      </c>
      <c r="M99" s="63">
        <f t="shared" si="57"/>
        <v>0</v>
      </c>
      <c r="N99" s="407">
        <f t="shared" si="58"/>
        <v>2.7506234436018993</v>
      </c>
      <c r="O99" s="407">
        <f t="shared" si="79"/>
        <v>3.7944480746355161E-2</v>
      </c>
      <c r="P99">
        <f t="shared" si="59"/>
        <v>0.2</v>
      </c>
      <c r="Q99" s="407">
        <f t="shared" si="80"/>
        <v>0.23794448074635516</v>
      </c>
      <c r="R99" s="9">
        <f t="shared" si="87"/>
        <v>0.52528975669850075</v>
      </c>
      <c r="S99" s="9">
        <f t="shared" si="81"/>
        <v>2.7592932849237013E-3</v>
      </c>
      <c r="T99" s="9">
        <f t="shared" si="88"/>
        <v>2.7592932849237013E-3</v>
      </c>
      <c r="U99" s="407">
        <f t="shared" si="60"/>
        <v>1.2716614407335933</v>
      </c>
      <c r="V99" s="409">
        <f t="shared" si="82"/>
        <v>3.2342456396972767E-3</v>
      </c>
      <c r="W99" s="407">
        <f t="shared" si="89"/>
        <v>3.2342456396972767E-3</v>
      </c>
      <c r="X99" s="407">
        <f t="shared" si="61"/>
        <v>1.2716614407335933</v>
      </c>
      <c r="Y99" s="407">
        <f t="shared" si="83"/>
        <v>9.7027369190918304E-3</v>
      </c>
      <c r="Z99" s="407">
        <f t="shared" si="62"/>
        <v>6.2633828382306092E-2</v>
      </c>
      <c r="AA99" s="407">
        <f t="shared" si="63"/>
        <v>0.14400000000000002</v>
      </c>
      <c r="AB99" s="407">
        <f t="shared" si="64"/>
        <v>0</v>
      </c>
      <c r="AC99" s="407">
        <f t="shared" si="65"/>
        <v>0.21675719290501355</v>
      </c>
      <c r="AD99" s="407">
        <f t="shared" si="66"/>
        <v>2.4390175293842669</v>
      </c>
      <c r="AE99" s="407">
        <f t="shared" si="84"/>
        <v>3.56928390518624E-2</v>
      </c>
      <c r="AF99" s="407">
        <f t="shared" si="67"/>
        <v>4.3740000000000001E-2</v>
      </c>
      <c r="AG99" s="407">
        <f t="shared" si="68"/>
        <v>8.0003952693261091E-2</v>
      </c>
      <c r="AH99" s="407">
        <f t="shared" si="69"/>
        <v>0</v>
      </c>
      <c r="AI99">
        <f t="shared" si="70"/>
        <v>0</v>
      </c>
      <c r="AJ99" s="408">
        <f t="shared" si="71"/>
        <v>0.45329381999999996</v>
      </c>
      <c r="AK99">
        <f t="shared" si="85"/>
        <v>4.8000000000000001E-2</v>
      </c>
      <c r="AL99" s="408">
        <f t="shared" si="72"/>
        <v>5.1750000000000004E-2</v>
      </c>
      <c r="AM99" s="408">
        <f t="shared" si="86"/>
        <v>0.13648893249607535</v>
      </c>
      <c r="AN99" s="408">
        <f t="shared" si="90"/>
        <v>9.9750000000000005E-2</v>
      </c>
      <c r="AO99" s="408">
        <f t="shared" si="73"/>
        <v>1.0937429852692508</v>
      </c>
      <c r="AP99">
        <f t="shared" si="74"/>
        <v>13.77</v>
      </c>
      <c r="AQ99" s="10">
        <f t="shared" si="91"/>
        <v>0.92641537287389797</v>
      </c>
      <c r="AR99" s="63">
        <f t="shared" si="75"/>
        <v>10.837859645250678</v>
      </c>
      <c r="AS99" s="63">
        <f t="shared" si="92"/>
        <v>4.0001976346630546</v>
      </c>
      <c r="AT99" s="10"/>
      <c r="AU99">
        <f t="shared" si="93"/>
        <v>92.641537287389795</v>
      </c>
      <c r="BE99" s="28"/>
      <c r="BF99" s="29"/>
    </row>
    <row r="100" spans="7:58" x14ac:dyDescent="0.25">
      <c r="G100">
        <v>91</v>
      </c>
      <c r="H100">
        <f t="shared" si="55"/>
        <v>2.73</v>
      </c>
      <c r="I100" s="407">
        <f t="shared" si="76"/>
        <v>0.21375124999999998</v>
      </c>
      <c r="J100" s="408">
        <f t="shared" si="56"/>
        <v>1.819774155405405</v>
      </c>
      <c r="K100" s="408">
        <f t="shared" si="77"/>
        <v>3.6398870777027024</v>
      </c>
      <c r="L100" s="408">
        <f t="shared" si="78"/>
        <v>1.8201129222972976</v>
      </c>
      <c r="M100" s="63">
        <f t="shared" si="57"/>
        <v>0</v>
      </c>
      <c r="N100" s="407">
        <f t="shared" si="58"/>
        <v>2.7800836015109547</v>
      </c>
      <c r="O100" s="407">
        <f t="shared" si="79"/>
        <v>3.8764165354681801E-2</v>
      </c>
      <c r="P100">
        <f t="shared" si="59"/>
        <v>0.2</v>
      </c>
      <c r="Q100" s="407">
        <f t="shared" si="80"/>
        <v>0.23876416535468181</v>
      </c>
      <c r="R100" s="9">
        <f t="shared" si="87"/>
        <v>0.5253235492438173</v>
      </c>
      <c r="S100" s="9">
        <f t="shared" si="81"/>
        <v>2.7596483139012136E-3</v>
      </c>
      <c r="T100" s="9">
        <f t="shared" si="88"/>
        <v>2.7596483139012136E-3</v>
      </c>
      <c r="U100" s="407">
        <f t="shared" si="60"/>
        <v>1.2853227294305027</v>
      </c>
      <c r="V100" s="409">
        <f t="shared" si="82"/>
        <v>3.3041090375813551E-3</v>
      </c>
      <c r="W100" s="407">
        <f t="shared" si="89"/>
        <v>3.3041090375813551E-3</v>
      </c>
      <c r="X100" s="407">
        <f t="shared" si="61"/>
        <v>1.2853227294305027</v>
      </c>
      <c r="Y100" s="407">
        <f t="shared" si="83"/>
        <v>9.9123271127440644E-3</v>
      </c>
      <c r="Z100" s="407">
        <f t="shared" si="62"/>
        <v>6.3300579372271598E-2</v>
      </c>
      <c r="AA100" s="407">
        <f t="shared" si="63"/>
        <v>0.14400000000000002</v>
      </c>
      <c r="AB100" s="407">
        <f t="shared" si="64"/>
        <v>0</v>
      </c>
      <c r="AC100" s="407">
        <f t="shared" si="65"/>
        <v>0.21764437894067767</v>
      </c>
      <c r="AD100" s="407">
        <f t="shared" si="66"/>
        <v>2.4651187218062018</v>
      </c>
      <c r="AE100" s="407">
        <f t="shared" si="84"/>
        <v>3.6460861875596655E-2</v>
      </c>
      <c r="AF100" s="407">
        <f t="shared" si="67"/>
        <v>4.4225999999999994E-2</v>
      </c>
      <c r="AG100" s="407">
        <f t="shared" si="68"/>
        <v>8.1279566484980095E-2</v>
      </c>
      <c r="AH100" s="407">
        <f t="shared" si="69"/>
        <v>0</v>
      </c>
      <c r="AI100">
        <f t="shared" si="70"/>
        <v>0</v>
      </c>
      <c r="AJ100" s="408">
        <f t="shared" si="71"/>
        <v>0.45329041799999997</v>
      </c>
      <c r="AK100">
        <f t="shared" si="85"/>
        <v>4.8000000000000001E-2</v>
      </c>
      <c r="AL100" s="408">
        <f t="shared" si="72"/>
        <v>5.1750000000000004E-2</v>
      </c>
      <c r="AM100" s="408">
        <f t="shared" si="86"/>
        <v>0.13648893249607535</v>
      </c>
      <c r="AN100" s="408">
        <f t="shared" si="90"/>
        <v>9.9750000000000005E-2</v>
      </c>
      <c r="AO100" s="408">
        <f t="shared" si="73"/>
        <v>1.0967922861318222</v>
      </c>
      <c r="AP100">
        <f t="shared" si="74"/>
        <v>13.922999999999998</v>
      </c>
      <c r="AQ100" s="10">
        <f t="shared" si="91"/>
        <v>0.92697686724039985</v>
      </c>
      <c r="AR100" s="63">
        <f t="shared" si="75"/>
        <v>10.882218947033884</v>
      </c>
      <c r="AS100" s="63">
        <f t="shared" si="92"/>
        <v>4.0639783242490051</v>
      </c>
      <c r="AT100" s="10"/>
      <c r="AU100">
        <f t="shared" si="93"/>
        <v>92.697686724039983</v>
      </c>
      <c r="BE100" s="28"/>
      <c r="BF100" s="29"/>
    </row>
    <row r="101" spans="7:58" x14ac:dyDescent="0.25">
      <c r="G101">
        <v>92</v>
      </c>
      <c r="H101">
        <f t="shared" si="55"/>
        <v>2.7600000000000002</v>
      </c>
      <c r="I101" s="407">
        <f t="shared" si="76"/>
        <v>0.21376499999999998</v>
      </c>
      <c r="J101" s="408">
        <f t="shared" si="56"/>
        <v>1.8198912162162157</v>
      </c>
      <c r="K101" s="408">
        <f t="shared" si="77"/>
        <v>3.6699456081081081</v>
      </c>
      <c r="L101" s="408">
        <f t="shared" si="78"/>
        <v>1.8500543918918924</v>
      </c>
      <c r="M101" s="63">
        <f t="shared" si="57"/>
        <v>0</v>
      </c>
      <c r="N101" s="407">
        <f t="shared" si="58"/>
        <v>2.8095551848240579</v>
      </c>
      <c r="O101" s="407">
        <f t="shared" si="79"/>
        <v>3.9593014255118769E-2</v>
      </c>
      <c r="P101">
        <f t="shared" si="59"/>
        <v>0.2</v>
      </c>
      <c r="Q101" s="407">
        <f t="shared" si="80"/>
        <v>0.23959301425511878</v>
      </c>
      <c r="R101" s="9">
        <f t="shared" si="87"/>
        <v>0.52535734178913385</v>
      </c>
      <c r="S101" s="9">
        <f t="shared" si="81"/>
        <v>2.7600033657174477E-3</v>
      </c>
      <c r="T101" s="9">
        <f t="shared" si="88"/>
        <v>2.7600033657174477E-3</v>
      </c>
      <c r="U101" s="407">
        <f t="shared" si="60"/>
        <v>1.2989901754621775</v>
      </c>
      <c r="V101" s="409">
        <f t="shared" si="82"/>
        <v>3.3747509518945178E-3</v>
      </c>
      <c r="W101" s="407">
        <f t="shared" si="89"/>
        <v>3.3747509518945178E-3</v>
      </c>
      <c r="X101" s="407">
        <f t="shared" si="61"/>
        <v>1.2989901754621775</v>
      </c>
      <c r="Y101" s="407">
        <f t="shared" si="83"/>
        <v>1.0124252855683554E-2</v>
      </c>
      <c r="Z101" s="407">
        <f t="shared" si="62"/>
        <v>6.3967330362237118E-2</v>
      </c>
      <c r="AA101" s="407">
        <f t="shared" si="63"/>
        <v>0.14400000000000002</v>
      </c>
      <c r="AB101" s="407">
        <f t="shared" si="64"/>
        <v>0</v>
      </c>
      <c r="AC101" s="407">
        <f t="shared" si="65"/>
        <v>0.21853408207883082</v>
      </c>
      <c r="AD101" s="407">
        <f t="shared" si="66"/>
        <v>2.4912295880999178</v>
      </c>
      <c r="AE101" s="407">
        <f t="shared" si="84"/>
        <v>3.7237349163746915E-2</v>
      </c>
      <c r="AF101" s="407">
        <f t="shared" si="67"/>
        <v>4.4712000000000002E-2</v>
      </c>
      <c r="AG101" s="407">
        <f t="shared" si="68"/>
        <v>8.2564243879301766E-2</v>
      </c>
      <c r="AH101" s="407">
        <f t="shared" si="69"/>
        <v>0</v>
      </c>
      <c r="AI101">
        <f t="shared" si="70"/>
        <v>0</v>
      </c>
      <c r="AJ101" s="408">
        <f t="shared" si="71"/>
        <v>0.45328701600000004</v>
      </c>
      <c r="AK101">
        <f t="shared" si="85"/>
        <v>4.8000000000000001E-2</v>
      </c>
      <c r="AL101" s="408">
        <f t="shared" si="72"/>
        <v>5.1750000000000004E-2</v>
      </c>
      <c r="AM101" s="408">
        <f t="shared" si="86"/>
        <v>0.13648893249607535</v>
      </c>
      <c r="AN101" s="408">
        <f t="shared" si="90"/>
        <v>9.9750000000000005E-2</v>
      </c>
      <c r="AO101" s="408">
        <f t="shared" si="73"/>
        <v>1.0998631105308634</v>
      </c>
      <c r="AP101">
        <f t="shared" si="74"/>
        <v>14.076000000000001</v>
      </c>
      <c r="AQ101" s="10">
        <f t="shared" si="91"/>
        <v>0.92752549871330581</v>
      </c>
      <c r="AR101" s="63">
        <f t="shared" si="75"/>
        <v>10.926704103941541</v>
      </c>
      <c r="AS101" s="63">
        <f t="shared" si="92"/>
        <v>4.128212193965088</v>
      </c>
      <c r="AT101" s="10"/>
      <c r="AU101">
        <f t="shared" si="93"/>
        <v>92.752549871330586</v>
      </c>
      <c r="BE101" s="28"/>
      <c r="BF101" s="29"/>
    </row>
    <row r="102" spans="7:58" x14ac:dyDescent="0.25">
      <c r="G102">
        <v>93</v>
      </c>
      <c r="H102">
        <f t="shared" si="55"/>
        <v>2.79</v>
      </c>
      <c r="I102" s="407">
        <f t="shared" si="76"/>
        <v>0.21377875000000002</v>
      </c>
      <c r="J102" s="408">
        <f t="shared" si="56"/>
        <v>1.8200082770270267</v>
      </c>
      <c r="K102" s="408">
        <f t="shared" si="77"/>
        <v>3.7000041385135134</v>
      </c>
      <c r="L102" s="408">
        <f t="shared" si="78"/>
        <v>1.8799958614864867</v>
      </c>
      <c r="M102" s="63">
        <f t="shared" si="57"/>
        <v>0</v>
      </c>
      <c r="N102" s="407">
        <f t="shared" si="58"/>
        <v>2.8390378377255279</v>
      </c>
      <c r="O102" s="407">
        <f t="shared" si="79"/>
        <v>4.0431031061253474E-2</v>
      </c>
      <c r="P102">
        <f t="shared" si="59"/>
        <v>0.2</v>
      </c>
      <c r="Q102" s="407">
        <f t="shared" si="80"/>
        <v>0.24043103106125349</v>
      </c>
      <c r="R102" s="9">
        <f t="shared" si="87"/>
        <v>0.5253911343344505</v>
      </c>
      <c r="S102" s="9">
        <f t="shared" si="81"/>
        <v>2.7603584403724062E-3</v>
      </c>
      <c r="T102" s="9">
        <f t="shared" si="88"/>
        <v>2.7603584403724062E-3</v>
      </c>
      <c r="U102" s="407">
        <f t="shared" si="60"/>
        <v>1.3126636147804496</v>
      </c>
      <c r="V102" s="409">
        <f t="shared" si="82"/>
        <v>3.446171531136953E-3</v>
      </c>
      <c r="W102" s="407">
        <f t="shared" si="89"/>
        <v>3.446171531136953E-3</v>
      </c>
      <c r="X102" s="407">
        <f t="shared" si="61"/>
        <v>1.3126636147804496</v>
      </c>
      <c r="Y102" s="407">
        <f t="shared" si="83"/>
        <v>1.033851459341086E-2</v>
      </c>
      <c r="Z102" s="407">
        <f t="shared" si="62"/>
        <v>6.4634081352202624E-2</v>
      </c>
      <c r="AA102" s="407">
        <f t="shared" si="63"/>
        <v>0.14400000000000002</v>
      </c>
      <c r="AB102" s="407">
        <f t="shared" si="64"/>
        <v>0</v>
      </c>
      <c r="AC102" s="407">
        <f t="shared" si="65"/>
        <v>0.21942630435556515</v>
      </c>
      <c r="AD102" s="407">
        <f t="shared" si="66"/>
        <v>2.5173498124950302</v>
      </c>
      <c r="AE102" s="407">
        <f t="shared" si="84"/>
        <v>3.8022300470812585E-2</v>
      </c>
      <c r="AF102" s="407">
        <f t="shared" si="67"/>
        <v>4.5197999999999995E-2</v>
      </c>
      <c r="AG102" s="407">
        <f t="shared" si="68"/>
        <v>8.385799524926206E-2</v>
      </c>
      <c r="AH102" s="407">
        <f t="shared" si="69"/>
        <v>0</v>
      </c>
      <c r="AI102">
        <f t="shared" si="70"/>
        <v>0</v>
      </c>
      <c r="AJ102" s="408">
        <f t="shared" si="71"/>
        <v>0.453283614</v>
      </c>
      <c r="AK102">
        <f t="shared" si="85"/>
        <v>4.8000000000000001E-2</v>
      </c>
      <c r="AL102" s="408">
        <f t="shared" si="72"/>
        <v>5.1750000000000004E-2</v>
      </c>
      <c r="AM102" s="408">
        <f t="shared" si="86"/>
        <v>0.13648893249607535</v>
      </c>
      <c r="AN102" s="408">
        <f t="shared" si="90"/>
        <v>9.9750000000000005E-2</v>
      </c>
      <c r="AO102" s="408">
        <f t="shared" si="73"/>
        <v>1.10295547463759</v>
      </c>
      <c r="AP102">
        <f t="shared" si="74"/>
        <v>14.228999999999999</v>
      </c>
      <c r="AQ102" s="10">
        <f t="shared" si="91"/>
        <v>0.9280616568146105</v>
      </c>
      <c r="AR102" s="63">
        <f t="shared" si="75"/>
        <v>10.971315217778258</v>
      </c>
      <c r="AS102" s="63">
        <f t="shared" si="92"/>
        <v>4.192899762463103</v>
      </c>
      <c r="AT102" s="10"/>
      <c r="AU102">
        <f t="shared" si="93"/>
        <v>92.806165681461053</v>
      </c>
      <c r="BE102" s="28"/>
      <c r="BF102" s="29"/>
    </row>
    <row r="103" spans="7:58" x14ac:dyDescent="0.25">
      <c r="G103">
        <v>94</v>
      </c>
      <c r="H103">
        <f t="shared" si="55"/>
        <v>2.82</v>
      </c>
      <c r="I103" s="407">
        <f t="shared" si="76"/>
        <v>0.21379249999999997</v>
      </c>
      <c r="J103" s="408">
        <f t="shared" si="56"/>
        <v>1.8201253378378373</v>
      </c>
      <c r="K103" s="408">
        <f t="shared" si="77"/>
        <v>3.7300626689189187</v>
      </c>
      <c r="L103" s="408">
        <f t="shared" si="78"/>
        <v>1.9099373310810812</v>
      </c>
      <c r="M103" s="63">
        <f t="shared" si="57"/>
        <v>0</v>
      </c>
      <c r="N103" s="407">
        <f t="shared" si="58"/>
        <v>2.8685312188969823</v>
      </c>
      <c r="O103" s="407">
        <f t="shared" si="79"/>
        <v>4.1278219427370408E-2</v>
      </c>
      <c r="P103">
        <f t="shared" si="59"/>
        <v>0.2</v>
      </c>
      <c r="Q103" s="407">
        <f t="shared" si="80"/>
        <v>0.24127821942737043</v>
      </c>
      <c r="R103" s="9">
        <f t="shared" si="87"/>
        <v>0.52542492687976694</v>
      </c>
      <c r="S103" s="9">
        <f t="shared" si="81"/>
        <v>2.7607135378660843E-3</v>
      </c>
      <c r="T103" s="9">
        <f t="shared" si="88"/>
        <v>2.7607135378660843E-3</v>
      </c>
      <c r="U103" s="407">
        <f t="shared" si="60"/>
        <v>1.3263428900191772</v>
      </c>
      <c r="V103" s="409">
        <f t="shared" si="82"/>
        <v>3.5183709238088465E-3</v>
      </c>
      <c r="W103" s="407">
        <f t="shared" si="89"/>
        <v>3.5183709238088465E-3</v>
      </c>
      <c r="X103" s="407">
        <f t="shared" si="61"/>
        <v>1.3263428900191772</v>
      </c>
      <c r="Y103" s="407">
        <f t="shared" si="83"/>
        <v>1.0555112771426539E-2</v>
      </c>
      <c r="Z103" s="407">
        <f t="shared" si="62"/>
        <v>6.5300832342168144E-2</v>
      </c>
      <c r="AA103" s="407">
        <f t="shared" si="63"/>
        <v>0.14400000000000002</v>
      </c>
      <c r="AB103" s="407">
        <f t="shared" si="64"/>
        <v>0</v>
      </c>
      <c r="AC103" s="407">
        <f t="shared" si="65"/>
        <v>0.22032104781471534</v>
      </c>
      <c r="AD103" s="407">
        <f t="shared" si="66"/>
        <v>2.5434790920867001</v>
      </c>
      <c r="AE103" s="407">
        <f t="shared" si="84"/>
        <v>3.8815715351293106E-2</v>
      </c>
      <c r="AF103" s="407">
        <f t="shared" si="67"/>
        <v>4.5683999999999995E-2</v>
      </c>
      <c r="AG103" s="407">
        <f t="shared" si="68"/>
        <v>8.5160831066847173E-2</v>
      </c>
      <c r="AH103" s="407">
        <f t="shared" si="69"/>
        <v>0</v>
      </c>
      <c r="AI103">
        <f t="shared" si="70"/>
        <v>0</v>
      </c>
      <c r="AJ103" s="408">
        <f t="shared" si="71"/>
        <v>0.45328021200000002</v>
      </c>
      <c r="AK103">
        <f t="shared" si="85"/>
        <v>4.8000000000000001E-2</v>
      </c>
      <c r="AL103" s="408">
        <f t="shared" si="72"/>
        <v>5.1750000000000004E-2</v>
      </c>
      <c r="AM103" s="408">
        <f t="shared" si="86"/>
        <v>0.13648893249607535</v>
      </c>
      <c r="AN103" s="408">
        <f t="shared" si="90"/>
        <v>9.9750000000000005E-2</v>
      </c>
      <c r="AO103" s="408">
        <f t="shared" si="73"/>
        <v>1.1060693947706079</v>
      </c>
      <c r="AP103">
        <f t="shared" si="74"/>
        <v>14.381999999999998</v>
      </c>
      <c r="AQ103" s="10">
        <f t="shared" si="91"/>
        <v>0.9285857154575986</v>
      </c>
      <c r="AR103" s="63">
        <f t="shared" si="75"/>
        <v>11.016052390735767</v>
      </c>
      <c r="AS103" s="63">
        <f t="shared" si="92"/>
        <v>4.258041553342359</v>
      </c>
      <c r="AT103" s="10"/>
      <c r="AU103">
        <f t="shared" si="93"/>
        <v>92.858571545759858</v>
      </c>
      <c r="BE103" s="28"/>
      <c r="BF103" s="29"/>
    </row>
    <row r="104" spans="7:58" x14ac:dyDescent="0.25">
      <c r="G104">
        <v>95</v>
      </c>
      <c r="H104">
        <f t="shared" si="55"/>
        <v>2.8499999999999996</v>
      </c>
      <c r="I104" s="407">
        <f t="shared" si="76"/>
        <v>0.21380624999999998</v>
      </c>
      <c r="J104" s="408">
        <f t="shared" si="56"/>
        <v>1.8202423986486482</v>
      </c>
      <c r="K104" s="408">
        <f t="shared" si="77"/>
        <v>3.760121199324324</v>
      </c>
      <c r="L104" s="408">
        <f t="shared" si="78"/>
        <v>1.9398788006756755</v>
      </c>
      <c r="M104" s="63">
        <f t="shared" si="57"/>
        <v>0</v>
      </c>
      <c r="N104" s="407">
        <f t="shared" si="58"/>
        <v>2.8980350007927522</v>
      </c>
      <c r="O104" s="407">
        <f t="shared" si="79"/>
        <v>4.2134583048491041E-2</v>
      </c>
      <c r="P104">
        <f t="shared" si="59"/>
        <v>0.2</v>
      </c>
      <c r="Q104" s="407">
        <f t="shared" si="80"/>
        <v>0.24213458304849106</v>
      </c>
      <c r="R104" s="9">
        <f t="shared" si="87"/>
        <v>0.5254587194250836</v>
      </c>
      <c r="S104" s="9">
        <f t="shared" si="81"/>
        <v>2.7610686581984872E-3</v>
      </c>
      <c r="T104" s="9">
        <f t="shared" si="88"/>
        <v>2.7610686581984872E-3</v>
      </c>
      <c r="U104" s="407">
        <f t="shared" si="60"/>
        <v>1.3400278501602847</v>
      </c>
      <c r="V104" s="409">
        <f t="shared" si="82"/>
        <v>3.5913492784103887E-3</v>
      </c>
      <c r="W104" s="407">
        <f t="shared" si="89"/>
        <v>3.5913492784103887E-3</v>
      </c>
      <c r="X104" s="407">
        <f t="shared" si="61"/>
        <v>1.3400278501602847</v>
      </c>
      <c r="Y104" s="407">
        <f t="shared" si="83"/>
        <v>1.0774047835231166E-2</v>
      </c>
      <c r="Z104" s="407">
        <f t="shared" si="62"/>
        <v>6.596758333213365E-2</v>
      </c>
      <c r="AA104" s="407">
        <f t="shared" si="63"/>
        <v>0.14400000000000002</v>
      </c>
      <c r="AB104" s="407">
        <f t="shared" si="64"/>
        <v>0</v>
      </c>
      <c r="AC104" s="407">
        <f t="shared" si="65"/>
        <v>0.22121831450787224</v>
      </c>
      <c r="AD104" s="407">
        <f t="shared" si="66"/>
        <v>2.5696171361925986</v>
      </c>
      <c r="AE104" s="407">
        <f t="shared" si="84"/>
        <v>3.9617593359687911E-2</v>
      </c>
      <c r="AF104" s="407">
        <f t="shared" si="67"/>
        <v>4.6169999999999989E-2</v>
      </c>
      <c r="AG104" s="407">
        <f t="shared" si="68"/>
        <v>8.6472761903242254E-2</v>
      </c>
      <c r="AH104" s="407">
        <f t="shared" si="69"/>
        <v>0</v>
      </c>
      <c r="AI104">
        <f t="shared" si="70"/>
        <v>0</v>
      </c>
      <c r="AJ104" s="408">
        <f t="shared" si="71"/>
        <v>0.45327681000000003</v>
      </c>
      <c r="AK104">
        <f t="shared" si="85"/>
        <v>4.8000000000000001E-2</v>
      </c>
      <c r="AL104" s="408">
        <f t="shared" si="72"/>
        <v>5.1750000000000004E-2</v>
      </c>
      <c r="AM104" s="408">
        <f t="shared" si="86"/>
        <v>0.13648893249607535</v>
      </c>
      <c r="AN104" s="408">
        <f t="shared" si="90"/>
        <v>9.9750000000000005E-2</v>
      </c>
      <c r="AO104" s="408">
        <f t="shared" si="73"/>
        <v>1.1092048873962144</v>
      </c>
      <c r="AP104">
        <f t="shared" si="74"/>
        <v>14.534999999999997</v>
      </c>
      <c r="AQ104" s="10">
        <f t="shared" si="91"/>
        <v>0.92909803372047073</v>
      </c>
      <c r="AR104" s="63">
        <f t="shared" si="75"/>
        <v>11.060915725393611</v>
      </c>
      <c r="AS104" s="63">
        <f t="shared" si="92"/>
        <v>4.3236380951621127</v>
      </c>
      <c r="AT104" s="10"/>
      <c r="AU104">
        <f t="shared" si="93"/>
        <v>92.90980337204708</v>
      </c>
      <c r="BE104" s="28"/>
      <c r="BF104" s="29"/>
    </row>
    <row r="105" spans="7:58" x14ac:dyDescent="0.25">
      <c r="G105">
        <v>96</v>
      </c>
      <c r="H105">
        <f t="shared" si="55"/>
        <v>2.88</v>
      </c>
      <c r="I105" s="407">
        <f t="shared" si="76"/>
        <v>0.21382000000000001</v>
      </c>
      <c r="J105" s="408">
        <f t="shared" si="56"/>
        <v>1.8203594594594592</v>
      </c>
      <c r="K105" s="408">
        <f t="shared" si="77"/>
        <v>3.7901797297297293</v>
      </c>
      <c r="L105" s="408">
        <f t="shared" si="78"/>
        <v>1.9698202702702703</v>
      </c>
      <c r="M105" s="63">
        <f t="shared" si="57"/>
        <v>0</v>
      </c>
      <c r="N105" s="407">
        <f t="shared" si="58"/>
        <v>2.9275488689579481</v>
      </c>
      <c r="O105" s="407">
        <f t="shared" si="79"/>
        <v>4.3000125660414321E-2</v>
      </c>
      <c r="P105">
        <f t="shared" si="59"/>
        <v>0.2</v>
      </c>
      <c r="Q105" s="407">
        <f t="shared" si="80"/>
        <v>0.24300012566041435</v>
      </c>
      <c r="R105" s="9">
        <f t="shared" si="87"/>
        <v>0.52549251197040026</v>
      </c>
      <c r="S105" s="9">
        <f t="shared" si="81"/>
        <v>2.7614238013696124E-3</v>
      </c>
      <c r="T105" s="9">
        <f t="shared" si="88"/>
        <v>2.7614238013696124E-3</v>
      </c>
      <c r="U105" s="407">
        <f t="shared" si="60"/>
        <v>1.3537183502194559</v>
      </c>
      <c r="V105" s="409">
        <f t="shared" si="82"/>
        <v>3.6651067434417708E-3</v>
      </c>
      <c r="W105" s="407">
        <f t="shared" si="89"/>
        <v>3.6651067434417708E-3</v>
      </c>
      <c r="X105" s="407">
        <f t="shared" si="61"/>
        <v>1.3537183502194559</v>
      </c>
      <c r="Y105" s="407">
        <f t="shared" si="83"/>
        <v>1.0995320230325312E-2</v>
      </c>
      <c r="Z105" s="407">
        <f t="shared" si="62"/>
        <v>6.663433432209917E-2</v>
      </c>
      <c r="AA105" s="407">
        <f t="shared" si="63"/>
        <v>0.14400000000000002</v>
      </c>
      <c r="AB105" s="407">
        <f t="shared" si="64"/>
        <v>0</v>
      </c>
      <c r="AC105" s="407">
        <f t="shared" ref="AC105:AC109" si="94">(AB105+AA105+Z105+Y105*(1+RdsonTopTc*Ta-RdsonTopTc*25))/(1-Y105*RdsonTopTc*ThetaJaTop)</f>
        <v>0.22211810649439639</v>
      </c>
      <c r="AD105" s="407">
        <f t="shared" si="66"/>
        <v>2.595763665747727</v>
      </c>
      <c r="AE105" s="407">
        <f t="shared" si="84"/>
        <v>4.0427934050496467E-2</v>
      </c>
      <c r="AF105" s="407">
        <f t="shared" si="67"/>
        <v>4.6655999999999996E-2</v>
      </c>
      <c r="AG105" s="407">
        <f t="shared" ref="AG105:AG109" si="95">(AF105+AE105*(1+RdsonBotTc*Ta-RdsonBotTc*25))/(1-AE105*RdsonBotTc*ThetaJaBot)</f>
        <v>8.7793798429083178E-2</v>
      </c>
      <c r="AH105" s="407">
        <f t="shared" si="69"/>
        <v>0</v>
      </c>
      <c r="AI105">
        <f t="shared" si="70"/>
        <v>0</v>
      </c>
      <c r="AJ105" s="408">
        <f t="shared" si="71"/>
        <v>0.45327340799999999</v>
      </c>
      <c r="AK105">
        <f t="shared" si="85"/>
        <v>4.8000000000000001E-2</v>
      </c>
      <c r="AL105" s="408">
        <f t="shared" si="72"/>
        <v>5.1750000000000004E-2</v>
      </c>
      <c r="AM105" s="408">
        <f t="shared" si="86"/>
        <v>0.13648893249607535</v>
      </c>
      <c r="AN105" s="408">
        <f t="shared" si="90"/>
        <v>9.9750000000000005E-2</v>
      </c>
      <c r="AO105" s="408">
        <f t="shared" ref="AO105:AO109" si="96">SUM(Q105,T105,W105,AC105,AJ105,AI105,AG105,AN105, AH105)</f>
        <v>1.1123619691287052</v>
      </c>
      <c r="AP105">
        <f t="shared" si="74"/>
        <v>14.687999999999999</v>
      </c>
      <c r="AQ105" s="10">
        <f t="shared" si="91"/>
        <v>0.92959895657440772</v>
      </c>
      <c r="AR105" s="63">
        <f t="shared" si="75"/>
        <v>11.105905324719819</v>
      </c>
      <c r="AS105" s="63">
        <f t="shared" si="92"/>
        <v>4.3896899214541589</v>
      </c>
      <c r="AT105" s="10"/>
      <c r="AU105">
        <f t="shared" si="93"/>
        <v>92.959895657440768</v>
      </c>
      <c r="BE105" s="28"/>
      <c r="BF105" s="29"/>
    </row>
    <row r="106" spans="7:58" x14ac:dyDescent="0.25">
      <c r="G106">
        <v>97</v>
      </c>
      <c r="H106">
        <f t="shared" si="55"/>
        <v>2.91</v>
      </c>
      <c r="I106" s="407">
        <f t="shared" si="76"/>
        <v>0.21383374999999996</v>
      </c>
      <c r="J106" s="408">
        <f t="shared" si="56"/>
        <v>1.8204765202702697</v>
      </c>
      <c r="K106" s="408">
        <f t="shared" si="77"/>
        <v>3.820238260135135</v>
      </c>
      <c r="L106" s="408">
        <f t="shared" si="78"/>
        <v>1.9997617398648653</v>
      </c>
      <c r="M106" s="63">
        <f t="shared" si="57"/>
        <v>0</v>
      </c>
      <c r="N106" s="407">
        <f t="shared" si="58"/>
        <v>2.9570725213863032</v>
      </c>
      <c r="O106" s="407">
        <f t="shared" si="79"/>
        <v>4.3874851039757586E-2</v>
      </c>
      <c r="P106">
        <f t="shared" si="59"/>
        <v>0.2</v>
      </c>
      <c r="Q106" s="407">
        <f t="shared" si="80"/>
        <v>0.24387485103975759</v>
      </c>
      <c r="R106" s="9">
        <f t="shared" si="87"/>
        <v>0.5255263045157168</v>
      </c>
      <c r="S106" s="9">
        <f t="shared" si="81"/>
        <v>2.761778967379459E-3</v>
      </c>
      <c r="T106" s="9">
        <f t="shared" si="88"/>
        <v>2.761778967379459E-3</v>
      </c>
      <c r="U106" s="407">
        <f t="shared" si="60"/>
        <v>1.3674142509501603</v>
      </c>
      <c r="V106" s="409">
        <f t="shared" si="82"/>
        <v>3.7396434674031765E-3</v>
      </c>
      <c r="W106" s="407">
        <f t="shared" si="89"/>
        <v>3.7396434674031765E-3</v>
      </c>
      <c r="X106" s="407">
        <f t="shared" si="61"/>
        <v>1.3674142509501603</v>
      </c>
      <c r="Y106" s="407">
        <f t="shared" si="83"/>
        <v>1.1218930402209528E-2</v>
      </c>
      <c r="Z106" s="407">
        <f t="shared" si="62"/>
        <v>6.7301085312064676E-2</v>
      </c>
      <c r="AA106" s="407">
        <f t="shared" si="63"/>
        <v>0.14400000000000002</v>
      </c>
      <c r="AB106" s="407">
        <f t="shared" si="64"/>
        <v>0</v>
      </c>
      <c r="AC106" s="407">
        <f t="shared" si="94"/>
        <v>0.22302042584143147</v>
      </c>
      <c r="AD106" s="407">
        <f t="shared" si="66"/>
        <v>2.6219184127345305</v>
      </c>
      <c r="AE106" s="407">
        <f t="shared" si="84"/>
        <v>4.1246736978218158E-2</v>
      </c>
      <c r="AF106" s="407">
        <f t="shared" si="67"/>
        <v>4.7141999999999996E-2</v>
      </c>
      <c r="AG106" s="407">
        <f t="shared" si="95"/>
        <v>8.9123951414710564E-2</v>
      </c>
      <c r="AH106" s="407">
        <f t="shared" si="69"/>
        <v>0</v>
      </c>
      <c r="AI106">
        <f t="shared" si="70"/>
        <v>0</v>
      </c>
      <c r="AJ106" s="408">
        <f t="shared" si="71"/>
        <v>0.453270006</v>
      </c>
      <c r="AK106">
        <f t="shared" si="85"/>
        <v>4.8000000000000001E-2</v>
      </c>
      <c r="AL106" s="408">
        <f t="shared" si="72"/>
        <v>5.1750000000000004E-2</v>
      </c>
      <c r="AM106" s="408">
        <f t="shared" si="86"/>
        <v>0.13648893249607535</v>
      </c>
      <c r="AN106" s="408">
        <f t="shared" si="90"/>
        <v>9.9750000000000005E-2</v>
      </c>
      <c r="AO106" s="408">
        <f t="shared" si="96"/>
        <v>1.1155406567306823</v>
      </c>
      <c r="AP106">
        <f t="shared" si="74"/>
        <v>14.840999999999999</v>
      </c>
      <c r="AQ106" s="10">
        <f t="shared" si="91"/>
        <v>0.93008881556917344</v>
      </c>
      <c r="AR106" s="63">
        <f t="shared" si="75"/>
        <v>11.151021292071574</v>
      </c>
      <c r="AS106" s="63">
        <f t="shared" si="92"/>
        <v>4.4561975707355286</v>
      </c>
      <c r="AT106" s="10"/>
      <c r="AU106">
        <f t="shared" si="93"/>
        <v>93.008881556917345</v>
      </c>
      <c r="BE106" s="28"/>
      <c r="BF106" s="29"/>
    </row>
    <row r="107" spans="7:58" x14ac:dyDescent="0.25">
      <c r="G107">
        <v>98</v>
      </c>
      <c r="H107">
        <f t="shared" si="55"/>
        <v>2.94</v>
      </c>
      <c r="I107" s="407">
        <f t="shared" si="76"/>
        <v>0.2138475</v>
      </c>
      <c r="J107" s="408">
        <f t="shared" si="56"/>
        <v>1.8205935810810805</v>
      </c>
      <c r="K107" s="408">
        <f t="shared" si="77"/>
        <v>3.8502967905405403</v>
      </c>
      <c r="L107" s="408">
        <f t="shared" si="78"/>
        <v>2.0297032094594596</v>
      </c>
      <c r="M107" s="63">
        <f t="shared" si="57"/>
        <v>0</v>
      </c>
      <c r="N107" s="407">
        <f t="shared" si="58"/>
        <v>2.9866056679151338</v>
      </c>
      <c r="O107" s="407">
        <f t="shared" si="79"/>
        <v>4.4758763003997913E-2</v>
      </c>
      <c r="P107">
        <f t="shared" si="59"/>
        <v>0.2</v>
      </c>
      <c r="Q107" s="407">
        <f t="shared" si="80"/>
        <v>0.24475876300399793</v>
      </c>
      <c r="R107" s="9">
        <f t="shared" si="87"/>
        <v>0.52556009706103335</v>
      </c>
      <c r="S107" s="9">
        <f t="shared" si="81"/>
        <v>2.7621341562280278E-3</v>
      </c>
      <c r="T107" s="9">
        <f t="shared" si="88"/>
        <v>2.7621341562280278E-3</v>
      </c>
      <c r="U107" s="407">
        <f t="shared" si="60"/>
        <v>1.3811154185647907</v>
      </c>
      <c r="V107" s="409">
        <f t="shared" si="82"/>
        <v>3.8149595987947943E-3</v>
      </c>
      <c r="W107" s="407">
        <f t="shared" si="89"/>
        <v>3.8149595987947943E-3</v>
      </c>
      <c r="X107" s="407">
        <f t="shared" si="61"/>
        <v>1.3811154185647907</v>
      </c>
      <c r="Y107" s="407">
        <f t="shared" si="83"/>
        <v>1.1444878796384382E-2</v>
      </c>
      <c r="Z107" s="407">
        <f t="shared" si="62"/>
        <v>6.796783630203021E-2</v>
      </c>
      <c r="AA107" s="407">
        <f t="shared" si="63"/>
        <v>0.14400000000000002</v>
      </c>
      <c r="AB107" s="407">
        <f t="shared" si="64"/>
        <v>0</v>
      </c>
      <c r="AC107" s="407">
        <f t="shared" si="94"/>
        <v>0.2239252746239182</v>
      </c>
      <c r="AD107" s="407">
        <f t="shared" si="66"/>
        <v>2.6480811196459606</v>
      </c>
      <c r="AE107" s="407">
        <f t="shared" si="84"/>
        <v>4.2074001697352426E-2</v>
      </c>
      <c r="AF107" s="407">
        <f t="shared" si="67"/>
        <v>4.7627999999999997E-2</v>
      </c>
      <c r="AG107" s="407">
        <f t="shared" si="95"/>
        <v>9.0463231730427224E-2</v>
      </c>
      <c r="AH107" s="407">
        <f t="shared" si="69"/>
        <v>0</v>
      </c>
      <c r="AI107">
        <f t="shared" si="70"/>
        <v>0</v>
      </c>
      <c r="AJ107" s="408">
        <f t="shared" si="71"/>
        <v>0.45326660400000002</v>
      </c>
      <c r="AK107">
        <f t="shared" si="85"/>
        <v>4.8000000000000001E-2</v>
      </c>
      <c r="AL107" s="408">
        <f t="shared" si="72"/>
        <v>5.1750000000000004E-2</v>
      </c>
      <c r="AM107" s="408">
        <f t="shared" si="86"/>
        <v>0.13648893249607535</v>
      </c>
      <c r="AN107" s="408">
        <f t="shared" si="90"/>
        <v>9.9750000000000005E-2</v>
      </c>
      <c r="AO107" s="408">
        <f t="shared" si="96"/>
        <v>1.1187409671133661</v>
      </c>
      <c r="AP107">
        <f t="shared" si="74"/>
        <v>14.993999999999998</v>
      </c>
      <c r="AQ107" s="10">
        <f t="shared" si="91"/>
        <v>0.93056792947911515</v>
      </c>
      <c r="AR107" s="63">
        <f t="shared" si="75"/>
        <v>11.196263731195909</v>
      </c>
      <c r="AS107" s="63">
        <f t="shared" si="92"/>
        <v>4.5231615865213612</v>
      </c>
      <c r="AT107" s="10"/>
      <c r="AU107">
        <f t="shared" si="93"/>
        <v>93.056792947911518</v>
      </c>
      <c r="BE107" s="28"/>
      <c r="BF107" s="29"/>
    </row>
    <row r="108" spans="7:58" x14ac:dyDescent="0.25">
      <c r="G108">
        <v>99</v>
      </c>
      <c r="H108">
        <f t="shared" si="55"/>
        <v>2.9699999999999998</v>
      </c>
      <c r="I108" s="407">
        <f t="shared" si="76"/>
        <v>0.21386125</v>
      </c>
      <c r="J108" s="408">
        <f t="shared" si="56"/>
        <v>1.8207106418918915</v>
      </c>
      <c r="K108" s="408">
        <f t="shared" si="77"/>
        <v>3.8803553209459456</v>
      </c>
      <c r="L108" s="408">
        <f t="shared" si="78"/>
        <v>2.0596446790540539</v>
      </c>
      <c r="M108" s="63">
        <f t="shared" si="57"/>
        <v>0</v>
      </c>
      <c r="N108" s="407">
        <f t="shared" si="58"/>
        <v>3.0161480296549654</v>
      </c>
      <c r="O108" s="407">
        <f t="shared" si="79"/>
        <v>4.5651865411514017E-2</v>
      </c>
      <c r="P108">
        <f t="shared" si="59"/>
        <v>0.2</v>
      </c>
      <c r="Q108" s="407">
        <f t="shared" si="80"/>
        <v>0.24565186541151401</v>
      </c>
      <c r="R108" s="9">
        <f t="shared" si="87"/>
        <v>0.52559388960635001</v>
      </c>
      <c r="S108" s="9">
        <f t="shared" si="81"/>
        <v>2.7624893679153205E-3</v>
      </c>
      <c r="T108" s="9">
        <f t="shared" si="88"/>
        <v>2.7624893679153205E-3</v>
      </c>
      <c r="U108" s="407">
        <f t="shared" si="60"/>
        <v>1.394821724471772</v>
      </c>
      <c r="V108" s="409">
        <f t="shared" si="82"/>
        <v>3.8910552861168156E-3</v>
      </c>
      <c r="W108" s="407">
        <f t="shared" si="89"/>
        <v>3.8910552861168156E-3</v>
      </c>
      <c r="X108" s="407">
        <f t="shared" si="61"/>
        <v>1.394821724471772</v>
      </c>
      <c r="Y108" s="407">
        <f t="shared" si="83"/>
        <v>1.1673165858350447E-2</v>
      </c>
      <c r="Z108" s="407">
        <f t="shared" si="62"/>
        <v>6.8634587291995702E-2</v>
      </c>
      <c r="AA108" s="407">
        <f t="shared" si="63"/>
        <v>0.14400000000000002</v>
      </c>
      <c r="AB108" s="407">
        <f t="shared" si="64"/>
        <v>0</v>
      </c>
      <c r="AC108" s="407">
        <f t="shared" si="94"/>
        <v>0.2248326549246078</v>
      </c>
      <c r="AD108" s="407">
        <f t="shared" si="66"/>
        <v>2.674251538979294</v>
      </c>
      <c r="AE108" s="407">
        <f t="shared" si="84"/>
        <v>4.2909727762398736E-2</v>
      </c>
      <c r="AF108" s="407">
        <f t="shared" si="67"/>
        <v>4.811399999999999E-2</v>
      </c>
      <c r="AG108" s="407">
        <f t="shared" si="95"/>
        <v>9.1811650346757909E-2</v>
      </c>
      <c r="AH108" s="407">
        <f t="shared" si="69"/>
        <v>0</v>
      </c>
      <c r="AI108">
        <f t="shared" si="70"/>
        <v>0</v>
      </c>
      <c r="AJ108" s="408">
        <f t="shared" si="71"/>
        <v>0.45326320199999998</v>
      </c>
      <c r="AK108">
        <f t="shared" si="85"/>
        <v>4.8000000000000001E-2</v>
      </c>
      <c r="AL108" s="408">
        <f t="shared" si="72"/>
        <v>5.1750000000000004E-2</v>
      </c>
      <c r="AM108" s="408">
        <f t="shared" si="86"/>
        <v>0.13648893249607535</v>
      </c>
      <c r="AN108" s="408">
        <f t="shared" si="90"/>
        <v>9.9750000000000005E-2</v>
      </c>
      <c r="AO108" s="408">
        <f t="shared" si="96"/>
        <v>1.1219629173369119</v>
      </c>
      <c r="AP108">
        <f t="shared" si="74"/>
        <v>15.146999999999998</v>
      </c>
      <c r="AQ108" s="10">
        <f t="shared" si="91"/>
        <v>0.93103660491220985</v>
      </c>
      <c r="AR108" s="63">
        <f t="shared" si="75"/>
        <v>11.24163274623039</v>
      </c>
      <c r="AS108" s="63">
        <f t="shared" si="92"/>
        <v>4.5905825173378956</v>
      </c>
      <c r="AT108" s="10"/>
      <c r="AU108">
        <f t="shared" si="93"/>
        <v>93.103660491220978</v>
      </c>
      <c r="BE108" s="28"/>
      <c r="BF108" s="29"/>
    </row>
    <row r="109" spans="7:58" x14ac:dyDescent="0.25">
      <c r="G109">
        <v>100</v>
      </c>
      <c r="H109">
        <f t="shared" si="55"/>
        <v>3</v>
      </c>
      <c r="I109" s="407">
        <f t="shared" si="76"/>
        <v>0.21387499999999995</v>
      </c>
      <c r="J109" s="408">
        <f t="shared" si="56"/>
        <v>1.820827702702702</v>
      </c>
      <c r="K109" s="408">
        <f t="shared" si="77"/>
        <v>3.9104138513513509</v>
      </c>
      <c r="L109" s="408">
        <f t="shared" si="78"/>
        <v>2.0895861486486491</v>
      </c>
      <c r="M109" s="63">
        <f t="shared" si="57"/>
        <v>0</v>
      </c>
      <c r="N109" s="407">
        <f t="shared" si="58"/>
        <v>3.0456993384515374</v>
      </c>
      <c r="O109" s="407">
        <f t="shared" si="79"/>
        <v>4.6554162161628505E-2</v>
      </c>
      <c r="P109">
        <f t="shared" si="59"/>
        <v>0.2</v>
      </c>
      <c r="Q109" s="407">
        <f t="shared" si="80"/>
        <v>0.24655416216162851</v>
      </c>
      <c r="R109" s="9">
        <f t="shared" si="87"/>
        <v>0.52562768215166644</v>
      </c>
      <c r="S109" s="9">
        <f t="shared" si="81"/>
        <v>2.7628446024413329E-3</v>
      </c>
      <c r="T109" s="9">
        <f t="shared" si="88"/>
        <v>2.7628446024413329E-3</v>
      </c>
      <c r="U109" s="407">
        <f t="shared" si="60"/>
        <v>1.4085330450275966</v>
      </c>
      <c r="V109" s="409">
        <f t="shared" si="82"/>
        <v>3.967930677869427E-3</v>
      </c>
      <c r="W109" s="407">
        <f t="shared" si="89"/>
        <v>3.967930677869427E-3</v>
      </c>
      <c r="X109" s="407">
        <f t="shared" si="61"/>
        <v>1.4085330450275966</v>
      </c>
      <c r="Y109" s="407">
        <f t="shared" si="83"/>
        <v>1.1903792033608281E-2</v>
      </c>
      <c r="Z109" s="407">
        <f t="shared" si="62"/>
        <v>6.9301338281961222E-2</v>
      </c>
      <c r="AA109" s="407">
        <f t="shared" si="63"/>
        <v>0.14400000000000002</v>
      </c>
      <c r="AB109" s="407">
        <f t="shared" si="64"/>
        <v>0</v>
      </c>
      <c r="AC109" s="407">
        <f t="shared" si="94"/>
        <v>0.2257425688340762</v>
      </c>
      <c r="AD109" s="407">
        <f t="shared" si="66"/>
        <v>2.70042943275869</v>
      </c>
      <c r="AE109" s="407">
        <f t="shared" si="84"/>
        <v>4.3753914727856523E-2</v>
      </c>
      <c r="AF109" s="407">
        <f t="shared" si="67"/>
        <v>4.8599999999999997E-2</v>
      </c>
      <c r="AG109" s="407">
        <f t="shared" si="95"/>
        <v>9.3169218334712131E-2</v>
      </c>
      <c r="AH109" s="407">
        <f t="shared" si="69"/>
        <v>0</v>
      </c>
      <c r="AI109">
        <f t="shared" si="70"/>
        <v>0</v>
      </c>
      <c r="AJ109" s="408">
        <f t="shared" si="71"/>
        <v>0.45325979999999999</v>
      </c>
      <c r="AK109">
        <f t="shared" si="85"/>
        <v>4.8000000000000001E-2</v>
      </c>
      <c r="AL109" s="408">
        <f t="shared" si="72"/>
        <v>5.1750000000000004E-2</v>
      </c>
      <c r="AM109" s="408">
        <f t="shared" si="86"/>
        <v>0.13648893249607535</v>
      </c>
      <c r="AN109" s="408">
        <f t="shared" si="90"/>
        <v>9.9750000000000005E-2</v>
      </c>
      <c r="AO109" s="408">
        <f t="shared" si="96"/>
        <v>1.1252065246107275</v>
      </c>
      <c r="AP109">
        <f t="shared" si="74"/>
        <v>15.299999999999999</v>
      </c>
      <c r="AQ109" s="10">
        <f t="shared" si="91"/>
        <v>0.93149513688459429</v>
      </c>
      <c r="AR109" s="63">
        <f t="shared" si="75"/>
        <v>11.28712844170381</v>
      </c>
      <c r="AS109" s="63">
        <f t="shared" si="92"/>
        <v>4.6584609167356064</v>
      </c>
      <c r="AT109" s="10"/>
      <c r="AU109">
        <f t="shared" si="93"/>
        <v>93.149513688459422</v>
      </c>
      <c r="BE109" s="28"/>
      <c r="BF109" s="29"/>
    </row>
    <row r="110" spans="7:58" x14ac:dyDescent="0.25">
      <c r="G110">
        <v>101</v>
      </c>
      <c r="H110">
        <f t="shared" si="55"/>
        <v>3.0300000000000002</v>
      </c>
      <c r="I110" s="407">
        <f t="shared" ref="I110:I173" si="97">(Vout+Rdcr*H110+RdsonBot*H110)/(Vin-RdsonTop*H110+RdsonBot*H110)</f>
        <v>0.21388874999999999</v>
      </c>
      <c r="J110" s="408">
        <f t="shared" si="56"/>
        <v>1.820944763513513</v>
      </c>
      <c r="K110" s="408">
        <f t="shared" si="77"/>
        <v>3.9404723817567566</v>
      </c>
      <c r="L110" s="408">
        <f t="shared" ref="L110:L173" si="98">H110-J110/2</f>
        <v>2.1195276182432439</v>
      </c>
      <c r="M110" s="63">
        <f t="shared" si="57"/>
        <v>0</v>
      </c>
      <c r="N110" s="407">
        <f t="shared" ref="N110:N173" si="99">SQRT(H110^2+(J110^2)/12)</f>
        <v>3.0752593363780893</v>
      </c>
      <c r="O110" s="407">
        <f t="shared" ref="O110:O173" si="100">(N110^2*Rdcr*(1+Ltc*Ta-Ltc*25))/(1-N110^2*Rdcr*Ltc*ThetaCa)</f>
        <v>4.746565719465061E-2</v>
      </c>
      <c r="P110">
        <f t="shared" si="59"/>
        <v>0.2</v>
      </c>
      <c r="Q110" s="407">
        <f t="shared" si="80"/>
        <v>0.24746565719465063</v>
      </c>
      <c r="R110" s="9">
        <f t="shared" ref="R110:R173" si="101">J110/(2*SQRT(3))</f>
        <v>0.5256614746969831</v>
      </c>
      <c r="S110" s="9">
        <f t="shared" ref="S110:S173" si="102">RCoutEsr*R110^2</f>
        <v>2.7631998598060706E-3</v>
      </c>
      <c r="T110" s="9">
        <f t="shared" ref="T110:T173" si="103">S110</f>
        <v>2.7631998598060706E-3</v>
      </c>
      <c r="U110" s="407">
        <f t="shared" ref="U110:U173" si="104">SQRT(I110)*SQRT(H110^2+(J110^2)/12)</f>
        <v>1.4222492613028173</v>
      </c>
      <c r="V110" s="409">
        <f t="shared" ref="V110:V173" si="105">RCinEsr*U110^2</f>
        <v>4.0455859225528188E-3</v>
      </c>
      <c r="W110" s="407">
        <f t="shared" ref="W110:W173" si="106">V110</f>
        <v>4.0455859225528188E-3</v>
      </c>
      <c r="X110" s="407">
        <f t="shared" ref="X110:X173" si="107">SQRT(I110)*SQRT(H110^2+(J110^2)/12)</f>
        <v>1.4222492613028173</v>
      </c>
      <c r="Y110" s="407">
        <f t="shared" ref="Y110:Y173" si="108">RdsonTop*X110^2</f>
        <v>1.2136757767658457E-2</v>
      </c>
      <c r="Z110" s="407">
        <f t="shared" si="62"/>
        <v>6.9968089271926742E-2</v>
      </c>
      <c r="AA110" s="407">
        <f t="shared" si="63"/>
        <v>0.14400000000000002</v>
      </c>
      <c r="AB110" s="407">
        <f t="shared" si="64"/>
        <v>0</v>
      </c>
      <c r="AC110" s="407">
        <f t="shared" ref="AC110:AC173" si="109">(AB110+AA110+Z110+Y110*(1+RdsonTopTc*Ta-RdsonTopTc*25))/(1-Y110*RdsonTopTc*ThetaJaTop)</f>
        <v>0.22665501845073738</v>
      </c>
      <c r="AD110" s="407">
        <f t="shared" ref="AD110:AD173" si="110">SQRT(1-I110)*SQRT(H110^2+(J110^2)/12)</f>
        <v>2.7266145720846202</v>
      </c>
      <c r="AE110" s="407">
        <f t="shared" ref="AE110:AE173" si="111">RdsonBot*AD110^2</f>
        <v>4.4606562148225178E-2</v>
      </c>
      <c r="AF110" s="407">
        <f t="shared" si="67"/>
        <v>4.9086000000000005E-2</v>
      </c>
      <c r="AG110" s="407">
        <f t="shared" ref="AG110:AG173" si="112">(AF110+AE110*(1+RdsonBotTc*Ta-RdsonBotTc*25))/(1-AE110*RdsonBotTc*ThetaJaBot)</f>
        <v>9.4535946866049533E-2</v>
      </c>
      <c r="AH110" s="407">
        <f t="shared" ref="AH110:AH173" si="113">IF(RDSON_sense=1, 0, AD110^2*Rshunt)</f>
        <v>0</v>
      </c>
      <c r="AI110">
        <f t="shared" si="70"/>
        <v>0</v>
      </c>
      <c r="AJ110" s="408">
        <f t="shared" si="71"/>
        <v>0.453256398</v>
      </c>
      <c r="AK110">
        <f t="shared" si="85"/>
        <v>4.8000000000000001E-2</v>
      </c>
      <c r="AL110" s="408">
        <f t="shared" si="72"/>
        <v>5.1750000000000004E-2</v>
      </c>
      <c r="AM110" s="408">
        <f t="shared" si="86"/>
        <v>0.13648893249607535</v>
      </c>
      <c r="AN110" s="408">
        <f t="shared" ref="AN110:AN173" si="114">SUM(AK110:AL110)</f>
        <v>9.9750000000000005E-2</v>
      </c>
      <c r="AO110" s="408">
        <f t="shared" ref="AO110:AO173" si="115">SUM(Q110,T110,W110,AC110,AJ110,AI110,AG110,AN110, AH110)</f>
        <v>1.1284718062937964</v>
      </c>
      <c r="AP110">
        <f t="shared" si="74"/>
        <v>15.452999999999999</v>
      </c>
      <c r="AQ110" s="10">
        <f t="shared" ref="AQ110:AQ173" si="116">AP110/(AP110+AO110)</f>
        <v>0.93194380936284171</v>
      </c>
      <c r="AR110" s="63">
        <f t="shared" ref="AR110:AR173" si="117">ThetaJaTop*AC110</f>
        <v>11.332750922536869</v>
      </c>
      <c r="AS110" s="63">
        <f t="shared" ref="AS110:AS173" si="118">AG110*ThetaJaBot</f>
        <v>4.7267973433024766</v>
      </c>
      <c r="AT110" s="10"/>
      <c r="AU110">
        <f t="shared" ref="AU110:AU173" si="119">AQ110*100</f>
        <v>93.194380936284176</v>
      </c>
    </row>
    <row r="111" spans="7:58" x14ac:dyDescent="0.25">
      <c r="G111">
        <v>102</v>
      </c>
      <c r="H111">
        <f t="shared" si="55"/>
        <v>3.06</v>
      </c>
      <c r="I111" s="407">
        <f t="shared" si="97"/>
        <v>0.2139025</v>
      </c>
      <c r="J111" s="408">
        <f t="shared" si="56"/>
        <v>1.821061824324324</v>
      </c>
      <c r="K111" s="408">
        <f t="shared" si="77"/>
        <v>3.9705309121621619</v>
      </c>
      <c r="L111" s="408">
        <f t="shared" si="98"/>
        <v>2.1494690878378382</v>
      </c>
      <c r="M111" s="63">
        <f t="shared" si="57"/>
        <v>0</v>
      </c>
      <c r="N111" s="407">
        <f t="shared" si="99"/>
        <v>3.1048277752559725</v>
      </c>
      <c r="O111" s="407">
        <f t="shared" si="100"/>
        <v>4.8386354491919477E-2</v>
      </c>
      <c r="P111">
        <f t="shared" si="59"/>
        <v>0.2</v>
      </c>
      <c r="Q111" s="407">
        <f t="shared" si="80"/>
        <v>0.24838635449191948</v>
      </c>
      <c r="R111" s="9">
        <f t="shared" si="101"/>
        <v>0.52569526724229976</v>
      </c>
      <c r="S111" s="9">
        <f t="shared" si="102"/>
        <v>2.76355514000953E-3</v>
      </c>
      <c r="T111" s="9">
        <f t="shared" si="103"/>
        <v>2.76355514000953E-3</v>
      </c>
      <c r="U111" s="407">
        <f t="shared" si="104"/>
        <v>1.435970258861091</v>
      </c>
      <c r="V111" s="409">
        <f t="shared" si="105"/>
        <v>4.1240211686671769E-3</v>
      </c>
      <c r="W111" s="407">
        <f t="shared" si="106"/>
        <v>4.1240211686671769E-3</v>
      </c>
      <c r="X111" s="407">
        <f t="shared" si="107"/>
        <v>1.435970258861091</v>
      </c>
      <c r="Y111" s="407">
        <f t="shared" si="108"/>
        <v>1.2372063506001531E-2</v>
      </c>
      <c r="Z111" s="407">
        <f t="shared" si="62"/>
        <v>7.0634840261892262E-2</v>
      </c>
      <c r="AA111" s="407">
        <f t="shared" si="63"/>
        <v>0.14400000000000002</v>
      </c>
      <c r="AB111" s="407">
        <f t="shared" si="64"/>
        <v>0</v>
      </c>
      <c r="AC111" s="407">
        <f t="shared" si="109"/>
        <v>0.22757000588085763</v>
      </c>
      <c r="AD111" s="407">
        <f t="shared" si="110"/>
        <v>2.7528067367084388</v>
      </c>
      <c r="AE111" s="407">
        <f t="shared" si="111"/>
        <v>4.5467669578004181E-2</v>
      </c>
      <c r="AF111" s="407">
        <f t="shared" si="67"/>
        <v>4.9571999999999998E-2</v>
      </c>
      <c r="AG111" s="407">
        <f t="shared" si="112"/>
        <v>9.5911847213548507E-2</v>
      </c>
      <c r="AH111" s="407">
        <f t="shared" si="113"/>
        <v>0</v>
      </c>
      <c r="AI111">
        <f t="shared" si="70"/>
        <v>0</v>
      </c>
      <c r="AJ111" s="408">
        <f t="shared" si="71"/>
        <v>0.45325299599999996</v>
      </c>
      <c r="AK111">
        <f t="shared" si="85"/>
        <v>4.8000000000000001E-2</v>
      </c>
      <c r="AL111" s="408">
        <f t="shared" si="72"/>
        <v>5.1750000000000004E-2</v>
      </c>
      <c r="AM111" s="408">
        <f t="shared" si="86"/>
        <v>0.13648893249607535</v>
      </c>
      <c r="AN111" s="408">
        <f t="shared" si="114"/>
        <v>9.9750000000000005E-2</v>
      </c>
      <c r="AO111" s="408">
        <f t="shared" si="115"/>
        <v>1.1317587798950022</v>
      </c>
      <c r="AP111">
        <f t="shared" si="74"/>
        <v>15.606</v>
      </c>
      <c r="AQ111" s="10">
        <f t="shared" si="116"/>
        <v>0.93238289577607936</v>
      </c>
      <c r="AR111" s="63">
        <f t="shared" si="117"/>
        <v>11.378500294042881</v>
      </c>
      <c r="AS111" s="63">
        <f t="shared" si="118"/>
        <v>4.7955923606774249</v>
      </c>
      <c r="AT111" s="10"/>
      <c r="AU111">
        <f t="shared" si="119"/>
        <v>93.238289577607929</v>
      </c>
    </row>
    <row r="112" spans="7:58" x14ac:dyDescent="0.25">
      <c r="G112">
        <v>103</v>
      </c>
      <c r="H112">
        <f t="shared" si="55"/>
        <v>3.09</v>
      </c>
      <c r="I112" s="407">
        <f t="shared" si="97"/>
        <v>0.21391625</v>
      </c>
      <c r="J112" s="408">
        <f t="shared" si="56"/>
        <v>1.8211788851351347</v>
      </c>
      <c r="K112" s="408">
        <f t="shared" si="77"/>
        <v>4.0005894425675672</v>
      </c>
      <c r="L112" s="408">
        <f t="shared" si="98"/>
        <v>2.1794105574324325</v>
      </c>
      <c r="M112" s="63">
        <f t="shared" si="57"/>
        <v>0</v>
      </c>
      <c r="N112" s="407">
        <f t="shared" si="99"/>
        <v>3.1344044162017721</v>
      </c>
      <c r="O112" s="407">
        <f t="shared" si="100"/>
        <v>4.9316258075847781E-2</v>
      </c>
      <c r="P112">
        <f t="shared" si="59"/>
        <v>0.2</v>
      </c>
      <c r="Q112" s="407">
        <f t="shared" si="80"/>
        <v>0.24931625807584779</v>
      </c>
      <c r="R112" s="9">
        <f t="shared" si="101"/>
        <v>0.5257290597876163</v>
      </c>
      <c r="S112" s="9">
        <f t="shared" si="102"/>
        <v>2.7639104430517104E-3</v>
      </c>
      <c r="T112" s="9">
        <f t="shared" si="103"/>
        <v>2.7639104430517104E-3</v>
      </c>
      <c r="U112" s="407">
        <f t="shared" si="104"/>
        <v>1.4496959275504453</v>
      </c>
      <c r="V112" s="409">
        <f t="shared" si="105"/>
        <v>4.2032365647126924E-3</v>
      </c>
      <c r="W112" s="407">
        <f t="shared" si="106"/>
        <v>4.2032365647126924E-3</v>
      </c>
      <c r="X112" s="407">
        <f t="shared" si="107"/>
        <v>1.4496959275504453</v>
      </c>
      <c r="Y112" s="407">
        <f t="shared" si="108"/>
        <v>1.2609709694138077E-2</v>
      </c>
      <c r="Z112" s="407">
        <f t="shared" si="62"/>
        <v>7.1301591251857768E-2</v>
      </c>
      <c r="AA112" s="407">
        <f t="shared" si="63"/>
        <v>0.14400000000000002</v>
      </c>
      <c r="AB112" s="407">
        <f t="shared" si="64"/>
        <v>0</v>
      </c>
      <c r="AC112" s="407">
        <f t="shared" si="109"/>
        <v>0.22848753323856946</v>
      </c>
      <c r="AD112" s="407">
        <f t="shared" si="110"/>
        <v>2.7790057146304727</v>
      </c>
      <c r="AE112" s="407">
        <f t="shared" si="111"/>
        <v>4.6337236571692947E-2</v>
      </c>
      <c r="AF112" s="407">
        <f t="shared" si="67"/>
        <v>5.0057999999999998E-2</v>
      </c>
      <c r="AG112" s="407">
        <f t="shared" si="112"/>
        <v>9.7296930751277252E-2</v>
      </c>
      <c r="AH112" s="407">
        <f t="shared" si="113"/>
        <v>0</v>
      </c>
      <c r="AI112">
        <f t="shared" si="70"/>
        <v>0</v>
      </c>
      <c r="AJ112" s="408">
        <f t="shared" si="71"/>
        <v>0.45324959399999998</v>
      </c>
      <c r="AK112">
        <f t="shared" si="85"/>
        <v>4.8000000000000001E-2</v>
      </c>
      <c r="AL112" s="408">
        <f t="shared" si="72"/>
        <v>5.1750000000000004E-2</v>
      </c>
      <c r="AM112" s="408">
        <f t="shared" si="86"/>
        <v>0.13648893249607535</v>
      </c>
      <c r="AN112" s="408">
        <f t="shared" si="114"/>
        <v>9.9750000000000005E-2</v>
      </c>
      <c r="AO112" s="408">
        <f t="shared" si="115"/>
        <v>1.1350674630734587</v>
      </c>
      <c r="AP112">
        <f t="shared" si="74"/>
        <v>15.758999999999999</v>
      </c>
      <c r="AQ112" s="10">
        <f t="shared" si="116"/>
        <v>0.93281265949988323</v>
      </c>
      <c r="AR112" s="63">
        <f t="shared" si="117"/>
        <v>11.424376661928473</v>
      </c>
      <c r="AS112" s="63">
        <f t="shared" si="118"/>
        <v>4.8648465375638628</v>
      </c>
      <c r="AT112" s="10"/>
      <c r="AU112">
        <f t="shared" si="119"/>
        <v>93.281265949988324</v>
      </c>
    </row>
    <row r="113" spans="7:47" x14ac:dyDescent="0.25">
      <c r="G113">
        <v>104</v>
      </c>
      <c r="H113">
        <f t="shared" si="55"/>
        <v>3.12</v>
      </c>
      <c r="I113" s="407">
        <f t="shared" si="97"/>
        <v>0.21392999999999998</v>
      </c>
      <c r="J113" s="408">
        <f t="shared" si="56"/>
        <v>1.8212959459459452</v>
      </c>
      <c r="K113" s="408">
        <f t="shared" si="77"/>
        <v>4.0306479729729725</v>
      </c>
      <c r="L113" s="408">
        <f t="shared" si="98"/>
        <v>2.2093520270270277</v>
      </c>
      <c r="M113" s="63">
        <f t="shared" si="57"/>
        <v>0</v>
      </c>
      <c r="N113" s="407">
        <f t="shared" si="99"/>
        <v>3.1639890291992576</v>
      </c>
      <c r="O113" s="407">
        <f t="shared" si="100"/>
        <v>5.025537200996591E-2</v>
      </c>
      <c r="P113">
        <f t="shared" si="59"/>
        <v>0.2</v>
      </c>
      <c r="Q113" s="407">
        <f t="shared" si="80"/>
        <v>0.25025537200996595</v>
      </c>
      <c r="R113" s="9">
        <f t="shared" si="101"/>
        <v>0.52576285233293285</v>
      </c>
      <c r="S113" s="9">
        <f t="shared" si="102"/>
        <v>2.7642657689326135E-3</v>
      </c>
      <c r="T113" s="9">
        <f t="shared" si="103"/>
        <v>2.7642657689326135E-3</v>
      </c>
      <c r="U113" s="407">
        <f t="shared" si="104"/>
        <v>1.4634261613059865</v>
      </c>
      <c r="V113" s="409">
        <f t="shared" si="105"/>
        <v>4.2832322591895506E-3</v>
      </c>
      <c r="W113" s="407">
        <f t="shared" si="106"/>
        <v>4.2832322591895506E-3</v>
      </c>
      <c r="X113" s="407">
        <f t="shared" si="107"/>
        <v>1.4634261613059865</v>
      </c>
      <c r="Y113" s="407">
        <f t="shared" si="108"/>
        <v>1.2849696777568653E-2</v>
      </c>
      <c r="Z113" s="407">
        <f t="shared" si="62"/>
        <v>7.1968342241823274E-2</v>
      </c>
      <c r="AA113" s="407">
        <f t="shared" si="63"/>
        <v>0.14400000000000002</v>
      </c>
      <c r="AB113" s="407">
        <f t="shared" si="64"/>
        <v>0</v>
      </c>
      <c r="AC113" s="407">
        <f t="shared" si="109"/>
        <v>0.22940760264588567</v>
      </c>
      <c r="AD113" s="407">
        <f t="shared" si="110"/>
        <v>2.805211301720155</v>
      </c>
      <c r="AE113" s="407">
        <f t="shared" si="111"/>
        <v>4.7215262683790921E-2</v>
      </c>
      <c r="AF113" s="407">
        <f t="shared" si="67"/>
        <v>5.0543999999999999E-2</v>
      </c>
      <c r="AG113" s="407">
        <f t="shared" si="112"/>
        <v>9.8691208954867923E-2</v>
      </c>
      <c r="AH113" s="407">
        <f t="shared" si="113"/>
        <v>0</v>
      </c>
      <c r="AI113">
        <f t="shared" si="70"/>
        <v>0</v>
      </c>
      <c r="AJ113" s="408">
        <f t="shared" si="71"/>
        <v>0.45324619200000005</v>
      </c>
      <c r="AK113">
        <f t="shared" si="85"/>
        <v>4.8000000000000001E-2</v>
      </c>
      <c r="AL113" s="408">
        <f t="shared" si="72"/>
        <v>5.1750000000000004E-2</v>
      </c>
      <c r="AM113" s="408">
        <f t="shared" si="86"/>
        <v>0.13648893249607535</v>
      </c>
      <c r="AN113" s="408">
        <f t="shared" si="114"/>
        <v>9.9750000000000005E-2</v>
      </c>
      <c r="AO113" s="408">
        <f t="shared" si="115"/>
        <v>1.1383978736388418</v>
      </c>
      <c r="AP113">
        <f t="shared" si="74"/>
        <v>15.911999999999999</v>
      </c>
      <c r="AQ113" s="10">
        <f t="shared" si="116"/>
        <v>0.93323335431374965</v>
      </c>
      <c r="AR113" s="63">
        <f t="shared" si="117"/>
        <v>11.470380132294283</v>
      </c>
      <c r="AS113" s="63">
        <f t="shared" si="118"/>
        <v>4.9345604477433964</v>
      </c>
      <c r="AT113" s="10"/>
      <c r="AU113">
        <f t="shared" si="119"/>
        <v>93.323335431374971</v>
      </c>
    </row>
    <row r="114" spans="7:47" x14ac:dyDescent="0.25">
      <c r="G114">
        <v>105</v>
      </c>
      <c r="H114">
        <f t="shared" si="55"/>
        <v>3.1500000000000004</v>
      </c>
      <c r="I114" s="407">
        <f t="shared" si="97"/>
        <v>0.21394374999999999</v>
      </c>
      <c r="J114" s="408">
        <f t="shared" si="56"/>
        <v>1.8214130067567562</v>
      </c>
      <c r="K114" s="408">
        <f t="shared" si="77"/>
        <v>4.0607065033783787</v>
      </c>
      <c r="L114" s="408">
        <f t="shared" si="98"/>
        <v>2.239293496621622</v>
      </c>
      <c r="M114" s="63">
        <f t="shared" si="57"/>
        <v>0</v>
      </c>
      <c r="N114" s="407">
        <f t="shared" si="99"/>
        <v>3.1935813926946071</v>
      </c>
      <c r="O114" s="407">
        <f t="shared" si="100"/>
        <v>5.1203700398966628E-2</v>
      </c>
      <c r="P114">
        <f t="shared" si="59"/>
        <v>0.2</v>
      </c>
      <c r="Q114" s="407">
        <f t="shared" si="80"/>
        <v>0.25120370039896667</v>
      </c>
      <c r="R114" s="9">
        <f t="shared" si="101"/>
        <v>0.52579664487824951</v>
      </c>
      <c r="S114" s="9">
        <f t="shared" si="102"/>
        <v>2.76462111765224E-3</v>
      </c>
      <c r="T114" s="9">
        <f t="shared" si="103"/>
        <v>2.76462111765224E-3</v>
      </c>
      <c r="U114" s="407">
        <f t="shared" si="104"/>
        <v>1.4771608579633335</v>
      </c>
      <c r="V114" s="409">
        <f t="shared" si="105"/>
        <v>4.3640084005979437E-3</v>
      </c>
      <c r="W114" s="407">
        <f t="shared" si="106"/>
        <v>4.3640084005979437E-3</v>
      </c>
      <c r="X114" s="407">
        <f t="shared" si="107"/>
        <v>1.4771608579633335</v>
      </c>
      <c r="Y114" s="407">
        <f t="shared" si="108"/>
        <v>1.309202520179383E-2</v>
      </c>
      <c r="Z114" s="407">
        <f t="shared" si="62"/>
        <v>7.2635093231788794E-2</v>
      </c>
      <c r="AA114" s="407">
        <f t="shared" si="63"/>
        <v>0.14400000000000002</v>
      </c>
      <c r="AB114" s="407">
        <f t="shared" si="64"/>
        <v>0</v>
      </c>
      <c r="AC114" s="407">
        <f t="shared" si="109"/>
        <v>0.23033021623271333</v>
      </c>
      <c r="AD114" s="407">
        <f t="shared" si="110"/>
        <v>2.8314233013568026</v>
      </c>
      <c r="AE114" s="407">
        <f t="shared" si="111"/>
        <v>4.8101747468797529E-2</v>
      </c>
      <c r="AF114" s="407">
        <f t="shared" si="67"/>
        <v>5.1030000000000006E-2</v>
      </c>
      <c r="AG114" s="407">
        <f t="shared" si="112"/>
        <v>0.10009469340179349</v>
      </c>
      <c r="AH114" s="407">
        <f t="shared" si="113"/>
        <v>0</v>
      </c>
      <c r="AI114">
        <f t="shared" si="70"/>
        <v>0</v>
      </c>
      <c r="AJ114" s="408">
        <f t="shared" si="71"/>
        <v>0.45324279000000001</v>
      </c>
      <c r="AK114">
        <f t="shared" si="85"/>
        <v>4.8000000000000001E-2</v>
      </c>
      <c r="AL114" s="408">
        <f t="shared" si="72"/>
        <v>5.1750000000000004E-2</v>
      </c>
      <c r="AM114" s="408">
        <f t="shared" si="86"/>
        <v>0.13648893249607535</v>
      </c>
      <c r="AN114" s="408">
        <f t="shared" si="114"/>
        <v>9.9750000000000005E-2</v>
      </c>
      <c r="AO114" s="408">
        <f t="shared" si="115"/>
        <v>1.1417500295517236</v>
      </c>
      <c r="AP114">
        <f t="shared" si="74"/>
        <v>16.065000000000001</v>
      </c>
      <c r="AQ114" s="10">
        <f t="shared" si="116"/>
        <v>0.93364522483381085</v>
      </c>
      <c r="AR114" s="63">
        <f t="shared" si="117"/>
        <v>11.516510811635666</v>
      </c>
      <c r="AS114" s="63">
        <f t="shared" si="118"/>
        <v>5.0047346700896744</v>
      </c>
      <c r="AT114" s="10"/>
      <c r="AU114">
        <f t="shared" si="119"/>
        <v>93.36452248338108</v>
      </c>
    </row>
    <row r="115" spans="7:47" x14ac:dyDescent="0.25">
      <c r="G115">
        <v>106</v>
      </c>
      <c r="H115">
        <f t="shared" si="55"/>
        <v>3.18</v>
      </c>
      <c r="I115" s="407">
        <f t="shared" si="97"/>
        <v>0.21395749999999999</v>
      </c>
      <c r="J115" s="408">
        <f t="shared" si="56"/>
        <v>1.8215300675675672</v>
      </c>
      <c r="K115" s="408">
        <f t="shared" si="77"/>
        <v>4.090765033783784</v>
      </c>
      <c r="L115" s="408">
        <f t="shared" si="98"/>
        <v>2.2692349662162163</v>
      </c>
      <c r="M115" s="63">
        <f t="shared" si="57"/>
        <v>0</v>
      </c>
      <c r="N115" s="407">
        <f t="shared" si="99"/>
        <v>3.2231812932134392</v>
      </c>
      <c r="O115" s="407">
        <f t="shared" si="100"/>
        <v>5.2161247388750005E-2</v>
      </c>
      <c r="P115">
        <f t="shared" si="59"/>
        <v>0.2</v>
      </c>
      <c r="Q115" s="407">
        <f t="shared" si="80"/>
        <v>0.25216124738875001</v>
      </c>
      <c r="R115" s="9">
        <f t="shared" si="101"/>
        <v>0.52583043742356605</v>
      </c>
      <c r="S115" s="9">
        <f t="shared" si="102"/>
        <v>2.7649764892105884E-3</v>
      </c>
      <c r="T115" s="9">
        <f t="shared" si="103"/>
        <v>2.7649764892105884E-3</v>
      </c>
      <c r="U115" s="407">
        <f t="shared" si="104"/>
        <v>1.4908999190821051</v>
      </c>
      <c r="V115" s="409">
        <f t="shared" si="105"/>
        <v>4.4455651374380551E-3</v>
      </c>
      <c r="W115" s="407">
        <f t="shared" si="106"/>
        <v>4.4455651374380551E-3</v>
      </c>
      <c r="X115" s="407">
        <f t="shared" si="107"/>
        <v>1.4908999190821051</v>
      </c>
      <c r="Y115" s="407">
        <f t="shared" si="108"/>
        <v>1.3336695412314165E-2</v>
      </c>
      <c r="Z115" s="407">
        <f t="shared" si="62"/>
        <v>7.3301844221754314E-2</v>
      </c>
      <c r="AA115" s="407">
        <f t="shared" si="63"/>
        <v>0.14400000000000002</v>
      </c>
      <c r="AB115" s="407">
        <f t="shared" si="64"/>
        <v>0</v>
      </c>
      <c r="AC115" s="407">
        <f t="shared" si="109"/>
        <v>0.231255376136868</v>
      </c>
      <c r="AD115" s="407">
        <f t="shared" si="110"/>
        <v>2.8576415240897575</v>
      </c>
      <c r="AE115" s="407">
        <f t="shared" si="111"/>
        <v>4.8996690481212191E-2</v>
      </c>
      <c r="AF115" s="407">
        <f t="shared" si="67"/>
        <v>5.1515999999999999E-2</v>
      </c>
      <c r="AG115" s="407">
        <f t="shared" si="112"/>
        <v>0.10150739577164766</v>
      </c>
      <c r="AH115" s="407">
        <f t="shared" si="113"/>
        <v>0</v>
      </c>
      <c r="AI115">
        <f t="shared" si="70"/>
        <v>0</v>
      </c>
      <c r="AJ115" s="408">
        <f t="shared" si="71"/>
        <v>0.45323938800000002</v>
      </c>
      <c r="AK115">
        <f t="shared" si="85"/>
        <v>4.8000000000000001E-2</v>
      </c>
      <c r="AL115" s="408">
        <f t="shared" si="72"/>
        <v>5.1750000000000004E-2</v>
      </c>
      <c r="AM115" s="408">
        <f t="shared" si="86"/>
        <v>0.13648893249607535</v>
      </c>
      <c r="AN115" s="408">
        <f t="shared" si="114"/>
        <v>9.9750000000000005E-2</v>
      </c>
      <c r="AO115" s="408">
        <f t="shared" si="115"/>
        <v>1.1451239489239144</v>
      </c>
      <c r="AP115">
        <f t="shared" si="74"/>
        <v>16.218</v>
      </c>
      <c r="AQ115" s="10">
        <f t="shared" si="116"/>
        <v>0.93404850692234542</v>
      </c>
      <c r="AR115" s="63">
        <f t="shared" si="117"/>
        <v>11.562768806843399</v>
      </c>
      <c r="AS115" s="63">
        <f t="shared" si="118"/>
        <v>5.0753697885823827</v>
      </c>
      <c r="AT115" s="10"/>
      <c r="AU115">
        <f t="shared" si="119"/>
        <v>93.404850692234547</v>
      </c>
    </row>
    <row r="116" spans="7:47" x14ac:dyDescent="0.25">
      <c r="G116">
        <v>107</v>
      </c>
      <c r="H116">
        <f t="shared" si="55"/>
        <v>3.21</v>
      </c>
      <c r="I116" s="407">
        <f t="shared" si="97"/>
        <v>0.21397124999999997</v>
      </c>
      <c r="J116" s="408">
        <f t="shared" si="56"/>
        <v>1.8216471283783779</v>
      </c>
      <c r="K116" s="408">
        <f t="shared" si="77"/>
        <v>4.1208235641891893</v>
      </c>
      <c r="L116" s="408">
        <f t="shared" si="98"/>
        <v>2.2991764358108111</v>
      </c>
      <c r="M116" s="63">
        <f t="shared" si="57"/>
        <v>0</v>
      </c>
      <c r="N116" s="407">
        <f t="shared" si="99"/>
        <v>3.2527885249983228</v>
      </c>
      <c r="O116" s="407">
        <f t="shared" si="100"/>
        <v>5.3128017166469158E-2</v>
      </c>
      <c r="P116">
        <f t="shared" si="59"/>
        <v>0.2</v>
      </c>
      <c r="Q116" s="407">
        <f t="shared" si="80"/>
        <v>0.25312801716646915</v>
      </c>
      <c r="R116" s="9">
        <f t="shared" si="101"/>
        <v>0.52586422996888271</v>
      </c>
      <c r="S116" s="9">
        <f t="shared" si="102"/>
        <v>2.7653318836076595E-3</v>
      </c>
      <c r="T116" s="9">
        <f t="shared" si="103"/>
        <v>2.7653318836076595E-3</v>
      </c>
      <c r="U116" s="407">
        <f t="shared" si="104"/>
        <v>1.5046432497788431</v>
      </c>
      <c r="V116" s="409">
        <f t="shared" si="105"/>
        <v>4.5279026182100763E-3</v>
      </c>
      <c r="W116" s="407">
        <f t="shared" si="106"/>
        <v>4.5279026182100763E-3</v>
      </c>
      <c r="X116" s="407">
        <f t="shared" si="107"/>
        <v>1.5046432497788431</v>
      </c>
      <c r="Y116" s="407">
        <f t="shared" si="108"/>
        <v>1.3583707854630228E-2</v>
      </c>
      <c r="Z116" s="407">
        <f t="shared" si="62"/>
        <v>7.3968595211719834E-2</v>
      </c>
      <c r="AA116" s="407">
        <f t="shared" si="63"/>
        <v>0.14400000000000002</v>
      </c>
      <c r="AB116" s="407">
        <f t="shared" si="64"/>
        <v>0</v>
      </c>
      <c r="AC116" s="407">
        <f t="shared" si="109"/>
        <v>0.23218308450408817</v>
      </c>
      <c r="AD116" s="407">
        <f t="shared" si="110"/>
        <v>2.8838657873166924</v>
      </c>
      <c r="AE116" s="407">
        <f t="shared" si="111"/>
        <v>4.990009127553436E-2</v>
      </c>
      <c r="AF116" s="407">
        <f t="shared" si="67"/>
        <v>5.2002E-2</v>
      </c>
      <c r="AG116" s="407">
        <f t="shared" si="112"/>
        <v>0.10292932784642758</v>
      </c>
      <c r="AH116" s="407">
        <f t="shared" si="113"/>
        <v>0</v>
      </c>
      <c r="AI116">
        <f t="shared" si="70"/>
        <v>0</v>
      </c>
      <c r="AJ116" s="408">
        <f t="shared" si="71"/>
        <v>0.45323598600000004</v>
      </c>
      <c r="AK116">
        <f t="shared" si="85"/>
        <v>4.8000000000000001E-2</v>
      </c>
      <c r="AL116" s="408">
        <f t="shared" si="72"/>
        <v>5.1750000000000004E-2</v>
      </c>
      <c r="AM116" s="408">
        <f t="shared" si="86"/>
        <v>0.13648893249607535</v>
      </c>
      <c r="AN116" s="408">
        <f t="shared" si="114"/>
        <v>9.9750000000000005E-2</v>
      </c>
      <c r="AO116" s="408">
        <f t="shared" si="115"/>
        <v>1.1485196500188026</v>
      </c>
      <c r="AP116">
        <f t="shared" si="74"/>
        <v>16.370999999999999</v>
      </c>
      <c r="AQ116" s="10">
        <f t="shared" si="116"/>
        <v>0.93444342807551983</v>
      </c>
      <c r="AR116" s="63">
        <f t="shared" si="117"/>
        <v>11.609154225204408</v>
      </c>
      <c r="AS116" s="63">
        <f t="shared" si="118"/>
        <v>5.1464663923213791</v>
      </c>
      <c r="AT116" s="10"/>
      <c r="AU116">
        <f t="shared" si="119"/>
        <v>93.444342807551976</v>
      </c>
    </row>
    <row r="117" spans="7:47" x14ac:dyDescent="0.25">
      <c r="G117">
        <v>108</v>
      </c>
      <c r="H117">
        <f t="shared" si="55"/>
        <v>3.24</v>
      </c>
      <c r="I117" s="407">
        <f t="shared" si="97"/>
        <v>0.21398500000000001</v>
      </c>
      <c r="J117" s="408">
        <f t="shared" si="56"/>
        <v>1.8217641891891889</v>
      </c>
      <c r="K117" s="408">
        <f t="shared" si="77"/>
        <v>4.1508820945945946</v>
      </c>
      <c r="L117" s="408">
        <f t="shared" si="98"/>
        <v>2.3291179054054059</v>
      </c>
      <c r="M117" s="63">
        <f t="shared" si="57"/>
        <v>0</v>
      </c>
      <c r="N117" s="407">
        <f t="shared" si="99"/>
        <v>3.2824028896654882</v>
      </c>
      <c r="O117" s="407">
        <f t="shared" si="100"/>
        <v>5.4104013960576174E-2</v>
      </c>
      <c r="P117">
        <f t="shared" si="59"/>
        <v>0.2</v>
      </c>
      <c r="Q117" s="407">
        <f t="shared" si="80"/>
        <v>0.25410401396057619</v>
      </c>
      <c r="R117" s="9">
        <f t="shared" si="101"/>
        <v>0.52589802251419926</v>
      </c>
      <c r="S117" s="9">
        <f t="shared" si="102"/>
        <v>2.7656873008434523E-3</v>
      </c>
      <c r="T117" s="9">
        <f t="shared" si="103"/>
        <v>2.7656873008434523E-3</v>
      </c>
      <c r="U117" s="407">
        <f t="shared" si="104"/>
        <v>1.5183907585687879</v>
      </c>
      <c r="V117" s="409">
        <f t="shared" si="105"/>
        <v>4.6110209914141985E-3</v>
      </c>
      <c r="W117" s="407">
        <f t="shared" si="106"/>
        <v>4.6110209914141985E-3</v>
      </c>
      <c r="X117" s="407">
        <f t="shared" si="107"/>
        <v>1.5183907585687879</v>
      </c>
      <c r="Y117" s="407">
        <f t="shared" si="108"/>
        <v>1.3833062974242596E-2</v>
      </c>
      <c r="Z117" s="407">
        <f t="shared" si="62"/>
        <v>7.463534620168534E-2</v>
      </c>
      <c r="AA117" s="407">
        <f t="shared" si="63"/>
        <v>0.14400000000000002</v>
      </c>
      <c r="AB117" s="407">
        <f t="shared" si="64"/>
        <v>0</v>
      </c>
      <c r="AC117" s="407">
        <f t="shared" si="109"/>
        <v>0.23311334348804921</v>
      </c>
      <c r="AD117" s="407">
        <f t="shared" si="110"/>
        <v>2.9100959149789629</v>
      </c>
      <c r="AE117" s="407">
        <f t="shared" si="111"/>
        <v>5.081194940626349E-2</v>
      </c>
      <c r="AF117" s="407">
        <f t="shared" si="67"/>
        <v>5.2488E-2</v>
      </c>
      <c r="AG117" s="407">
        <f t="shared" si="112"/>
        <v>0.10436050151081951</v>
      </c>
      <c r="AH117" s="407">
        <f t="shared" si="113"/>
        <v>0</v>
      </c>
      <c r="AI117">
        <f t="shared" si="70"/>
        <v>0</v>
      </c>
      <c r="AJ117" s="408">
        <f t="shared" si="71"/>
        <v>0.45323258399999999</v>
      </c>
      <c r="AK117">
        <f t="shared" si="85"/>
        <v>4.8000000000000001E-2</v>
      </c>
      <c r="AL117" s="408">
        <f t="shared" si="72"/>
        <v>5.1750000000000004E-2</v>
      </c>
      <c r="AM117" s="408">
        <f t="shared" si="86"/>
        <v>0.13648893249607535</v>
      </c>
      <c r="AN117" s="408">
        <f t="shared" si="114"/>
        <v>9.9750000000000005E-2</v>
      </c>
      <c r="AO117" s="408">
        <f t="shared" si="115"/>
        <v>1.1519371512517025</v>
      </c>
      <c r="AP117">
        <f t="shared" si="74"/>
        <v>16.524000000000001</v>
      </c>
      <c r="AQ117" s="10">
        <f t="shared" si="116"/>
        <v>0.93483020779070103</v>
      </c>
      <c r="AR117" s="63">
        <f t="shared" si="117"/>
        <v>11.65566717440246</v>
      </c>
      <c r="AS117" s="63">
        <f t="shared" si="118"/>
        <v>5.2180250755409752</v>
      </c>
      <c r="AT117" s="10"/>
      <c r="AU117">
        <f t="shared" si="119"/>
        <v>93.483020779070102</v>
      </c>
    </row>
    <row r="118" spans="7:47" x14ac:dyDescent="0.25">
      <c r="G118">
        <v>109</v>
      </c>
      <c r="H118">
        <f t="shared" si="55"/>
        <v>3.2700000000000005</v>
      </c>
      <c r="I118" s="407">
        <f t="shared" si="97"/>
        <v>0.21399874999999999</v>
      </c>
      <c r="J118" s="408">
        <f t="shared" si="56"/>
        <v>1.8218812499999995</v>
      </c>
      <c r="K118" s="408">
        <f t="shared" si="77"/>
        <v>4.1809406249999999</v>
      </c>
      <c r="L118" s="408">
        <f t="shared" si="98"/>
        <v>2.3590593750000006</v>
      </c>
      <c r="M118" s="63">
        <f t="shared" si="57"/>
        <v>0</v>
      </c>
      <c r="N118" s="407">
        <f t="shared" si="99"/>
        <v>3.3120241958795833</v>
      </c>
      <c r="O118" s="407">
        <f t="shared" si="100"/>
        <v>5.508924204086852E-2</v>
      </c>
      <c r="P118">
        <f t="shared" si="59"/>
        <v>0.2</v>
      </c>
      <c r="Q118" s="407">
        <f t="shared" si="80"/>
        <v>0.25508924204086852</v>
      </c>
      <c r="R118" s="9">
        <f t="shared" si="101"/>
        <v>0.52593181505951581</v>
      </c>
      <c r="S118" s="9">
        <f t="shared" si="102"/>
        <v>2.7660427409179674E-3</v>
      </c>
      <c r="T118" s="9">
        <f t="shared" si="103"/>
        <v>2.7660427409179674E-3</v>
      </c>
      <c r="U118" s="407">
        <f t="shared" si="104"/>
        <v>1.5321423572159678</v>
      </c>
      <c r="V118" s="409">
        <f t="shared" si="105"/>
        <v>4.6949204055506044E-3</v>
      </c>
      <c r="W118" s="407">
        <f t="shared" si="106"/>
        <v>4.6949204055506044E-3</v>
      </c>
      <c r="X118" s="407">
        <f t="shared" si="107"/>
        <v>1.5321423572159678</v>
      </c>
      <c r="Y118" s="407">
        <f t="shared" si="108"/>
        <v>1.4084761216651814E-2</v>
      </c>
      <c r="Z118" s="407">
        <f t="shared" si="62"/>
        <v>7.5302097191650846E-2</v>
      </c>
      <c r="AA118" s="407">
        <f t="shared" si="63"/>
        <v>0.14400000000000002</v>
      </c>
      <c r="AB118" s="407">
        <f t="shared" si="64"/>
        <v>0</v>
      </c>
      <c r="AC118" s="407">
        <f t="shared" si="109"/>
        <v>0.23404615525037806</v>
      </c>
      <c r="AD118" s="407">
        <f t="shared" si="110"/>
        <v>2.9363317372729698</v>
      </c>
      <c r="AE118" s="407">
        <f t="shared" si="111"/>
        <v>5.173226442789898E-2</v>
      </c>
      <c r="AF118" s="407">
        <f t="shared" si="67"/>
        <v>5.2974000000000007E-2</v>
      </c>
      <c r="AG118" s="407">
        <f t="shared" si="112"/>
        <v>0.10580092875248719</v>
      </c>
      <c r="AH118" s="407">
        <f t="shared" si="113"/>
        <v>0</v>
      </c>
      <c r="AI118">
        <f t="shared" si="70"/>
        <v>0</v>
      </c>
      <c r="AJ118" s="408">
        <f t="shared" si="71"/>
        <v>0.45322918200000001</v>
      </c>
      <c r="AK118">
        <f t="shared" si="85"/>
        <v>4.8000000000000001E-2</v>
      </c>
      <c r="AL118" s="408">
        <f t="shared" si="72"/>
        <v>5.1750000000000004E-2</v>
      </c>
      <c r="AM118" s="408">
        <f t="shared" si="86"/>
        <v>0.13648893249607535</v>
      </c>
      <c r="AN118" s="408">
        <f t="shared" si="114"/>
        <v>9.9750000000000005E-2</v>
      </c>
      <c r="AO118" s="408">
        <f t="shared" si="115"/>
        <v>1.1553764711902024</v>
      </c>
      <c r="AP118">
        <f t="shared" si="74"/>
        <v>16.677</v>
      </c>
      <c r="AQ118" s="10">
        <f t="shared" si="116"/>
        <v>0.93520905791458497</v>
      </c>
      <c r="AR118" s="63">
        <f t="shared" si="117"/>
        <v>11.702307762518902</v>
      </c>
      <c r="AS118" s="63">
        <f t="shared" si="118"/>
        <v>5.2900464376243592</v>
      </c>
      <c r="AT118" s="10"/>
      <c r="AU118">
        <f t="shared" si="119"/>
        <v>93.520905791458503</v>
      </c>
    </row>
    <row r="119" spans="7:47" x14ac:dyDescent="0.25">
      <c r="G119">
        <v>110</v>
      </c>
      <c r="H119">
        <f t="shared" si="55"/>
        <v>3.3000000000000003</v>
      </c>
      <c r="I119" s="407">
        <f t="shared" si="97"/>
        <v>0.21401249999999997</v>
      </c>
      <c r="J119" s="408">
        <f t="shared" si="56"/>
        <v>1.8219983108108104</v>
      </c>
      <c r="K119" s="408">
        <f t="shared" si="77"/>
        <v>4.2109991554054051</v>
      </c>
      <c r="L119" s="408">
        <f t="shared" si="98"/>
        <v>2.3890008445945949</v>
      </c>
      <c r="M119" s="63">
        <f t="shared" si="57"/>
        <v>0</v>
      </c>
      <c r="N119" s="407">
        <f t="shared" si="99"/>
        <v>3.3416522590453845</v>
      </c>
      <c r="O119" s="407">
        <f t="shared" si="100"/>
        <v>5.608370571853611E-2</v>
      </c>
      <c r="P119">
        <f t="shared" si="59"/>
        <v>0.2</v>
      </c>
      <c r="Q119" s="407">
        <f t="shared" si="80"/>
        <v>0.25608370571853611</v>
      </c>
      <c r="R119" s="9">
        <f t="shared" si="101"/>
        <v>0.52596560760483246</v>
      </c>
      <c r="S119" s="9">
        <f t="shared" si="102"/>
        <v>2.7663982038312056E-3</v>
      </c>
      <c r="T119" s="9">
        <f t="shared" si="103"/>
        <v>2.7663982038312056E-3</v>
      </c>
      <c r="U119" s="407">
        <f t="shared" si="104"/>
        <v>1.5458979605911065</v>
      </c>
      <c r="V119" s="409">
        <f t="shared" si="105"/>
        <v>4.7796010091194843E-3</v>
      </c>
      <c r="W119" s="407">
        <f t="shared" si="106"/>
        <v>4.7796010091194843E-3</v>
      </c>
      <c r="X119" s="407">
        <f t="shared" si="107"/>
        <v>1.5458979605911065</v>
      </c>
      <c r="Y119" s="407">
        <f t="shared" si="108"/>
        <v>1.4338803027358453E-2</v>
      </c>
      <c r="Z119" s="407">
        <f t="shared" si="62"/>
        <v>7.5968848181616366E-2</v>
      </c>
      <c r="AA119" s="407">
        <f t="shared" si="63"/>
        <v>0.14400000000000002</v>
      </c>
      <c r="AB119" s="407">
        <f t="shared" si="64"/>
        <v>0</v>
      </c>
      <c r="AC119" s="407">
        <f t="shared" si="109"/>
        <v>0.23498152196066743</v>
      </c>
      <c r="AD119" s="407">
        <f t="shared" si="110"/>
        <v>2.9625730903765701</v>
      </c>
      <c r="AE119" s="407">
        <f t="shared" si="111"/>
        <v>5.2661035894940283E-2</v>
      </c>
      <c r="AF119" s="407">
        <f t="shared" si="67"/>
        <v>5.3459999999999994E-2</v>
      </c>
      <c r="AG119" s="407">
        <f t="shared" si="112"/>
        <v>0.10725062166236356</v>
      </c>
      <c r="AH119" s="407">
        <f t="shared" si="113"/>
        <v>0</v>
      </c>
      <c r="AI119">
        <f t="shared" si="70"/>
        <v>0</v>
      </c>
      <c r="AJ119" s="408">
        <f t="shared" si="71"/>
        <v>0.45322578000000002</v>
      </c>
      <c r="AK119">
        <f t="shared" si="85"/>
        <v>4.8000000000000001E-2</v>
      </c>
      <c r="AL119" s="408">
        <f t="shared" si="72"/>
        <v>5.1750000000000004E-2</v>
      </c>
      <c r="AM119" s="408">
        <f t="shared" si="86"/>
        <v>0.13648893249607535</v>
      </c>
      <c r="AN119" s="408">
        <f t="shared" si="114"/>
        <v>9.9750000000000005E-2</v>
      </c>
      <c r="AO119" s="408">
        <f t="shared" si="115"/>
        <v>1.1588376285545179</v>
      </c>
      <c r="AP119">
        <f t="shared" si="74"/>
        <v>16.830000000000002</v>
      </c>
      <c r="AQ119" s="10">
        <f t="shared" si="116"/>
        <v>0.93558018297329881</v>
      </c>
      <c r="AR119" s="63">
        <f t="shared" si="117"/>
        <v>11.749076098033372</v>
      </c>
      <c r="AS119" s="63">
        <f t="shared" si="118"/>
        <v>5.3625310831181778</v>
      </c>
      <c r="AT119" s="10"/>
      <c r="AU119">
        <f t="shared" si="119"/>
        <v>93.55801829732988</v>
      </c>
    </row>
    <row r="120" spans="7:47" x14ac:dyDescent="0.25">
      <c r="G120">
        <v>111</v>
      </c>
      <c r="H120">
        <f t="shared" si="55"/>
        <v>3.33</v>
      </c>
      <c r="I120" s="407">
        <f t="shared" si="97"/>
        <v>0.21402625</v>
      </c>
      <c r="J120" s="408">
        <f t="shared" si="56"/>
        <v>1.8221153716216214</v>
      </c>
      <c r="K120" s="408">
        <f t="shared" si="77"/>
        <v>4.2410576858108104</v>
      </c>
      <c r="L120" s="408">
        <f t="shared" si="98"/>
        <v>2.4189423141891893</v>
      </c>
      <c r="M120" s="63">
        <f t="shared" si="57"/>
        <v>0</v>
      </c>
      <c r="N120" s="407">
        <f t="shared" si="99"/>
        <v>3.3712869010154445</v>
      </c>
      <c r="O120" s="407">
        <f t="shared" si="100"/>
        <v>5.7087409346208762E-2</v>
      </c>
      <c r="P120">
        <f t="shared" si="59"/>
        <v>0.2</v>
      </c>
      <c r="Q120" s="407">
        <f t="shared" si="80"/>
        <v>0.25708740934620877</v>
      </c>
      <c r="R120" s="9">
        <f t="shared" si="101"/>
        <v>0.52599940015014912</v>
      </c>
      <c r="S120" s="9">
        <f t="shared" si="102"/>
        <v>2.7667536895831669E-3</v>
      </c>
      <c r="T120" s="9">
        <f t="shared" si="103"/>
        <v>2.7667536895831669E-3</v>
      </c>
      <c r="U120" s="407">
        <f t="shared" si="104"/>
        <v>1.5596574865368726</v>
      </c>
      <c r="V120" s="409">
        <f t="shared" si="105"/>
        <v>4.8650629506210297E-3</v>
      </c>
      <c r="W120" s="407">
        <f t="shared" si="106"/>
        <v>4.8650629506210297E-3</v>
      </c>
      <c r="X120" s="407">
        <f t="shared" si="107"/>
        <v>1.5596574865368726</v>
      </c>
      <c r="Y120" s="407">
        <f t="shared" si="108"/>
        <v>1.4595188851863091E-2</v>
      </c>
      <c r="Z120" s="407">
        <f t="shared" si="62"/>
        <v>7.6635599171581872E-2</v>
      </c>
      <c r="AA120" s="407">
        <f t="shared" si="63"/>
        <v>0.14400000000000002</v>
      </c>
      <c r="AB120" s="407">
        <f t="shared" si="64"/>
        <v>0</v>
      </c>
      <c r="AC120" s="407">
        <f t="shared" si="109"/>
        <v>0.2359194457964903</v>
      </c>
      <c r="AD120" s="407">
        <f t="shared" si="110"/>
        <v>2.9888198161896287</v>
      </c>
      <c r="AE120" s="407">
        <f t="shared" si="111"/>
        <v>5.359826336188684E-2</v>
      </c>
      <c r="AF120" s="407">
        <f t="shared" si="67"/>
        <v>5.3946000000000001E-2</v>
      </c>
      <c r="AG120" s="407">
        <f t="shared" si="112"/>
        <v>0.10870959243494516</v>
      </c>
      <c r="AH120" s="407">
        <f t="shared" si="113"/>
        <v>0</v>
      </c>
      <c r="AI120">
        <f t="shared" si="70"/>
        <v>0</v>
      </c>
      <c r="AJ120" s="408">
        <f t="shared" si="71"/>
        <v>0.45322237799999998</v>
      </c>
      <c r="AK120">
        <f t="shared" si="85"/>
        <v>4.8000000000000001E-2</v>
      </c>
      <c r="AL120" s="408">
        <f t="shared" si="72"/>
        <v>5.1750000000000004E-2</v>
      </c>
      <c r="AM120" s="408">
        <f t="shared" si="86"/>
        <v>0.13648893249607535</v>
      </c>
      <c r="AN120" s="408">
        <f t="shared" si="114"/>
        <v>9.9750000000000005E-2</v>
      </c>
      <c r="AO120" s="408">
        <f t="shared" si="115"/>
        <v>1.1623206422178483</v>
      </c>
      <c r="AP120">
        <f t="shared" si="74"/>
        <v>16.983000000000001</v>
      </c>
      <c r="AQ120" s="10">
        <f t="shared" si="116"/>
        <v>0.9359437804855576</v>
      </c>
      <c r="AR120" s="63">
        <f t="shared" si="117"/>
        <v>11.795972289824515</v>
      </c>
      <c r="AS120" s="63">
        <f t="shared" si="118"/>
        <v>5.4354796217472581</v>
      </c>
      <c r="AT120" s="10"/>
      <c r="AU120">
        <f t="shared" si="119"/>
        <v>93.594378048555754</v>
      </c>
    </row>
    <row r="121" spans="7:47" x14ac:dyDescent="0.25">
      <c r="G121">
        <v>112</v>
      </c>
      <c r="H121">
        <f t="shared" si="55"/>
        <v>3.3600000000000003</v>
      </c>
      <c r="I121" s="407">
        <f t="shared" si="97"/>
        <v>0.21403999999999998</v>
      </c>
      <c r="J121" s="408">
        <f t="shared" si="56"/>
        <v>1.8222324324324319</v>
      </c>
      <c r="K121" s="408">
        <f t="shared" si="77"/>
        <v>4.2711162162162166</v>
      </c>
      <c r="L121" s="408">
        <f t="shared" si="98"/>
        <v>2.4488837837837845</v>
      </c>
      <c r="M121" s="63">
        <f t="shared" si="57"/>
        <v>0</v>
      </c>
      <c r="N121" s="407">
        <f t="shared" si="99"/>
        <v>3.4009279498127252</v>
      </c>
      <c r="O121" s="407">
        <f t="shared" si="100"/>
        <v>5.8100357318003941E-2</v>
      </c>
      <c r="P121">
        <f t="shared" si="59"/>
        <v>0.2</v>
      </c>
      <c r="Q121" s="407">
        <f t="shared" si="80"/>
        <v>0.25810035731800396</v>
      </c>
      <c r="R121" s="9">
        <f t="shared" si="101"/>
        <v>0.52603319269546556</v>
      </c>
      <c r="S121" s="9">
        <f t="shared" si="102"/>
        <v>2.7671091981738478E-3</v>
      </c>
      <c r="T121" s="9">
        <f t="shared" si="103"/>
        <v>2.7671091981738478E-3</v>
      </c>
      <c r="U121" s="407">
        <f t="shared" si="104"/>
        <v>1.573420855740038</v>
      </c>
      <c r="V121" s="409">
        <f t="shared" si="105"/>
        <v>4.9513063785554265E-3</v>
      </c>
      <c r="W121" s="407">
        <f t="shared" si="106"/>
        <v>4.9513063785554265E-3</v>
      </c>
      <c r="X121" s="407">
        <f t="shared" si="107"/>
        <v>1.573420855740038</v>
      </c>
      <c r="Y121" s="407">
        <f t="shared" si="108"/>
        <v>1.485391913566628E-2</v>
      </c>
      <c r="Z121" s="407">
        <f t="shared" si="62"/>
        <v>7.7302350161547392E-2</v>
      </c>
      <c r="AA121" s="407">
        <f t="shared" si="63"/>
        <v>0.14400000000000002</v>
      </c>
      <c r="AB121" s="407">
        <f t="shared" si="64"/>
        <v>0</v>
      </c>
      <c r="AC121" s="407">
        <f t="shared" si="109"/>
        <v>0.23685992894341473</v>
      </c>
      <c r="AD121" s="407">
        <f t="shared" si="110"/>
        <v>3.0150717620878731</v>
      </c>
      <c r="AE121" s="407">
        <f t="shared" si="111"/>
        <v>5.4543946383238028E-2</v>
      </c>
      <c r="AF121" s="407">
        <f t="shared" si="67"/>
        <v>5.4432000000000001E-2</v>
      </c>
      <c r="AG121" s="407">
        <f t="shared" si="112"/>
        <v>0.11017785336858935</v>
      </c>
      <c r="AH121" s="407">
        <f t="shared" si="113"/>
        <v>0</v>
      </c>
      <c r="AI121">
        <f t="shared" si="70"/>
        <v>0</v>
      </c>
      <c r="AJ121" s="408">
        <f t="shared" si="71"/>
        <v>0.453218976</v>
      </c>
      <c r="AK121">
        <f t="shared" si="85"/>
        <v>4.8000000000000001E-2</v>
      </c>
      <c r="AL121" s="408">
        <f t="shared" si="72"/>
        <v>5.1750000000000004E-2</v>
      </c>
      <c r="AM121" s="408">
        <f t="shared" si="86"/>
        <v>0.13648893249607535</v>
      </c>
      <c r="AN121" s="408">
        <f t="shared" si="114"/>
        <v>9.9750000000000005E-2</v>
      </c>
      <c r="AO121" s="408">
        <f t="shared" si="115"/>
        <v>1.1658255312067374</v>
      </c>
      <c r="AP121">
        <f t="shared" si="74"/>
        <v>17.135999999999999</v>
      </c>
      <c r="AQ121" s="10">
        <f t="shared" si="116"/>
        <v>0.93630004125988031</v>
      </c>
      <c r="AR121" s="63">
        <f t="shared" si="117"/>
        <v>11.842996447170737</v>
      </c>
      <c r="AS121" s="63">
        <f t="shared" si="118"/>
        <v>5.5088926684294677</v>
      </c>
      <c r="AT121" s="10"/>
      <c r="AU121">
        <f t="shared" si="119"/>
        <v>93.630004125988037</v>
      </c>
    </row>
    <row r="122" spans="7:47" x14ac:dyDescent="0.25">
      <c r="G122">
        <v>113</v>
      </c>
      <c r="H122">
        <f t="shared" si="55"/>
        <v>3.3899999999999997</v>
      </c>
      <c r="I122" s="407">
        <f t="shared" si="97"/>
        <v>0.21405374999999996</v>
      </c>
      <c r="J122" s="408">
        <f t="shared" si="56"/>
        <v>1.8223494932432427</v>
      </c>
      <c r="K122" s="408">
        <f t="shared" si="77"/>
        <v>4.301174746621621</v>
      </c>
      <c r="L122" s="408">
        <f t="shared" si="98"/>
        <v>2.4788252533783783</v>
      </c>
      <c r="M122" s="63">
        <f t="shared" si="57"/>
        <v>0</v>
      </c>
      <c r="N122" s="407">
        <f t="shared" si="99"/>
        <v>3.4305752393673461</v>
      </c>
      <c r="O122" s="407">
        <f t="shared" si="100"/>
        <v>5.912255406957527E-2</v>
      </c>
      <c r="P122">
        <f t="shared" si="59"/>
        <v>0.2</v>
      </c>
      <c r="Q122" s="407">
        <f t="shared" si="80"/>
        <v>0.25912255406957529</v>
      </c>
      <c r="R122" s="9">
        <f t="shared" si="101"/>
        <v>0.52606698524078221</v>
      </c>
      <c r="S122" s="9">
        <f t="shared" si="102"/>
        <v>2.767464729603254E-3</v>
      </c>
      <c r="T122" s="9">
        <f t="shared" si="103"/>
        <v>2.767464729603254E-3</v>
      </c>
      <c r="U122" s="407">
        <f t="shared" si="104"/>
        <v>1.5871879916101403</v>
      </c>
      <c r="V122" s="409">
        <f t="shared" si="105"/>
        <v>5.0383314414228619E-3</v>
      </c>
      <c r="W122" s="407">
        <f t="shared" si="106"/>
        <v>5.0383314414228619E-3</v>
      </c>
      <c r="X122" s="407">
        <f t="shared" si="107"/>
        <v>1.5871879916101403</v>
      </c>
      <c r="Y122" s="407">
        <f t="shared" si="108"/>
        <v>1.5114994324268587E-2</v>
      </c>
      <c r="Z122" s="407">
        <f t="shared" si="62"/>
        <v>7.7969101151512898E-2</v>
      </c>
      <c r="AA122" s="407">
        <f t="shared" si="63"/>
        <v>0.14400000000000002</v>
      </c>
      <c r="AB122" s="407">
        <f t="shared" si="64"/>
        <v>0</v>
      </c>
      <c r="AC122" s="407">
        <f t="shared" si="109"/>
        <v>0.23780297359501806</v>
      </c>
      <c r="AD122" s="407">
        <f t="shared" si="110"/>
        <v>3.0413287806892719</v>
      </c>
      <c r="AE122" s="407">
        <f t="shared" si="111"/>
        <v>5.5498084513493362E-2</v>
      </c>
      <c r="AF122" s="407">
        <f t="shared" si="67"/>
        <v>5.4917999999999995E-2</v>
      </c>
      <c r="AG122" s="407">
        <f t="shared" si="112"/>
        <v>0.11165541686581502</v>
      </c>
      <c r="AH122" s="407">
        <f t="shared" si="113"/>
        <v>0</v>
      </c>
      <c r="AI122">
        <f t="shared" si="70"/>
        <v>0</v>
      </c>
      <c r="AJ122" s="408">
        <f t="shared" si="71"/>
        <v>0.45321557400000001</v>
      </c>
      <c r="AK122">
        <f t="shared" si="85"/>
        <v>4.8000000000000001E-2</v>
      </c>
      <c r="AL122" s="408">
        <f t="shared" si="72"/>
        <v>5.1750000000000004E-2</v>
      </c>
      <c r="AM122" s="408">
        <f t="shared" si="86"/>
        <v>0.13648893249607535</v>
      </c>
      <c r="AN122" s="408">
        <f t="shared" si="114"/>
        <v>9.9750000000000005E-2</v>
      </c>
      <c r="AO122" s="408">
        <f t="shared" si="115"/>
        <v>1.1693523147014344</v>
      </c>
      <c r="AP122">
        <f t="shared" si="74"/>
        <v>17.288999999999998</v>
      </c>
      <c r="AQ122" s="10">
        <f t="shared" si="116"/>
        <v>0.9366491496768059</v>
      </c>
      <c r="AR122" s="63">
        <f t="shared" si="117"/>
        <v>11.890148679750903</v>
      </c>
      <c r="AS122" s="63">
        <f t="shared" si="118"/>
        <v>5.582770843290751</v>
      </c>
      <c r="AT122" s="10"/>
      <c r="AU122">
        <f t="shared" si="119"/>
        <v>93.664914967680588</v>
      </c>
    </row>
    <row r="123" spans="7:47" x14ac:dyDescent="0.25">
      <c r="G123">
        <v>114</v>
      </c>
      <c r="H123">
        <f t="shared" si="55"/>
        <v>3.42</v>
      </c>
      <c r="I123" s="407">
        <f t="shared" si="97"/>
        <v>0.21406749999999999</v>
      </c>
      <c r="J123" s="408">
        <f t="shared" si="56"/>
        <v>1.8224665540540537</v>
      </c>
      <c r="K123" s="408">
        <f t="shared" si="77"/>
        <v>4.3312332770270263</v>
      </c>
      <c r="L123" s="408">
        <f t="shared" si="98"/>
        <v>2.5087667229729731</v>
      </c>
      <c r="M123" s="63">
        <f t="shared" si="57"/>
        <v>0</v>
      </c>
      <c r="N123" s="407">
        <f t="shared" si="99"/>
        <v>3.4602286092666099</v>
      </c>
      <c r="O123" s="407">
        <f t="shared" si="100"/>
        <v>6.0154004078161356E-2</v>
      </c>
      <c r="P123">
        <f t="shared" si="59"/>
        <v>0.2</v>
      </c>
      <c r="Q123" s="407">
        <f t="shared" si="80"/>
        <v>0.26015400407816136</v>
      </c>
      <c r="R123" s="9">
        <f t="shared" si="101"/>
        <v>0.52610077778609876</v>
      </c>
      <c r="S123" s="9">
        <f t="shared" si="102"/>
        <v>2.7678202838713807E-3</v>
      </c>
      <c r="T123" s="9">
        <f t="shared" si="103"/>
        <v>2.7678202838713807E-3</v>
      </c>
      <c r="U123" s="407">
        <f t="shared" si="104"/>
        <v>1.6009588201642675</v>
      </c>
      <c r="V123" s="409">
        <f t="shared" si="105"/>
        <v>5.126138287723527E-3</v>
      </c>
      <c r="W123" s="407">
        <f t="shared" si="106"/>
        <v>5.126138287723527E-3</v>
      </c>
      <c r="X123" s="407">
        <f t="shared" si="107"/>
        <v>1.6009588201642675</v>
      </c>
      <c r="Y123" s="407">
        <f t="shared" si="108"/>
        <v>1.537841486317058E-2</v>
      </c>
      <c r="Z123" s="407">
        <f t="shared" si="62"/>
        <v>7.8635852141478418E-2</v>
      </c>
      <c r="AA123" s="407">
        <f t="shared" si="63"/>
        <v>0.14400000000000002</v>
      </c>
      <c r="AB123" s="407">
        <f t="shared" si="64"/>
        <v>0</v>
      </c>
      <c r="AC123" s="407">
        <f t="shared" si="109"/>
        <v>0.23874858195290211</v>
      </c>
      <c r="AD123" s="407">
        <f t="shared" si="110"/>
        <v>3.0675907296321938</v>
      </c>
      <c r="AE123" s="407">
        <f t="shared" si="111"/>
        <v>5.6460677307152256E-2</v>
      </c>
      <c r="AF123" s="407">
        <f t="shared" si="67"/>
        <v>5.5403999999999995E-2</v>
      </c>
      <c r="AG123" s="407">
        <f t="shared" si="112"/>
        <v>0.11314229543360571</v>
      </c>
      <c r="AH123" s="407">
        <f t="shared" si="113"/>
        <v>0</v>
      </c>
      <c r="AI123">
        <f t="shared" si="70"/>
        <v>0</v>
      </c>
      <c r="AJ123" s="408">
        <f t="shared" si="71"/>
        <v>0.45321217199999997</v>
      </c>
      <c r="AK123">
        <f t="shared" si="85"/>
        <v>4.8000000000000001E-2</v>
      </c>
      <c r="AL123" s="408">
        <f t="shared" si="72"/>
        <v>5.1750000000000004E-2</v>
      </c>
      <c r="AM123" s="408">
        <f t="shared" si="86"/>
        <v>0.13648893249607535</v>
      </c>
      <c r="AN123" s="408">
        <f t="shared" si="114"/>
        <v>9.9750000000000005E-2</v>
      </c>
      <c r="AO123" s="408">
        <f t="shared" si="115"/>
        <v>1.172901012036264</v>
      </c>
      <c r="AP123">
        <f t="shared" si="74"/>
        <v>17.442</v>
      </c>
      <c r="AQ123" s="10">
        <f t="shared" si="116"/>
        <v>0.93699128395698295</v>
      </c>
      <c r="AR123" s="63">
        <f t="shared" si="117"/>
        <v>11.937429097645106</v>
      </c>
      <c r="AS123" s="63">
        <f t="shared" si="118"/>
        <v>5.6571147716802859</v>
      </c>
      <c r="AT123" s="10"/>
      <c r="AU123">
        <f t="shared" si="119"/>
        <v>93.699128395698295</v>
      </c>
    </row>
    <row r="124" spans="7:47" x14ac:dyDescent="0.25">
      <c r="G124">
        <v>115</v>
      </c>
      <c r="H124">
        <f t="shared" si="55"/>
        <v>3.4499999999999997</v>
      </c>
      <c r="I124" s="407">
        <f t="shared" si="97"/>
        <v>0.21408124999999997</v>
      </c>
      <c r="J124" s="408">
        <f t="shared" si="56"/>
        <v>1.8225836148648642</v>
      </c>
      <c r="K124" s="408">
        <f t="shared" si="77"/>
        <v>4.3612918074324316</v>
      </c>
      <c r="L124" s="408">
        <f t="shared" si="98"/>
        <v>2.5387081925675679</v>
      </c>
      <c r="M124" s="63">
        <f t="shared" si="57"/>
        <v>0</v>
      </c>
      <c r="N124" s="407">
        <f t="shared" si="99"/>
        <v>3.4898879045175391</v>
      </c>
      <c r="O124" s="407">
        <f t="shared" si="100"/>
        <v>6.1194711862635018E-2</v>
      </c>
      <c r="P124">
        <f t="shared" si="59"/>
        <v>0.2</v>
      </c>
      <c r="Q124" s="407">
        <f t="shared" si="80"/>
        <v>0.26119471186263504</v>
      </c>
      <c r="R124" s="9">
        <f t="shared" si="101"/>
        <v>0.52613457033141531</v>
      </c>
      <c r="S124" s="9">
        <f t="shared" si="102"/>
        <v>2.76817586097823E-3</v>
      </c>
      <c r="T124" s="9">
        <f t="shared" si="103"/>
        <v>2.76817586097823E-3</v>
      </c>
      <c r="U124" s="407">
        <f t="shared" si="104"/>
        <v>1.6147332699176058</v>
      </c>
      <c r="V124" s="409">
        <f t="shared" si="105"/>
        <v>5.2147270659576072E-3</v>
      </c>
      <c r="W124" s="407">
        <f t="shared" si="106"/>
        <v>5.2147270659576072E-3</v>
      </c>
      <c r="X124" s="407">
        <f t="shared" si="107"/>
        <v>1.6147332699176058</v>
      </c>
      <c r="Y124" s="407">
        <f t="shared" si="108"/>
        <v>1.5644181197872822E-2</v>
      </c>
      <c r="Z124" s="407">
        <f t="shared" si="62"/>
        <v>7.9302603131443924E-2</v>
      </c>
      <c r="AA124" s="407">
        <f t="shared" si="63"/>
        <v>0.14400000000000002</v>
      </c>
      <c r="AB124" s="407">
        <f t="shared" si="64"/>
        <v>0</v>
      </c>
      <c r="AC124" s="407">
        <f t="shared" si="109"/>
        <v>0.23969675622670736</v>
      </c>
      <c r="AD124" s="407">
        <f t="shared" si="110"/>
        <v>3.0938574713646738</v>
      </c>
      <c r="AE124" s="407">
        <f t="shared" si="111"/>
        <v>5.7431724318714079E-2</v>
      </c>
      <c r="AF124" s="407">
        <f t="shared" si="67"/>
        <v>5.5889999999999995E-2</v>
      </c>
      <c r="AG124" s="407">
        <f t="shared" si="112"/>
        <v>0.11463850168371599</v>
      </c>
      <c r="AH124" s="407">
        <f t="shared" si="113"/>
        <v>0</v>
      </c>
      <c r="AI124">
        <f t="shared" si="70"/>
        <v>0</v>
      </c>
      <c r="AJ124" s="408">
        <f t="shared" si="71"/>
        <v>0.45320876999999998</v>
      </c>
      <c r="AK124">
        <f t="shared" si="85"/>
        <v>4.8000000000000001E-2</v>
      </c>
      <c r="AL124" s="408">
        <f t="shared" si="72"/>
        <v>5.1750000000000004E-2</v>
      </c>
      <c r="AM124" s="408">
        <f t="shared" si="86"/>
        <v>0.13648893249607535</v>
      </c>
      <c r="AN124" s="408">
        <f t="shared" si="114"/>
        <v>9.9750000000000005E-2</v>
      </c>
      <c r="AO124" s="408">
        <f t="shared" si="115"/>
        <v>1.1764716426999942</v>
      </c>
      <c r="AP124">
        <f t="shared" si="74"/>
        <v>17.594999999999999</v>
      </c>
      <c r="AQ124" s="10">
        <f t="shared" si="116"/>
        <v>0.93732661641595316</v>
      </c>
      <c r="AR124" s="63">
        <f t="shared" si="117"/>
        <v>11.984837811335368</v>
      </c>
      <c r="AS124" s="63">
        <f t="shared" si="118"/>
        <v>5.7319250841857992</v>
      </c>
      <c r="AT124" s="10"/>
      <c r="AU124">
        <f t="shared" si="119"/>
        <v>93.732661641595314</v>
      </c>
    </row>
    <row r="125" spans="7:47" x14ac:dyDescent="0.25">
      <c r="G125">
        <v>116</v>
      </c>
      <c r="H125">
        <f t="shared" si="55"/>
        <v>3.4799999999999995</v>
      </c>
      <c r="I125" s="407">
        <f t="shared" si="97"/>
        <v>0.21409500000000001</v>
      </c>
      <c r="J125" s="408">
        <f t="shared" si="56"/>
        <v>1.8227006756756756</v>
      </c>
      <c r="K125" s="408">
        <f t="shared" si="77"/>
        <v>4.3913503378378369</v>
      </c>
      <c r="L125" s="408">
        <f t="shared" si="98"/>
        <v>2.5686496621621617</v>
      </c>
      <c r="M125" s="63">
        <f t="shared" si="57"/>
        <v>0</v>
      </c>
      <c r="N125" s="407">
        <f t="shared" si="99"/>
        <v>3.5195529753212091</v>
      </c>
      <c r="O125" s="407">
        <f t="shared" si="100"/>
        <v>6.2244681983553186E-2</v>
      </c>
      <c r="P125">
        <f t="shared" si="59"/>
        <v>0.2</v>
      </c>
      <c r="Q125" s="407">
        <f t="shared" si="80"/>
        <v>0.26224468198355322</v>
      </c>
      <c r="R125" s="9">
        <f t="shared" si="101"/>
        <v>0.52616836287673208</v>
      </c>
      <c r="S125" s="9">
        <f t="shared" si="102"/>
        <v>2.7685314609238042E-3</v>
      </c>
      <c r="T125" s="9">
        <f t="shared" si="103"/>
        <v>2.7685314609238042E-3</v>
      </c>
      <c r="U125" s="407">
        <f t="shared" si="104"/>
        <v>1.6285112717794272</v>
      </c>
      <c r="V125" s="409">
        <f t="shared" si="105"/>
        <v>5.3040979246252954E-3</v>
      </c>
      <c r="W125" s="407">
        <f t="shared" si="106"/>
        <v>5.3040979246252954E-3</v>
      </c>
      <c r="X125" s="407">
        <f t="shared" si="107"/>
        <v>1.6285112717794272</v>
      </c>
      <c r="Y125" s="407">
        <f t="shared" si="108"/>
        <v>1.5912293773875884E-2</v>
      </c>
      <c r="Z125" s="407">
        <f t="shared" si="62"/>
        <v>7.9969354121409431E-2</v>
      </c>
      <c r="AA125" s="407">
        <f t="shared" si="63"/>
        <v>0.14400000000000002</v>
      </c>
      <c r="AB125" s="407">
        <f t="shared" si="64"/>
        <v>0</v>
      </c>
      <c r="AC125" s="407">
        <f t="shared" si="109"/>
        <v>0.24064749863412827</v>
      </c>
      <c r="AD125" s="407">
        <f t="shared" si="110"/>
        <v>3.1201288729441492</v>
      </c>
      <c r="AE125" s="407">
        <f t="shared" si="111"/>
        <v>5.8411225102678363E-2</v>
      </c>
      <c r="AF125" s="407">
        <f t="shared" si="67"/>
        <v>5.6375999999999989E-2</v>
      </c>
      <c r="AG125" s="407">
        <f t="shared" si="112"/>
        <v>0.11614404833298118</v>
      </c>
      <c r="AH125" s="407">
        <f t="shared" si="113"/>
        <v>0</v>
      </c>
      <c r="AI125">
        <f t="shared" si="70"/>
        <v>0</v>
      </c>
      <c r="AJ125" s="408">
        <f t="shared" si="71"/>
        <v>0.45320536800000005</v>
      </c>
      <c r="AK125">
        <f t="shared" si="85"/>
        <v>4.8000000000000001E-2</v>
      </c>
      <c r="AL125" s="408">
        <f t="shared" si="72"/>
        <v>5.1750000000000004E-2</v>
      </c>
      <c r="AM125" s="408">
        <f t="shared" si="86"/>
        <v>0.13648893249607535</v>
      </c>
      <c r="AN125" s="408">
        <f t="shared" si="114"/>
        <v>9.9750000000000005E-2</v>
      </c>
      <c r="AO125" s="408">
        <f t="shared" si="115"/>
        <v>1.1800642263362118</v>
      </c>
      <c r="AP125">
        <f t="shared" si="74"/>
        <v>17.747999999999998</v>
      </c>
      <c r="AQ125" s="10">
        <f t="shared" si="116"/>
        <v>0.93765531370639099</v>
      </c>
      <c r="AR125" s="63">
        <f t="shared" si="117"/>
        <v>12.032374931706414</v>
      </c>
      <c r="AS125" s="63">
        <f t="shared" si="118"/>
        <v>5.8072024166490595</v>
      </c>
      <c r="AT125" s="10"/>
      <c r="AU125">
        <f t="shared" si="119"/>
        <v>93.765531370639096</v>
      </c>
    </row>
    <row r="126" spans="7:47" x14ac:dyDescent="0.25">
      <c r="G126">
        <v>117</v>
      </c>
      <c r="H126">
        <f t="shared" si="55"/>
        <v>3.51</v>
      </c>
      <c r="I126" s="407">
        <f t="shared" si="97"/>
        <v>0.21410874999999999</v>
      </c>
      <c r="J126" s="408">
        <f t="shared" si="56"/>
        <v>1.8228177364864862</v>
      </c>
      <c r="K126" s="408">
        <f t="shared" si="77"/>
        <v>4.4214088682432431</v>
      </c>
      <c r="L126" s="408">
        <f t="shared" si="98"/>
        <v>2.5985911317567565</v>
      </c>
      <c r="M126" s="63">
        <f t="shared" si="57"/>
        <v>0</v>
      </c>
      <c r="N126" s="407">
        <f t="shared" si="99"/>
        <v>3.5492236768581957</v>
      </c>
      <c r="O126" s="407">
        <f t="shared" si="100"/>
        <v>6.3303919043207202E-2</v>
      </c>
      <c r="P126">
        <f t="shared" si="59"/>
        <v>0.2</v>
      </c>
      <c r="Q126" s="407">
        <f t="shared" si="80"/>
        <v>0.26330391904320721</v>
      </c>
      <c r="R126" s="9">
        <f t="shared" si="101"/>
        <v>0.52620215542204862</v>
      </c>
      <c r="S126" s="9">
        <f t="shared" si="102"/>
        <v>2.768887083708098E-3</v>
      </c>
      <c r="T126" s="9">
        <f t="shared" si="103"/>
        <v>2.768887083708098E-3</v>
      </c>
      <c r="U126" s="407">
        <f t="shared" si="104"/>
        <v>1.6422927589541971</v>
      </c>
      <c r="V126" s="409">
        <f t="shared" si="105"/>
        <v>5.3942510122267778E-3</v>
      </c>
      <c r="W126" s="407">
        <f t="shared" si="106"/>
        <v>5.3942510122267778E-3</v>
      </c>
      <c r="X126" s="407">
        <f t="shared" si="107"/>
        <v>1.6422927589541971</v>
      </c>
      <c r="Y126" s="407">
        <f t="shared" si="108"/>
        <v>1.6182753036680333E-2</v>
      </c>
      <c r="Z126" s="407">
        <f t="shared" si="62"/>
        <v>8.0636105111374951E-2</v>
      </c>
      <c r="AA126" s="407">
        <f t="shared" si="63"/>
        <v>0.14400000000000002</v>
      </c>
      <c r="AB126" s="407">
        <f t="shared" si="64"/>
        <v>0</v>
      </c>
      <c r="AC126" s="407">
        <f t="shared" si="109"/>
        <v>0.24160081140092787</v>
      </c>
      <c r="AD126" s="407">
        <f t="shared" si="110"/>
        <v>3.1464048058470517</v>
      </c>
      <c r="AE126" s="407">
        <f t="shared" si="111"/>
        <v>5.939917921354454E-2</v>
      </c>
      <c r="AF126" s="407">
        <f t="shared" si="67"/>
        <v>5.6861999999999996E-2</v>
      </c>
      <c r="AG126" s="407">
        <f t="shared" si="112"/>
        <v>0.11765894820362945</v>
      </c>
      <c r="AH126" s="407">
        <f t="shared" si="113"/>
        <v>0</v>
      </c>
      <c r="AI126">
        <f t="shared" si="70"/>
        <v>0</v>
      </c>
      <c r="AJ126" s="408">
        <f t="shared" si="71"/>
        <v>0.45320196600000001</v>
      </c>
      <c r="AK126">
        <f t="shared" si="85"/>
        <v>4.8000000000000001E-2</v>
      </c>
      <c r="AL126" s="408">
        <f t="shared" si="72"/>
        <v>5.1750000000000004E-2</v>
      </c>
      <c r="AM126" s="408">
        <f t="shared" si="86"/>
        <v>0.13648893249607535</v>
      </c>
      <c r="AN126" s="408">
        <f t="shared" si="114"/>
        <v>9.9750000000000005E-2</v>
      </c>
      <c r="AO126" s="408">
        <f t="shared" si="115"/>
        <v>1.1836787827436994</v>
      </c>
      <c r="AP126">
        <f t="shared" si="74"/>
        <v>17.900999999999996</v>
      </c>
      <c r="AQ126" s="10">
        <f t="shared" si="116"/>
        <v>0.93797753704851572</v>
      </c>
      <c r="AR126" s="63">
        <f t="shared" si="117"/>
        <v>12.080040570046394</v>
      </c>
      <c r="AS126" s="63">
        <f t="shared" si="118"/>
        <v>5.8829474101814725</v>
      </c>
      <c r="AT126" s="10"/>
      <c r="AU126">
        <f t="shared" si="119"/>
        <v>93.797753704851573</v>
      </c>
    </row>
    <row r="127" spans="7:47" x14ac:dyDescent="0.25">
      <c r="G127">
        <v>118</v>
      </c>
      <c r="H127">
        <f t="shared" si="55"/>
        <v>3.54</v>
      </c>
      <c r="I127" s="407">
        <f t="shared" si="97"/>
        <v>0.21412249999999997</v>
      </c>
      <c r="J127" s="408">
        <f t="shared" si="56"/>
        <v>1.8229347972972965</v>
      </c>
      <c r="K127" s="408">
        <f t="shared" si="77"/>
        <v>4.4514673986486484</v>
      </c>
      <c r="L127" s="408">
        <f t="shared" si="98"/>
        <v>2.6285326013513517</v>
      </c>
      <c r="M127" s="63">
        <f t="shared" si="57"/>
        <v>0</v>
      </c>
      <c r="N127" s="407">
        <f t="shared" si="99"/>
        <v>3.5788998690845086</v>
      </c>
      <c r="O127" s="407">
        <f t="shared" si="100"/>
        <v>6.4372427685673403E-2</v>
      </c>
      <c r="P127">
        <f t="shared" si="59"/>
        <v>0.2</v>
      </c>
      <c r="Q127" s="407">
        <f t="shared" si="80"/>
        <v>0.26437242768567343</v>
      </c>
      <c r="R127" s="9">
        <f t="shared" si="101"/>
        <v>0.52623594796736506</v>
      </c>
      <c r="S127" s="9">
        <f t="shared" si="102"/>
        <v>2.7692427293311136E-3</v>
      </c>
      <c r="T127" s="9">
        <f t="shared" si="103"/>
        <v>2.7692427293311136E-3</v>
      </c>
      <c r="U127" s="407">
        <f t="shared" si="104"/>
        <v>1.6560776668475183</v>
      </c>
      <c r="V127" s="409">
        <f t="shared" si="105"/>
        <v>5.4851864772622405E-3</v>
      </c>
      <c r="W127" s="407">
        <f t="shared" si="106"/>
        <v>5.4851864772622405E-3</v>
      </c>
      <c r="X127" s="407">
        <f t="shared" si="107"/>
        <v>1.6560776668475183</v>
      </c>
      <c r="Y127" s="407">
        <f t="shared" si="108"/>
        <v>1.6455559431786719E-2</v>
      </c>
      <c r="Z127" s="407">
        <f t="shared" si="62"/>
        <v>8.1302856101340484E-2</v>
      </c>
      <c r="AA127" s="407">
        <f t="shared" si="63"/>
        <v>0.14400000000000002</v>
      </c>
      <c r="AB127" s="407">
        <f t="shared" si="64"/>
        <v>0</v>
      </c>
      <c r="AC127" s="407">
        <f t="shared" si="109"/>
        <v>0.24255669676095276</v>
      </c>
      <c r="AD127" s="407">
        <f t="shared" si="110"/>
        <v>3.1726851457877117</v>
      </c>
      <c r="AE127" s="407">
        <f t="shared" si="111"/>
        <v>6.0395586205811959E-2</v>
      </c>
      <c r="AF127" s="407">
        <f t="shared" si="67"/>
        <v>5.7347999999999996E-2</v>
      </c>
      <c r="AG127" s="407">
        <f t="shared" si="112"/>
        <v>0.11918321422359737</v>
      </c>
      <c r="AH127" s="407">
        <f t="shared" si="113"/>
        <v>0</v>
      </c>
      <c r="AI127">
        <f t="shared" si="70"/>
        <v>0</v>
      </c>
      <c r="AJ127" s="408">
        <f t="shared" si="71"/>
        <v>0.45319856400000003</v>
      </c>
      <c r="AK127">
        <f t="shared" si="85"/>
        <v>4.8000000000000001E-2</v>
      </c>
      <c r="AL127" s="408">
        <f t="shared" si="72"/>
        <v>5.1750000000000004E-2</v>
      </c>
      <c r="AM127" s="408">
        <f t="shared" si="86"/>
        <v>0.13648893249607535</v>
      </c>
      <c r="AN127" s="408">
        <f t="shared" si="114"/>
        <v>9.9750000000000005E-2</v>
      </c>
      <c r="AO127" s="408">
        <f t="shared" si="115"/>
        <v>1.187315331876817</v>
      </c>
      <c r="AP127">
        <f t="shared" si="74"/>
        <v>18.053999999999998</v>
      </c>
      <c r="AQ127" s="10">
        <f t="shared" si="116"/>
        <v>0.93829344244934187</v>
      </c>
      <c r="AR127" s="63">
        <f t="shared" si="117"/>
        <v>12.127834838047638</v>
      </c>
      <c r="AS127" s="63">
        <f t="shared" si="118"/>
        <v>5.9591607111798686</v>
      </c>
      <c r="AT127" s="10"/>
      <c r="AU127">
        <f t="shared" si="119"/>
        <v>93.829344244934191</v>
      </c>
    </row>
    <row r="128" spans="7:47" x14ac:dyDescent="0.25">
      <c r="G128">
        <v>119</v>
      </c>
      <c r="H128">
        <f t="shared" si="55"/>
        <v>3.57</v>
      </c>
      <c r="I128" s="407">
        <f t="shared" si="97"/>
        <v>0.21413625</v>
      </c>
      <c r="J128" s="408">
        <f t="shared" si="56"/>
        <v>1.8230518581081079</v>
      </c>
      <c r="K128" s="408">
        <f t="shared" si="77"/>
        <v>4.4815259290540537</v>
      </c>
      <c r="L128" s="408">
        <f t="shared" si="98"/>
        <v>2.658474070945946</v>
      </c>
      <c r="M128" s="63">
        <f t="shared" si="57"/>
        <v>0</v>
      </c>
      <c r="N128" s="407">
        <f t="shared" si="99"/>
        <v>3.6085814165374299</v>
      </c>
      <c r="O128" s="407">
        <f t="shared" si="100"/>
        <v>6.5450212596864482E-2</v>
      </c>
      <c r="P128">
        <f t="shared" si="59"/>
        <v>0.2</v>
      </c>
      <c r="Q128" s="407">
        <f t="shared" si="80"/>
        <v>0.26545021259686452</v>
      </c>
      <c r="R128" s="9">
        <f t="shared" si="101"/>
        <v>0.52626974051268183</v>
      </c>
      <c r="S128" s="9">
        <f t="shared" si="102"/>
        <v>2.7695983977928545E-3</v>
      </c>
      <c r="T128" s="9">
        <f t="shared" si="103"/>
        <v>2.7695983977928545E-3</v>
      </c>
      <c r="U128" s="407">
        <f t="shared" si="104"/>
        <v>1.6698659329766377</v>
      </c>
      <c r="V128" s="409">
        <f t="shared" si="105"/>
        <v>5.5769044682318731E-3</v>
      </c>
      <c r="W128" s="407">
        <f t="shared" si="106"/>
        <v>5.5769044682318731E-3</v>
      </c>
      <c r="X128" s="407">
        <f t="shared" si="107"/>
        <v>1.6698659329766377</v>
      </c>
      <c r="Y128" s="407">
        <f t="shared" si="108"/>
        <v>1.6730713404695619E-2</v>
      </c>
      <c r="Z128" s="407">
        <f t="shared" si="62"/>
        <v>8.196960709130599E-2</v>
      </c>
      <c r="AA128" s="407">
        <f t="shared" si="63"/>
        <v>0.14400000000000002</v>
      </c>
      <c r="AB128" s="407">
        <f t="shared" si="64"/>
        <v>0</v>
      </c>
      <c r="AC128" s="407">
        <f t="shared" si="109"/>
        <v>0.2435151569561482</v>
      </c>
      <c r="AD128" s="407">
        <f t="shared" si="110"/>
        <v>3.1989697725460533</v>
      </c>
      <c r="AE128" s="407">
        <f t="shared" si="111"/>
        <v>6.1400445633980096E-2</v>
      </c>
      <c r="AF128" s="407">
        <f t="shared" si="67"/>
        <v>5.7833999999999997E-2</v>
      </c>
      <c r="AG128" s="407">
        <f t="shared" si="112"/>
        <v>0.12071685942684869</v>
      </c>
      <c r="AH128" s="407">
        <f t="shared" si="113"/>
        <v>0</v>
      </c>
      <c r="AI128">
        <f t="shared" si="70"/>
        <v>0</v>
      </c>
      <c r="AJ128" s="408">
        <f t="shared" si="71"/>
        <v>0.45319516200000004</v>
      </c>
      <c r="AK128">
        <f t="shared" si="85"/>
        <v>4.8000000000000001E-2</v>
      </c>
      <c r="AL128" s="408">
        <f t="shared" si="72"/>
        <v>5.1750000000000004E-2</v>
      </c>
      <c r="AM128" s="408">
        <f t="shared" si="86"/>
        <v>0.13648893249607535</v>
      </c>
      <c r="AN128" s="408">
        <f t="shared" si="114"/>
        <v>9.9750000000000005E-2</v>
      </c>
      <c r="AO128" s="408">
        <f t="shared" si="115"/>
        <v>1.190973893845886</v>
      </c>
      <c r="AP128">
        <f t="shared" si="74"/>
        <v>18.206999999999997</v>
      </c>
      <c r="AQ128" s="10">
        <f t="shared" si="116"/>
        <v>0.93860318091139772</v>
      </c>
      <c r="AR128" s="63">
        <f t="shared" si="117"/>
        <v>12.175757847807409</v>
      </c>
      <c r="AS128" s="63">
        <f t="shared" si="118"/>
        <v>6.0358429713424346</v>
      </c>
      <c r="AT128" s="10"/>
      <c r="AU128">
        <f t="shared" si="119"/>
        <v>93.860318091139774</v>
      </c>
    </row>
    <row r="129" spans="7:47" x14ac:dyDescent="0.25">
      <c r="G129">
        <v>120</v>
      </c>
      <c r="H129">
        <f t="shared" si="55"/>
        <v>3.5999999999999996</v>
      </c>
      <c r="I129" s="407">
        <f t="shared" si="97"/>
        <v>0.21414999999999998</v>
      </c>
      <c r="J129" s="408">
        <f t="shared" si="56"/>
        <v>1.8231689189189184</v>
      </c>
      <c r="K129" s="408">
        <f t="shared" si="77"/>
        <v>4.511584459459459</v>
      </c>
      <c r="L129" s="408">
        <f t="shared" si="98"/>
        <v>2.6884155405405403</v>
      </c>
      <c r="M129" s="63">
        <f t="shared" si="57"/>
        <v>0</v>
      </c>
      <c r="N129" s="407">
        <f t="shared" si="99"/>
        <v>3.6382681881506933</v>
      </c>
      <c r="O129" s="407">
        <f t="shared" si="100"/>
        <v>6.6537278504581215E-2</v>
      </c>
      <c r="P129">
        <f t="shared" si="59"/>
        <v>0.2</v>
      </c>
      <c r="Q129" s="407">
        <f t="shared" si="80"/>
        <v>0.2665372785045812</v>
      </c>
      <c r="R129" s="9">
        <f t="shared" si="101"/>
        <v>0.52630353305799826</v>
      </c>
      <c r="S129" s="9">
        <f t="shared" si="102"/>
        <v>2.769954089093315E-3</v>
      </c>
      <c r="T129" s="9">
        <f t="shared" si="103"/>
        <v>2.769954089093315E-3</v>
      </c>
      <c r="U129" s="407">
        <f t="shared" si="104"/>
        <v>1.6836574968852578</v>
      </c>
      <c r="V129" s="409">
        <f t="shared" si="105"/>
        <v>5.6694051336358634E-3</v>
      </c>
      <c r="W129" s="407">
        <f t="shared" si="106"/>
        <v>5.6694051336358634E-3</v>
      </c>
      <c r="X129" s="407">
        <f t="shared" si="107"/>
        <v>1.6836574968852578</v>
      </c>
      <c r="Y129" s="407">
        <f t="shared" si="108"/>
        <v>1.7008215400907592E-2</v>
      </c>
      <c r="Z129" s="407">
        <f t="shared" si="62"/>
        <v>8.2636358081271497E-2</v>
      </c>
      <c r="AA129" s="407">
        <f t="shared" si="63"/>
        <v>0.14400000000000002</v>
      </c>
      <c r="AB129" s="407">
        <f t="shared" si="64"/>
        <v>0</v>
      </c>
      <c r="AC129" s="407">
        <f t="shared" si="109"/>
        <v>0.24447619423657307</v>
      </c>
      <c r="AD129" s="407">
        <f t="shared" si="110"/>
        <v>3.2252585698035743</v>
      </c>
      <c r="AE129" s="407">
        <f t="shared" si="111"/>
        <v>6.2413757052548383E-2</v>
      </c>
      <c r="AF129" s="407">
        <f t="shared" si="67"/>
        <v>5.831999999999999E-2</v>
      </c>
      <c r="AG129" s="407">
        <f t="shared" si="112"/>
        <v>0.12225989695369589</v>
      </c>
      <c r="AH129" s="407">
        <f t="shared" si="113"/>
        <v>0</v>
      </c>
      <c r="AI129">
        <f t="shared" si="70"/>
        <v>0</v>
      </c>
      <c r="AJ129" s="408">
        <f t="shared" si="71"/>
        <v>0.45319176</v>
      </c>
      <c r="AK129">
        <f t="shared" si="85"/>
        <v>4.8000000000000001E-2</v>
      </c>
      <c r="AL129" s="408">
        <f t="shared" si="72"/>
        <v>5.1750000000000004E-2</v>
      </c>
      <c r="AM129" s="408">
        <f t="shared" si="86"/>
        <v>0.13648893249607535</v>
      </c>
      <c r="AN129" s="408">
        <f t="shared" si="114"/>
        <v>9.9750000000000005E-2</v>
      </c>
      <c r="AO129" s="408">
        <f t="shared" si="115"/>
        <v>1.1946544889175792</v>
      </c>
      <c r="AP129">
        <f t="shared" si="74"/>
        <v>18.359999999999996</v>
      </c>
      <c r="AQ129" s="10">
        <f t="shared" si="116"/>
        <v>0.93890689863149268</v>
      </c>
      <c r="AR129" s="63">
        <f t="shared" si="117"/>
        <v>12.223809711828654</v>
      </c>
      <c r="AS129" s="63">
        <f t="shared" si="118"/>
        <v>6.1129948476847948</v>
      </c>
      <c r="AT129" s="10"/>
      <c r="AU129">
        <f t="shared" si="119"/>
        <v>93.890689863149262</v>
      </c>
    </row>
    <row r="130" spans="7:47" x14ac:dyDescent="0.25">
      <c r="G130">
        <v>121</v>
      </c>
      <c r="H130">
        <f t="shared" si="55"/>
        <v>3.63</v>
      </c>
      <c r="I130" s="407">
        <f t="shared" si="97"/>
        <v>0.21416374999999999</v>
      </c>
      <c r="J130" s="408">
        <f t="shared" si="56"/>
        <v>1.8232859797297294</v>
      </c>
      <c r="K130" s="408">
        <f t="shared" si="77"/>
        <v>4.5416429898648643</v>
      </c>
      <c r="L130" s="408">
        <f t="shared" si="98"/>
        <v>2.7183570101351351</v>
      </c>
      <c r="M130" s="63">
        <f t="shared" si="57"/>
        <v>0</v>
      </c>
      <c r="N130" s="407">
        <f t="shared" si="99"/>
        <v>3.6679600570784916</v>
      </c>
      <c r="O130" s="407">
        <f t="shared" si="100"/>
        <v>6.7633630178564719E-2</v>
      </c>
      <c r="P130">
        <f t="shared" si="59"/>
        <v>0.2</v>
      </c>
      <c r="Q130" s="407">
        <f t="shared" si="80"/>
        <v>0.26763363017856473</v>
      </c>
      <c r="R130" s="9">
        <f t="shared" si="101"/>
        <v>0.52633732560331492</v>
      </c>
      <c r="S130" s="9">
        <f t="shared" si="102"/>
        <v>2.7703098032324995E-3</v>
      </c>
      <c r="T130" s="9">
        <f t="shared" si="103"/>
        <v>2.7703098032324995E-3</v>
      </c>
      <c r="U130" s="407">
        <f t="shared" si="104"/>
        <v>1.6974523000624211</v>
      </c>
      <c r="V130" s="409">
        <f t="shared" si="105"/>
        <v>5.7626886219744071E-3</v>
      </c>
      <c r="W130" s="407">
        <f t="shared" si="106"/>
        <v>5.7626886219744071E-3</v>
      </c>
      <c r="X130" s="407">
        <f t="shared" si="107"/>
        <v>1.6974523000624211</v>
      </c>
      <c r="Y130" s="407">
        <f t="shared" si="108"/>
        <v>1.728806586592322E-2</v>
      </c>
      <c r="Z130" s="407">
        <f t="shared" si="62"/>
        <v>8.3303109071237003E-2</v>
      </c>
      <c r="AA130" s="407">
        <f t="shared" si="63"/>
        <v>0.14400000000000002</v>
      </c>
      <c r="AB130" s="407">
        <f t="shared" si="64"/>
        <v>0</v>
      </c>
      <c r="AC130" s="407">
        <f t="shared" si="109"/>
        <v>0.24543981086041514</v>
      </c>
      <c r="AD130" s="407">
        <f t="shared" si="110"/>
        <v>3.2515514249871629</v>
      </c>
      <c r="AE130" s="407">
        <f t="shared" si="111"/>
        <v>6.3435520016016295E-2</v>
      </c>
      <c r="AF130" s="407">
        <f t="shared" si="67"/>
        <v>5.8805999999999997E-2</v>
      </c>
      <c r="AG130" s="407">
        <f t="shared" si="112"/>
        <v>0.12381234005112489</v>
      </c>
      <c r="AH130" s="407">
        <f t="shared" si="113"/>
        <v>0</v>
      </c>
      <c r="AI130">
        <f t="shared" si="70"/>
        <v>0</v>
      </c>
      <c r="AJ130" s="408">
        <f t="shared" si="71"/>
        <v>0.45318835800000001</v>
      </c>
      <c r="AK130">
        <f t="shared" si="85"/>
        <v>4.8000000000000001E-2</v>
      </c>
      <c r="AL130" s="408">
        <f t="shared" si="72"/>
        <v>5.1750000000000004E-2</v>
      </c>
      <c r="AM130" s="408">
        <f t="shared" si="86"/>
        <v>0.13648893249607535</v>
      </c>
      <c r="AN130" s="408">
        <f t="shared" si="114"/>
        <v>9.9750000000000005E-2</v>
      </c>
      <c r="AO130" s="408">
        <f t="shared" si="115"/>
        <v>1.1983571375153117</v>
      </c>
      <c r="AP130">
        <f t="shared" si="74"/>
        <v>18.512999999999998</v>
      </c>
      <c r="AQ130" s="10">
        <f t="shared" si="116"/>
        <v>0.93920473719008624</v>
      </c>
      <c r="AR130" s="63">
        <f t="shared" si="117"/>
        <v>12.271990543020756</v>
      </c>
      <c r="AS130" s="63">
        <f t="shared" si="118"/>
        <v>6.1906170025562446</v>
      </c>
      <c r="AT130" s="10"/>
      <c r="AU130">
        <f t="shared" si="119"/>
        <v>93.920473719008626</v>
      </c>
    </row>
    <row r="131" spans="7:47" x14ac:dyDescent="0.25">
      <c r="G131">
        <v>122</v>
      </c>
      <c r="H131">
        <f t="shared" si="55"/>
        <v>3.66</v>
      </c>
      <c r="I131" s="407">
        <f t="shared" si="97"/>
        <v>0.21417749999999999</v>
      </c>
      <c r="J131" s="408">
        <f t="shared" si="56"/>
        <v>1.8234030405405401</v>
      </c>
      <c r="K131" s="408">
        <f t="shared" si="77"/>
        <v>4.5717015202702704</v>
      </c>
      <c r="L131" s="408">
        <f t="shared" si="98"/>
        <v>2.7482984797297298</v>
      </c>
      <c r="M131" s="63">
        <f t="shared" si="57"/>
        <v>0</v>
      </c>
      <c r="N131" s="407">
        <f t="shared" si="99"/>
        <v>3.697656900527825</v>
      </c>
      <c r="O131" s="407">
        <f t="shared" si="100"/>
        <v>6.8739272430548781E-2</v>
      </c>
      <c r="P131">
        <f t="shared" si="59"/>
        <v>0.2</v>
      </c>
      <c r="Q131" s="407">
        <f t="shared" si="80"/>
        <v>0.26873927243054879</v>
      </c>
      <c r="R131" s="9">
        <f t="shared" si="101"/>
        <v>0.52637111814863147</v>
      </c>
      <c r="S131" s="9">
        <f t="shared" si="102"/>
        <v>2.7706655402104053E-3</v>
      </c>
      <c r="T131" s="9">
        <f t="shared" si="103"/>
        <v>2.7706655402104053E-3</v>
      </c>
      <c r="U131" s="407">
        <f t="shared" si="104"/>
        <v>1.711250285865233</v>
      </c>
      <c r="V131" s="409">
        <f t="shared" si="105"/>
        <v>5.8567550817476832E-3</v>
      </c>
      <c r="W131" s="407">
        <f t="shared" si="106"/>
        <v>5.8567550817476832E-3</v>
      </c>
      <c r="X131" s="407">
        <f t="shared" si="107"/>
        <v>1.711250285865233</v>
      </c>
      <c r="Y131" s="407">
        <f t="shared" si="108"/>
        <v>1.757026524524305E-2</v>
      </c>
      <c r="Z131" s="407">
        <f t="shared" si="62"/>
        <v>8.3969860061202536E-2</v>
      </c>
      <c r="AA131" s="407">
        <f t="shared" si="63"/>
        <v>0.14400000000000002</v>
      </c>
      <c r="AB131" s="407">
        <f t="shared" si="64"/>
        <v>0</v>
      </c>
      <c r="AC131" s="407">
        <f t="shared" si="109"/>
        <v>0.24640600909400631</v>
      </c>
      <c r="AD131" s="407">
        <f t="shared" si="110"/>
        <v>3.277848229120317</v>
      </c>
      <c r="AE131" s="407">
        <f t="shared" si="111"/>
        <v>6.4465734078883202E-2</v>
      </c>
      <c r="AF131" s="407">
        <f t="shared" si="67"/>
        <v>5.9291999999999997E-2</v>
      </c>
      <c r="AG131" s="407">
        <f t="shared" si="112"/>
        <v>0.12537420207312283</v>
      </c>
      <c r="AH131" s="407">
        <f t="shared" si="113"/>
        <v>0</v>
      </c>
      <c r="AI131">
        <f t="shared" si="70"/>
        <v>0</v>
      </c>
      <c r="AJ131" s="408">
        <f t="shared" si="71"/>
        <v>0.45318495600000003</v>
      </c>
      <c r="AK131">
        <f t="shared" si="85"/>
        <v>4.8000000000000001E-2</v>
      </c>
      <c r="AL131" s="408">
        <f t="shared" si="72"/>
        <v>5.1750000000000004E-2</v>
      </c>
      <c r="AM131" s="408">
        <f t="shared" si="86"/>
        <v>0.13648893249607535</v>
      </c>
      <c r="AN131" s="408">
        <f t="shared" si="114"/>
        <v>9.9750000000000005E-2</v>
      </c>
      <c r="AO131" s="408">
        <f t="shared" si="115"/>
        <v>1.2020818602196359</v>
      </c>
      <c r="AP131">
        <f t="shared" si="74"/>
        <v>18.666</v>
      </c>
      <c r="AQ131" s="10">
        <f t="shared" si="116"/>
        <v>0.93949683373177184</v>
      </c>
      <c r="AR131" s="63">
        <f t="shared" si="117"/>
        <v>12.320300454700316</v>
      </c>
      <c r="AS131" s="63">
        <f t="shared" si="118"/>
        <v>6.2687101036561419</v>
      </c>
      <c r="AT131" s="10"/>
      <c r="AU131">
        <f t="shared" si="119"/>
        <v>93.94968337317718</v>
      </c>
    </row>
    <row r="132" spans="7:47" x14ac:dyDescent="0.25">
      <c r="G132">
        <v>123</v>
      </c>
      <c r="H132">
        <f t="shared" si="55"/>
        <v>3.69</v>
      </c>
      <c r="I132" s="407">
        <f t="shared" si="97"/>
        <v>0.21419124999999997</v>
      </c>
      <c r="J132" s="408">
        <f t="shared" si="56"/>
        <v>1.8235201013513507</v>
      </c>
      <c r="K132" s="408">
        <f t="shared" si="77"/>
        <v>4.6017600506756757</v>
      </c>
      <c r="L132" s="408">
        <f t="shared" si="98"/>
        <v>2.7782399493243246</v>
      </c>
      <c r="M132" s="63">
        <f t="shared" si="57"/>
        <v>0</v>
      </c>
      <c r="N132" s="407">
        <f t="shared" si="99"/>
        <v>3.7273585995987428</v>
      </c>
      <c r="O132" s="407">
        <f t="shared" si="100"/>
        <v>6.9854210114313448E-2</v>
      </c>
      <c r="P132">
        <f t="shared" si="59"/>
        <v>0.2</v>
      </c>
      <c r="Q132" s="407">
        <f t="shared" si="80"/>
        <v>0.26985421011431343</v>
      </c>
      <c r="R132" s="9">
        <f t="shared" si="101"/>
        <v>0.52640491069394801</v>
      </c>
      <c r="S132" s="9">
        <f t="shared" si="102"/>
        <v>2.7710213000270338E-3</v>
      </c>
      <c r="T132" s="9">
        <f t="shared" si="103"/>
        <v>2.7710213000270338E-3</v>
      </c>
      <c r="U132" s="407">
        <f t="shared" si="104"/>
        <v>1.7250513994452283</v>
      </c>
      <c r="V132" s="409">
        <f t="shared" si="105"/>
        <v>5.9516046614558815E-3</v>
      </c>
      <c r="W132" s="407">
        <f t="shared" si="106"/>
        <v>5.9516046614558815E-3</v>
      </c>
      <c r="X132" s="407">
        <f t="shared" si="107"/>
        <v>1.7250513994452283</v>
      </c>
      <c r="Y132" s="407">
        <f t="shared" si="108"/>
        <v>1.7854813984367647E-2</v>
      </c>
      <c r="Z132" s="407">
        <f t="shared" si="62"/>
        <v>8.4636611051168056E-2</v>
      </c>
      <c r="AA132" s="407">
        <f t="shared" si="63"/>
        <v>0.14400000000000002</v>
      </c>
      <c r="AB132" s="407">
        <f t="shared" si="64"/>
        <v>0</v>
      </c>
      <c r="AC132" s="407">
        <f t="shared" si="109"/>
        <v>0.24737479121183753</v>
      </c>
      <c r="AD132" s="407">
        <f t="shared" si="110"/>
        <v>3.3041488766813703</v>
      </c>
      <c r="AE132" s="407">
        <f t="shared" si="111"/>
        <v>6.5504398795648566E-2</v>
      </c>
      <c r="AF132" s="407">
        <f t="shared" si="67"/>
        <v>5.9778000000000005E-2</v>
      </c>
      <c r="AG132" s="407">
        <f t="shared" si="112"/>
        <v>0.12694549648100928</v>
      </c>
      <c r="AH132" s="407">
        <f t="shared" si="113"/>
        <v>0</v>
      </c>
      <c r="AI132">
        <f t="shared" si="70"/>
        <v>0</v>
      </c>
      <c r="AJ132" s="408">
        <f t="shared" si="71"/>
        <v>0.45318155399999999</v>
      </c>
      <c r="AK132">
        <f t="shared" si="85"/>
        <v>4.8000000000000001E-2</v>
      </c>
      <c r="AL132" s="408">
        <f t="shared" si="72"/>
        <v>5.1750000000000004E-2</v>
      </c>
      <c r="AM132" s="408">
        <f t="shared" si="86"/>
        <v>0.13648893249607535</v>
      </c>
      <c r="AN132" s="408">
        <f t="shared" si="114"/>
        <v>9.9750000000000005E-2</v>
      </c>
      <c r="AO132" s="408">
        <f t="shared" si="115"/>
        <v>1.2058286777686431</v>
      </c>
      <c r="AP132">
        <f t="shared" si="74"/>
        <v>18.818999999999999</v>
      </c>
      <c r="AQ132" s="10">
        <f t="shared" si="116"/>
        <v>0.93978332113735674</v>
      </c>
      <c r="AR132" s="63">
        <f t="shared" si="117"/>
        <v>12.368739560591877</v>
      </c>
      <c r="AS132" s="63">
        <f t="shared" si="118"/>
        <v>6.3472748240504639</v>
      </c>
      <c r="AT132" s="10"/>
      <c r="AU132">
        <f t="shared" si="119"/>
        <v>93.978332113735675</v>
      </c>
    </row>
    <row r="133" spans="7:47" x14ac:dyDescent="0.25">
      <c r="G133">
        <v>124</v>
      </c>
      <c r="H133">
        <f t="shared" si="55"/>
        <v>3.7199999999999998</v>
      </c>
      <c r="I133" s="407">
        <f t="shared" si="97"/>
        <v>0.21420499999999998</v>
      </c>
      <c r="J133" s="408">
        <f t="shared" si="56"/>
        <v>1.8236371621621617</v>
      </c>
      <c r="K133" s="408">
        <f t="shared" si="77"/>
        <v>4.631818581081081</v>
      </c>
      <c r="L133" s="408">
        <f t="shared" si="98"/>
        <v>2.8081814189189189</v>
      </c>
      <c r="M133" s="63">
        <f t="shared" si="57"/>
        <v>0</v>
      </c>
      <c r="N133" s="407">
        <f t="shared" si="99"/>
        <v>3.7570650391320397</v>
      </c>
      <c r="O133" s="407">
        <f t="shared" si="100"/>
        <v>7.0978448125738475E-2</v>
      </c>
      <c r="P133">
        <f t="shared" si="59"/>
        <v>0.2</v>
      </c>
      <c r="Q133" s="407">
        <f t="shared" si="80"/>
        <v>0.27097844812573846</v>
      </c>
      <c r="R133" s="9">
        <f t="shared" si="101"/>
        <v>0.52643870323926467</v>
      </c>
      <c r="S133" s="9">
        <f t="shared" si="102"/>
        <v>2.7713770826823859E-3</v>
      </c>
      <c r="T133" s="9">
        <f t="shared" si="103"/>
        <v>2.7713770826823859E-3</v>
      </c>
      <c r="U133" s="407">
        <f t="shared" si="104"/>
        <v>1.7388555876781708</v>
      </c>
      <c r="V133" s="409">
        <f t="shared" si="105"/>
        <v>6.047237509599194E-3</v>
      </c>
      <c r="W133" s="407">
        <f t="shared" si="106"/>
        <v>6.047237509599194E-3</v>
      </c>
      <c r="X133" s="407">
        <f t="shared" si="107"/>
        <v>1.7388555876781708</v>
      </c>
      <c r="Y133" s="407">
        <f t="shared" si="108"/>
        <v>1.8141712528797583E-2</v>
      </c>
      <c r="Z133" s="407">
        <f t="shared" si="62"/>
        <v>8.5303362041133549E-2</v>
      </c>
      <c r="AA133" s="407">
        <f t="shared" si="63"/>
        <v>0.14400000000000002</v>
      </c>
      <c r="AB133" s="407">
        <f t="shared" si="64"/>
        <v>0</v>
      </c>
      <c r="AC133" s="407">
        <f t="shared" si="109"/>
        <v>0.24834615949657468</v>
      </c>
      <c r="AD133" s="407">
        <f t="shared" si="110"/>
        <v>3.3304532654683263</v>
      </c>
      <c r="AE133" s="407">
        <f t="shared" si="111"/>
        <v>6.6551513720811833E-2</v>
      </c>
      <c r="AF133" s="407">
        <f t="shared" si="67"/>
        <v>6.0263999999999991E-2</v>
      </c>
      <c r="AG133" s="407">
        <f t="shared" si="112"/>
        <v>0.12852623684377032</v>
      </c>
      <c r="AH133" s="407">
        <f t="shared" si="113"/>
        <v>0</v>
      </c>
      <c r="AI133">
        <f t="shared" si="70"/>
        <v>0</v>
      </c>
      <c r="AJ133" s="408">
        <f t="shared" si="71"/>
        <v>0.453178152</v>
      </c>
      <c r="AK133">
        <f t="shared" si="85"/>
        <v>4.8000000000000001E-2</v>
      </c>
      <c r="AL133" s="408">
        <f t="shared" si="72"/>
        <v>5.1750000000000004E-2</v>
      </c>
      <c r="AM133" s="408">
        <f t="shared" si="86"/>
        <v>0.13648893249607535</v>
      </c>
      <c r="AN133" s="408">
        <f t="shared" si="114"/>
        <v>9.9750000000000005E-2</v>
      </c>
      <c r="AO133" s="408">
        <f t="shared" si="115"/>
        <v>1.2095976110583651</v>
      </c>
      <c r="AP133">
        <f t="shared" si="74"/>
        <v>18.971999999999998</v>
      </c>
      <c r="AQ133" s="10">
        <f t="shared" si="116"/>
        <v>0.94006432818799379</v>
      </c>
      <c r="AR133" s="63">
        <f t="shared" si="117"/>
        <v>12.417307974828734</v>
      </c>
      <c r="AS133" s="63">
        <f t="shared" si="118"/>
        <v>6.4263118421885164</v>
      </c>
      <c r="AT133" s="10"/>
      <c r="AU133">
        <f t="shared" si="119"/>
        <v>94.006432818799382</v>
      </c>
    </row>
    <row r="134" spans="7:47" x14ac:dyDescent="0.25">
      <c r="G134">
        <v>125</v>
      </c>
      <c r="H134">
        <f t="shared" si="55"/>
        <v>3.75</v>
      </c>
      <c r="I134" s="407">
        <f t="shared" si="97"/>
        <v>0.21421874999999999</v>
      </c>
      <c r="J134" s="408">
        <f t="shared" si="56"/>
        <v>1.8237542229729726</v>
      </c>
      <c r="K134" s="408">
        <f t="shared" si="77"/>
        <v>4.6618771114864863</v>
      </c>
      <c r="L134" s="408">
        <f t="shared" si="98"/>
        <v>2.8381228885135137</v>
      </c>
      <c r="M134" s="63">
        <f t="shared" si="57"/>
        <v>0</v>
      </c>
      <c r="N134" s="407">
        <f t="shared" si="99"/>
        <v>3.7867761075640116</v>
      </c>
      <c r="O134" s="407">
        <f t="shared" si="100"/>
        <v>7.2111991402857442E-2</v>
      </c>
      <c r="P134">
        <f t="shared" si="59"/>
        <v>0.2</v>
      </c>
      <c r="Q134" s="407">
        <f t="shared" si="80"/>
        <v>0.27211199140285747</v>
      </c>
      <c r="R134" s="9">
        <f t="shared" si="101"/>
        <v>0.52647249578458133</v>
      </c>
      <c r="S134" s="9">
        <f t="shared" si="102"/>
        <v>2.7717328881764602E-3</v>
      </c>
      <c r="T134" s="9">
        <f t="shared" si="103"/>
        <v>2.7717328881764602E-3</v>
      </c>
      <c r="U134" s="407">
        <f t="shared" si="104"/>
        <v>1.7526627990971066</v>
      </c>
      <c r="V134" s="409">
        <f t="shared" si="105"/>
        <v>6.1436537746778095E-3</v>
      </c>
      <c r="W134" s="407">
        <f t="shared" si="106"/>
        <v>6.1436537746778095E-3</v>
      </c>
      <c r="X134" s="407">
        <f t="shared" si="107"/>
        <v>1.7526627990971066</v>
      </c>
      <c r="Y134" s="407">
        <f t="shared" si="108"/>
        <v>1.8430961324033428E-2</v>
      </c>
      <c r="Z134" s="407">
        <f t="shared" si="62"/>
        <v>8.5970113031099082E-2</v>
      </c>
      <c r="AA134" s="407">
        <f t="shared" si="63"/>
        <v>0.14400000000000002</v>
      </c>
      <c r="AB134" s="407">
        <f t="shared" si="64"/>
        <v>0</v>
      </c>
      <c r="AC134" s="407">
        <f t="shared" si="109"/>
        <v>0.24932011623907371</v>
      </c>
      <c r="AD134" s="407">
        <f t="shared" si="110"/>
        <v>3.3567612964699682</v>
      </c>
      <c r="AE134" s="407">
        <f t="shared" si="111"/>
        <v>6.7607078408872451E-2</v>
      </c>
      <c r="AF134" s="407">
        <f t="shared" si="67"/>
        <v>6.0749999999999998E-2</v>
      </c>
      <c r="AG134" s="407">
        <f t="shared" si="112"/>
        <v>0.13011643683839574</v>
      </c>
      <c r="AH134" s="407">
        <f t="shared" si="113"/>
        <v>0</v>
      </c>
      <c r="AI134">
        <f t="shared" si="70"/>
        <v>0</v>
      </c>
      <c r="AJ134" s="408">
        <f t="shared" si="71"/>
        <v>0.45317474999999996</v>
      </c>
      <c r="AK134">
        <f t="shared" si="85"/>
        <v>4.8000000000000001E-2</v>
      </c>
      <c r="AL134" s="408">
        <f t="shared" si="72"/>
        <v>5.1750000000000004E-2</v>
      </c>
      <c r="AM134" s="408">
        <f t="shared" si="86"/>
        <v>0.13648893249607535</v>
      </c>
      <c r="AN134" s="408">
        <f t="shared" si="114"/>
        <v>9.9750000000000005E-2</v>
      </c>
      <c r="AO134" s="408">
        <f t="shared" si="115"/>
        <v>1.2133886811431811</v>
      </c>
      <c r="AP134">
        <f t="shared" si="74"/>
        <v>19.125</v>
      </c>
      <c r="AQ134" s="10">
        <f t="shared" si="116"/>
        <v>0.94033997972178707</v>
      </c>
      <c r="AR134" s="63">
        <f t="shared" si="117"/>
        <v>12.466005811953686</v>
      </c>
      <c r="AS134" s="63">
        <f t="shared" si="118"/>
        <v>6.5058218419197873</v>
      </c>
      <c r="AT134" s="10"/>
      <c r="AU134">
        <f t="shared" si="119"/>
        <v>94.03399797217871</v>
      </c>
    </row>
    <row r="135" spans="7:47" x14ac:dyDescent="0.25">
      <c r="G135">
        <v>126</v>
      </c>
      <c r="H135">
        <f t="shared" si="55"/>
        <v>3.7800000000000002</v>
      </c>
      <c r="I135" s="407">
        <f t="shared" si="97"/>
        <v>0.21423250000000002</v>
      </c>
      <c r="J135" s="408">
        <f t="shared" si="56"/>
        <v>1.8238712837837836</v>
      </c>
      <c r="K135" s="408">
        <f t="shared" si="77"/>
        <v>4.6919356418918916</v>
      </c>
      <c r="L135" s="408">
        <f t="shared" si="98"/>
        <v>2.8680643581081084</v>
      </c>
      <c r="M135" s="63">
        <f t="shared" si="57"/>
        <v>0</v>
      </c>
      <c r="N135" s="407">
        <f t="shared" si="99"/>
        <v>3.8164916967878924</v>
      </c>
      <c r="O135" s="407">
        <f t="shared" si="100"/>
        <v>7.3254844925912346E-2</v>
      </c>
      <c r="P135">
        <f t="shared" si="59"/>
        <v>0.2</v>
      </c>
      <c r="Q135" s="407">
        <f t="shared" si="80"/>
        <v>0.27325484492591234</v>
      </c>
      <c r="R135" s="9">
        <f t="shared" si="101"/>
        <v>0.52650628832989788</v>
      </c>
      <c r="S135" s="9">
        <f t="shared" si="102"/>
        <v>2.7720887165092558E-3</v>
      </c>
      <c r="T135" s="9">
        <f t="shared" si="103"/>
        <v>2.7720887165092558E-3</v>
      </c>
      <c r="U135" s="407">
        <f t="shared" si="104"/>
        <v>1.766472983828498</v>
      </c>
      <c r="V135" s="409">
        <f t="shared" si="105"/>
        <v>6.2408536051919141E-3</v>
      </c>
      <c r="W135" s="407">
        <f t="shared" si="106"/>
        <v>6.2408536051919141E-3</v>
      </c>
      <c r="X135" s="407">
        <f t="shared" si="107"/>
        <v>1.766472983828498</v>
      </c>
      <c r="Y135" s="407">
        <f t="shared" si="108"/>
        <v>1.8722560815575742E-2</v>
      </c>
      <c r="Z135" s="407">
        <f t="shared" si="62"/>
        <v>8.6636864021064589E-2</v>
      </c>
      <c r="AA135" s="407">
        <f t="shared" si="63"/>
        <v>0.14400000000000002</v>
      </c>
      <c r="AB135" s="407">
        <f t="shared" si="64"/>
        <v>0</v>
      </c>
      <c r="AC135" s="407">
        <f t="shared" si="109"/>
        <v>0.25029666373839587</v>
      </c>
      <c r="AD135" s="407">
        <f t="shared" si="110"/>
        <v>3.383072873742889</v>
      </c>
      <c r="AE135" s="407">
        <f t="shared" si="111"/>
        <v>6.867109241432981E-2</v>
      </c>
      <c r="AF135" s="407">
        <f t="shared" si="67"/>
        <v>6.1235999999999999E-2</v>
      </c>
      <c r="AG135" s="407">
        <f t="shared" si="112"/>
        <v>0.13171611025021956</v>
      </c>
      <c r="AH135" s="407">
        <f t="shared" si="113"/>
        <v>0</v>
      </c>
      <c r="AI135">
        <f t="shared" si="70"/>
        <v>0</v>
      </c>
      <c r="AJ135" s="408">
        <f t="shared" si="71"/>
        <v>0.45317134799999997</v>
      </c>
      <c r="AK135">
        <f t="shared" si="85"/>
        <v>4.8000000000000001E-2</v>
      </c>
      <c r="AL135" s="408">
        <f t="shared" si="72"/>
        <v>5.1750000000000004E-2</v>
      </c>
      <c r="AM135" s="408">
        <f t="shared" si="86"/>
        <v>0.13648893249607535</v>
      </c>
      <c r="AN135" s="408">
        <f t="shared" si="114"/>
        <v>9.9750000000000005E-2</v>
      </c>
      <c r="AO135" s="408">
        <f t="shared" si="115"/>
        <v>1.217201909236229</v>
      </c>
      <c r="AP135">
        <f t="shared" si="74"/>
        <v>19.277999999999999</v>
      </c>
      <c r="AQ135" s="10">
        <f t="shared" si="116"/>
        <v>0.94061039678327374</v>
      </c>
      <c r="AR135" s="63">
        <f t="shared" si="117"/>
        <v>12.514833186919795</v>
      </c>
      <c r="AS135" s="63">
        <f t="shared" si="118"/>
        <v>6.5858055125109782</v>
      </c>
      <c r="AT135" s="10"/>
      <c r="AU135">
        <f t="shared" si="119"/>
        <v>94.061039678327376</v>
      </c>
    </row>
    <row r="136" spans="7:47" x14ac:dyDescent="0.25">
      <c r="G136">
        <v>127</v>
      </c>
      <c r="H136">
        <f t="shared" si="55"/>
        <v>3.81</v>
      </c>
      <c r="I136" s="407">
        <f t="shared" si="97"/>
        <v>0.21424624999999997</v>
      </c>
      <c r="J136" s="408">
        <f t="shared" si="56"/>
        <v>1.8239883445945941</v>
      </c>
      <c r="K136" s="408">
        <f t="shared" si="77"/>
        <v>4.7219941722972969</v>
      </c>
      <c r="L136" s="408">
        <f t="shared" si="98"/>
        <v>2.8980058277027032</v>
      </c>
      <c r="M136" s="63">
        <f t="shared" si="57"/>
        <v>0</v>
      </c>
      <c r="N136" s="407">
        <f t="shared" si="99"/>
        <v>3.8462117020216238</v>
      </c>
      <c r="O136" s="407">
        <f t="shared" si="100"/>
        <v>7.4407013717408821E-2</v>
      </c>
      <c r="P136">
        <f t="shared" si="59"/>
        <v>0.2</v>
      </c>
      <c r="Q136" s="407">
        <f t="shared" si="80"/>
        <v>0.27440701371740883</v>
      </c>
      <c r="R136" s="9">
        <f t="shared" si="101"/>
        <v>0.52654008087521442</v>
      </c>
      <c r="S136" s="9">
        <f t="shared" si="102"/>
        <v>2.7724445676807737E-3</v>
      </c>
      <c r="T136" s="9">
        <f t="shared" si="103"/>
        <v>2.7724445676807737E-3</v>
      </c>
      <c r="U136" s="407">
        <f t="shared" si="104"/>
        <v>1.780286093531275</v>
      </c>
      <c r="V136" s="409">
        <f t="shared" si="105"/>
        <v>6.3388371496416957E-3</v>
      </c>
      <c r="W136" s="407">
        <f t="shared" si="106"/>
        <v>6.3388371496416957E-3</v>
      </c>
      <c r="X136" s="407">
        <f t="shared" si="107"/>
        <v>1.780286093531275</v>
      </c>
      <c r="Y136" s="407">
        <f t="shared" si="108"/>
        <v>1.9016511448925088E-2</v>
      </c>
      <c r="Z136" s="407">
        <f t="shared" si="62"/>
        <v>8.7303615011030095E-2</v>
      </c>
      <c r="AA136" s="407">
        <f t="shared" si="63"/>
        <v>0.14400000000000002</v>
      </c>
      <c r="AB136" s="407">
        <f t="shared" si="64"/>
        <v>0</v>
      </c>
      <c r="AC136" s="407">
        <f t="shared" si="109"/>
        <v>0.25127580430182389</v>
      </c>
      <c r="AD136" s="407">
        <f t="shared" si="110"/>
        <v>3.409387904294146</v>
      </c>
      <c r="AE136" s="407">
        <f t="shared" si="111"/>
        <v>6.9743555291683371E-2</v>
      </c>
      <c r="AF136" s="407">
        <f t="shared" si="67"/>
        <v>6.1721999999999999E-2</v>
      </c>
      <c r="AG136" s="407">
        <f t="shared" si="112"/>
        <v>0.13332527097326385</v>
      </c>
      <c r="AH136" s="407">
        <f t="shared" si="113"/>
        <v>0</v>
      </c>
      <c r="AI136">
        <f t="shared" si="70"/>
        <v>0</v>
      </c>
      <c r="AJ136" s="408">
        <f t="shared" si="71"/>
        <v>0.45316794599999999</v>
      </c>
      <c r="AK136">
        <f t="shared" si="85"/>
        <v>4.8000000000000001E-2</v>
      </c>
      <c r="AL136" s="408">
        <f t="shared" si="72"/>
        <v>5.1750000000000004E-2</v>
      </c>
      <c r="AM136" s="408">
        <f t="shared" si="86"/>
        <v>0.13648893249607535</v>
      </c>
      <c r="AN136" s="408">
        <f t="shared" si="114"/>
        <v>9.9750000000000005E-2</v>
      </c>
      <c r="AO136" s="408">
        <f t="shared" si="115"/>
        <v>1.221037316709819</v>
      </c>
      <c r="AP136">
        <f t="shared" si="74"/>
        <v>19.430999999999997</v>
      </c>
      <c r="AQ136" s="10">
        <f t="shared" si="116"/>
        <v>0.94087569676615579</v>
      </c>
      <c r="AR136" s="63">
        <f t="shared" si="117"/>
        <v>12.563790215091194</v>
      </c>
      <c r="AS136" s="63">
        <f t="shared" si="118"/>
        <v>6.6662635486631929</v>
      </c>
      <c r="AT136" s="10"/>
      <c r="AU136">
        <f t="shared" si="119"/>
        <v>94.087569676615573</v>
      </c>
    </row>
    <row r="137" spans="7:47" x14ac:dyDescent="0.25">
      <c r="G137">
        <v>128</v>
      </c>
      <c r="H137">
        <f t="shared" ref="H137:H200" si="120">Iout*(G137/200)</f>
        <v>3.84</v>
      </c>
      <c r="I137" s="407">
        <f t="shared" si="97"/>
        <v>0.21425999999999998</v>
      </c>
      <c r="J137" s="408">
        <f t="shared" ref="J137:J200" si="121">(Vin-Vout)*I137/(Fsw*Lout2)</f>
        <v>1.8241054054054049</v>
      </c>
      <c r="K137" s="408">
        <f t="shared" si="77"/>
        <v>4.7520527027027022</v>
      </c>
      <c r="L137" s="408">
        <f t="shared" si="98"/>
        <v>2.9279472972972975</v>
      </c>
      <c r="M137" s="63">
        <f t="shared" ref="M137:M200" si="122">IF(MIN(Vin, -L137/(CossTop+CossBot)*0.00000002)&lt;0, 0, MIN(Vin, -L137/(CossTop+CossBot)*0.00000002))</f>
        <v>0</v>
      </c>
      <c r="N137" s="407">
        <f t="shared" si="99"/>
        <v>3.8759360216816146</v>
      </c>
      <c r="O137" s="407">
        <f t="shared" si="100"/>
        <v>7.5568502842171661E-2</v>
      </c>
      <c r="P137">
        <f t="shared" ref="P137:P200" si="123">Core_Loss</f>
        <v>0.2</v>
      </c>
      <c r="Q137" s="407">
        <f t="shared" si="80"/>
        <v>0.27556850284217166</v>
      </c>
      <c r="R137" s="9">
        <f t="shared" si="101"/>
        <v>0.52657387342053097</v>
      </c>
      <c r="S137" s="9">
        <f t="shared" si="102"/>
        <v>2.7728004416910134E-3</v>
      </c>
      <c r="T137" s="9">
        <f t="shared" si="103"/>
        <v>2.7728004416910134E-3</v>
      </c>
      <c r="U137" s="407">
        <f t="shared" si="104"/>
        <v>1.7941020813386488</v>
      </c>
      <c r="V137" s="409">
        <f t="shared" si="105"/>
        <v>6.4376045565273429E-3</v>
      </c>
      <c r="W137" s="407">
        <f t="shared" si="106"/>
        <v>6.4376045565273429E-3</v>
      </c>
      <c r="X137" s="407">
        <f t="shared" si="107"/>
        <v>1.7941020813386488</v>
      </c>
      <c r="Y137" s="407">
        <f t="shared" si="108"/>
        <v>1.931281366958203E-2</v>
      </c>
      <c r="Z137" s="407">
        <f t="shared" ref="Z137:Z200" si="124">IF(L137&lt;0, (Vin*K137*Tf/2)*Fsw, (Vin*L137*Tr/2+Vin*K137*Tf/2)*Fsw)</f>
        <v>8.7970366000995615E-2</v>
      </c>
      <c r="AA137" s="407">
        <f t="shared" ref="AA137:AA200" si="125">(0.5*CossTop*(Vin-M137)^2-0.5*CossBot*(Vin-M137)^2+(QossBot*(Vin-M137)/Vin)*Vin)*Fsw</f>
        <v>0.14400000000000002</v>
      </c>
      <c r="AB137" s="407">
        <f t="shared" ref="AB137:AB200" si="126">IF(L137&gt;0,0,-L137*VsdTop*Deadtime*Fsw)</f>
        <v>0</v>
      </c>
      <c r="AC137" s="407">
        <f t="shared" si="109"/>
        <v>0.25225754024487695</v>
      </c>
      <c r="AD137" s="407">
        <f t="shared" si="110"/>
        <v>3.4357062979692299</v>
      </c>
      <c r="AE137" s="407">
        <f t="shared" si="111"/>
        <v>7.0824466595432581E-2</v>
      </c>
      <c r="AF137" s="407">
        <f t="shared" ref="AF137:AF200" si="127">IF(L137&lt;0, Deadtime*Fsw*IF(VfdSky&gt;0,0,VsdBot)*K137, Deadtime*Fsw*IF(VfdSky&gt;0,0,VsdBot)*(K137+L137))</f>
        <v>6.2207999999999992E-2</v>
      </c>
      <c r="AG137" s="407">
        <f t="shared" si="112"/>
        <v>0.13494393301058549</v>
      </c>
      <c r="AH137" s="407">
        <f t="shared" si="113"/>
        <v>0</v>
      </c>
      <c r="AI137">
        <f t="shared" ref="AI137:AI200" si="128">2*Deadtime*Fsw*IF(VfdSky&gt;0,VfdSky,0)*H137</f>
        <v>0</v>
      </c>
      <c r="AJ137" s="408">
        <f t="shared" ref="AJ137:AJ200" si="129">IF(QrrSky&gt;0,QrrSky,QrrBot)*Fsw*(Vin-H137*RdsonTop)</f>
        <v>0.45316454399999995</v>
      </c>
      <c r="AK137">
        <f t="shared" si="85"/>
        <v>4.8000000000000001E-2</v>
      </c>
      <c r="AL137" s="408">
        <f t="shared" ref="AL137:AL200" si="130">IF(Ext_VCC=1, Vdd*(QgTop+QgBot)*Fsw, Vin*(QgTop+QgBot)*Fsw)</f>
        <v>5.1750000000000004E-2</v>
      </c>
      <c r="AM137" s="408">
        <f t="shared" si="86"/>
        <v>0.13648893249607535</v>
      </c>
      <c r="AN137" s="408">
        <f t="shared" si="114"/>
        <v>9.9750000000000005E-2</v>
      </c>
      <c r="AO137" s="408">
        <f t="shared" si="115"/>
        <v>1.2248949250958525</v>
      </c>
      <c r="AP137">
        <f t="shared" ref="AP137:AP200" si="131">Vout*H137</f>
        <v>19.584</v>
      </c>
      <c r="AQ137" s="10">
        <f t="shared" si="116"/>
        <v>0.94113599354963295</v>
      </c>
      <c r="AR137" s="63">
        <f t="shared" si="117"/>
        <v>12.612877012243848</v>
      </c>
      <c r="AS137" s="63">
        <f t="shared" si="118"/>
        <v>6.7471966505292746</v>
      </c>
      <c r="AT137" s="10"/>
      <c r="AU137">
        <f t="shared" si="119"/>
        <v>94.113599354963299</v>
      </c>
    </row>
    <row r="138" spans="7:47" x14ac:dyDescent="0.25">
      <c r="G138">
        <v>129</v>
      </c>
      <c r="H138">
        <f t="shared" si="120"/>
        <v>3.87</v>
      </c>
      <c r="I138" s="407">
        <f t="shared" si="97"/>
        <v>0.21427375000000001</v>
      </c>
      <c r="J138" s="408">
        <f t="shared" si="121"/>
        <v>1.8242224662162159</v>
      </c>
      <c r="K138" s="408">
        <f t="shared" ref="K138:K201" si="132">H138+J138/2</f>
        <v>4.7821112331081084</v>
      </c>
      <c r="L138" s="408">
        <f t="shared" si="98"/>
        <v>2.9578887668918923</v>
      </c>
      <c r="M138" s="63">
        <f t="shared" si="122"/>
        <v>0</v>
      </c>
      <c r="N138" s="407">
        <f t="shared" si="99"/>
        <v>3.9056645572621824</v>
      </c>
      <c r="O138" s="407">
        <f t="shared" si="100"/>
        <v>7.6739317407400892E-2</v>
      </c>
      <c r="P138">
        <f t="shared" si="123"/>
        <v>0.2</v>
      </c>
      <c r="Q138" s="407">
        <f t="shared" ref="Q138:Q201" si="133">O138+P138</f>
        <v>0.27673931740740088</v>
      </c>
      <c r="R138" s="9">
        <f t="shared" si="101"/>
        <v>0.52660766596584763</v>
      </c>
      <c r="S138" s="9">
        <f t="shared" si="102"/>
        <v>2.7731563385399779E-3</v>
      </c>
      <c r="T138" s="9">
        <f t="shared" si="103"/>
        <v>2.7731563385399779E-3</v>
      </c>
      <c r="U138" s="407">
        <f t="shared" si="104"/>
        <v>1.8079209018025439</v>
      </c>
      <c r="V138" s="409">
        <f t="shared" si="105"/>
        <v>6.537155974349047E-3</v>
      </c>
      <c r="W138" s="407">
        <f t="shared" si="106"/>
        <v>6.537155974349047E-3</v>
      </c>
      <c r="X138" s="407">
        <f t="shared" si="107"/>
        <v>1.8079209018025439</v>
      </c>
      <c r="Y138" s="407">
        <f t="shared" si="108"/>
        <v>1.9611467923047143E-2</v>
      </c>
      <c r="Z138" s="407">
        <f t="shared" si="124"/>
        <v>8.8637116990961148E-2</v>
      </c>
      <c r="AA138" s="407">
        <f t="shared" si="125"/>
        <v>0.14400000000000002</v>
      </c>
      <c r="AB138" s="407">
        <f t="shared" si="126"/>
        <v>0</v>
      </c>
      <c r="AC138" s="407">
        <f t="shared" si="109"/>
        <v>0.25324187389132674</v>
      </c>
      <c r="AD138" s="407">
        <f t="shared" si="110"/>
        <v>3.4620279673450756</v>
      </c>
      <c r="AE138" s="407">
        <f t="shared" si="111"/>
        <v>7.1913825880076845E-2</v>
      </c>
      <c r="AF138" s="407">
        <f t="shared" si="127"/>
        <v>6.2694E-2</v>
      </c>
      <c r="AG138" s="407">
        <f t="shared" si="112"/>
        <v>0.13657211047462622</v>
      </c>
      <c r="AH138" s="407">
        <f t="shared" si="113"/>
        <v>0</v>
      </c>
      <c r="AI138">
        <f t="shared" si="128"/>
        <v>0</v>
      </c>
      <c r="AJ138" s="408">
        <f t="shared" si="129"/>
        <v>0.45316114200000002</v>
      </c>
      <c r="AK138">
        <f t="shared" ref="AK138:AK201" si="134">Iq*Vin</f>
        <v>4.8000000000000001E-2</v>
      </c>
      <c r="AL138" s="408">
        <f t="shared" si="130"/>
        <v>5.1750000000000004E-2</v>
      </c>
      <c r="AM138" s="408">
        <f t="shared" ref="AM138:AM201" si="135">(Vin-Vdd)*Fsw*(QgTop+QgBot)+(RdsonDRT+RdsonDRT2)*Fsw*QgTop*Vdd/(RdsonDRT+2*RGateTop+RdsonDRT2)+(RdsonDRB+RdsonDRB2)*Fsw*QgBot*Vdd/(RdsonDRB+2*RGateBot+RdsonDRB2)</f>
        <v>0.13648893249607535</v>
      </c>
      <c r="AN138" s="408">
        <f t="shared" si="114"/>
        <v>9.9750000000000005E-2</v>
      </c>
      <c r="AO138" s="408">
        <f t="shared" si="115"/>
        <v>1.2287747560862428</v>
      </c>
      <c r="AP138">
        <f t="shared" si="131"/>
        <v>19.736999999999998</v>
      </c>
      <c r="AQ138" s="10">
        <f t="shared" si="116"/>
        <v>0.94139139762867408</v>
      </c>
      <c r="AR138" s="63">
        <f t="shared" si="117"/>
        <v>12.662093694566337</v>
      </c>
      <c r="AS138" s="63">
        <f t="shared" si="118"/>
        <v>6.8286055237313112</v>
      </c>
      <c r="AT138" s="10"/>
      <c r="AU138">
        <f t="shared" si="119"/>
        <v>94.139139762867401</v>
      </c>
    </row>
    <row r="139" spans="7:47" x14ac:dyDescent="0.25">
      <c r="G139">
        <v>130</v>
      </c>
      <c r="H139">
        <f t="shared" si="120"/>
        <v>3.9000000000000004</v>
      </c>
      <c r="I139" s="407">
        <f t="shared" si="97"/>
        <v>0.21428749999999996</v>
      </c>
      <c r="J139" s="408">
        <f t="shared" si="121"/>
        <v>1.8243395270270264</v>
      </c>
      <c r="K139" s="408">
        <f t="shared" si="132"/>
        <v>4.8121697635135137</v>
      </c>
      <c r="L139" s="408">
        <f t="shared" si="98"/>
        <v>2.987830236486487</v>
      </c>
      <c r="M139" s="63">
        <f t="shared" si="122"/>
        <v>0</v>
      </c>
      <c r="N139" s="407">
        <f t="shared" si="99"/>
        <v>3.9353972132203845</v>
      </c>
      <c r="O139" s="407">
        <f t="shared" si="100"/>
        <v>7.7919462562728373E-2</v>
      </c>
      <c r="P139">
        <f t="shared" si="123"/>
        <v>0.2</v>
      </c>
      <c r="Q139" s="407">
        <f t="shared" si="133"/>
        <v>0.27791946256272837</v>
      </c>
      <c r="R139" s="9">
        <f t="shared" si="101"/>
        <v>0.52664145851116417</v>
      </c>
      <c r="S139" s="9">
        <f t="shared" si="102"/>
        <v>2.7735122582276629E-3</v>
      </c>
      <c r="T139" s="9">
        <f t="shared" si="103"/>
        <v>2.7735122582276629E-3</v>
      </c>
      <c r="U139" s="407">
        <f t="shared" si="104"/>
        <v>1.8217425108405128</v>
      </c>
      <c r="V139" s="409">
        <f t="shared" si="105"/>
        <v>6.6374915516069916E-3</v>
      </c>
      <c r="W139" s="407">
        <f t="shared" si="106"/>
        <v>6.6374915516069916E-3</v>
      </c>
      <c r="X139" s="407">
        <f t="shared" si="107"/>
        <v>1.8217425108405128</v>
      </c>
      <c r="Y139" s="407">
        <f t="shared" si="108"/>
        <v>1.9912474654820975E-2</v>
      </c>
      <c r="Z139" s="407">
        <f t="shared" si="124"/>
        <v>8.9303867980926654E-2</v>
      </c>
      <c r="AA139" s="407">
        <f t="shared" si="125"/>
        <v>0.14400000000000002</v>
      </c>
      <c r="AB139" s="407">
        <f t="shared" si="126"/>
        <v>0</v>
      </c>
      <c r="AC139" s="407">
        <f t="shared" si="109"/>
        <v>0.25422880757321303</v>
      </c>
      <c r="AD139" s="407">
        <f t="shared" si="110"/>
        <v>3.4883528276278581</v>
      </c>
      <c r="AE139" s="407">
        <f t="shared" si="111"/>
        <v>7.3011632700115639E-2</v>
      </c>
      <c r="AF139" s="407">
        <f t="shared" si="127"/>
        <v>6.318E-2</v>
      </c>
      <c r="AG139" s="407">
        <f t="shared" si="112"/>
        <v>0.13820981758756631</v>
      </c>
      <c r="AH139" s="407">
        <f t="shared" si="113"/>
        <v>0</v>
      </c>
      <c r="AI139">
        <f t="shared" si="128"/>
        <v>0</v>
      </c>
      <c r="AJ139" s="408">
        <f t="shared" si="129"/>
        <v>0.45315774000000003</v>
      </c>
      <c r="AK139">
        <f t="shared" si="134"/>
        <v>4.8000000000000001E-2</v>
      </c>
      <c r="AL139" s="408">
        <f t="shared" si="130"/>
        <v>5.1750000000000004E-2</v>
      </c>
      <c r="AM139" s="408">
        <f t="shared" si="135"/>
        <v>0.13648893249607535</v>
      </c>
      <c r="AN139" s="408">
        <f t="shared" si="114"/>
        <v>9.9750000000000005E-2</v>
      </c>
      <c r="AO139" s="408">
        <f t="shared" si="115"/>
        <v>1.2326768315333423</v>
      </c>
      <c r="AP139">
        <f t="shared" si="131"/>
        <v>19.89</v>
      </c>
      <c r="AQ139" s="10">
        <f t="shared" si="116"/>
        <v>0.94164201623853272</v>
      </c>
      <c r="AR139" s="63">
        <f t="shared" si="117"/>
        <v>12.711440378660651</v>
      </c>
      <c r="AS139" s="63">
        <f t="shared" si="118"/>
        <v>6.9104908793783153</v>
      </c>
      <c r="AT139" s="10"/>
      <c r="AU139">
        <f t="shared" si="119"/>
        <v>94.164201623853273</v>
      </c>
    </row>
    <row r="140" spans="7:47" x14ac:dyDescent="0.25">
      <c r="G140">
        <v>131</v>
      </c>
      <c r="H140">
        <f t="shared" si="120"/>
        <v>3.93</v>
      </c>
      <c r="I140" s="407">
        <f t="shared" si="97"/>
        <v>0.21430125</v>
      </c>
      <c r="J140" s="408">
        <f t="shared" si="121"/>
        <v>1.8244565878378374</v>
      </c>
      <c r="K140" s="408">
        <f t="shared" si="132"/>
        <v>4.842228293918919</v>
      </c>
      <c r="L140" s="408">
        <f t="shared" si="98"/>
        <v>3.0177717060810814</v>
      </c>
      <c r="M140" s="63">
        <f t="shared" si="122"/>
        <v>0</v>
      </c>
      <c r="N140" s="407">
        <f t="shared" si="99"/>
        <v>3.9651338968659569</v>
      </c>
      <c r="O140" s="407">
        <f t="shared" si="100"/>
        <v>7.9108943500274836E-2</v>
      </c>
      <c r="P140">
        <f t="shared" si="123"/>
        <v>0.2</v>
      </c>
      <c r="Q140" s="407">
        <f t="shared" si="133"/>
        <v>0.27910894350027482</v>
      </c>
      <c r="R140" s="9">
        <f t="shared" si="101"/>
        <v>0.52667525105648083</v>
      </c>
      <c r="S140" s="9">
        <f t="shared" si="102"/>
        <v>2.773868200754071E-3</v>
      </c>
      <c r="T140" s="9">
        <f t="shared" si="103"/>
        <v>2.773868200754071E-3</v>
      </c>
      <c r="U140" s="407">
        <f t="shared" si="104"/>
        <v>1.8355668656850082</v>
      </c>
      <c r="V140" s="409">
        <f t="shared" si="105"/>
        <v>6.7386114368013696E-3</v>
      </c>
      <c r="W140" s="407">
        <f t="shared" si="106"/>
        <v>6.7386114368013696E-3</v>
      </c>
      <c r="X140" s="407">
        <f t="shared" si="107"/>
        <v>1.8355668656850082</v>
      </c>
      <c r="Y140" s="407">
        <f t="shared" si="108"/>
        <v>2.0215834310404111E-2</v>
      </c>
      <c r="Z140" s="407">
        <f t="shared" si="124"/>
        <v>8.9970618970892161E-2</v>
      </c>
      <c r="AA140" s="407">
        <f t="shared" si="125"/>
        <v>0.14400000000000002</v>
      </c>
      <c r="AB140" s="407">
        <f t="shared" si="126"/>
        <v>0</v>
      </c>
      <c r="AC140" s="407">
        <f t="shared" si="109"/>
        <v>0.25521834363085977</v>
      </c>
      <c r="AD140" s="407">
        <f t="shared" si="110"/>
        <v>3.514680796555318</v>
      </c>
      <c r="AE140" s="407">
        <f t="shared" si="111"/>
        <v>7.4117886610048339E-2</v>
      </c>
      <c r="AF140" s="407">
        <f t="shared" si="127"/>
        <v>6.3666E-2</v>
      </c>
      <c r="AG140" s="407">
        <f t="shared" si="112"/>
        <v>0.13985706868168085</v>
      </c>
      <c r="AH140" s="407">
        <f t="shared" si="113"/>
        <v>0</v>
      </c>
      <c r="AI140">
        <f t="shared" si="128"/>
        <v>0</v>
      </c>
      <c r="AJ140" s="408">
        <f t="shared" si="129"/>
        <v>0.45315433800000005</v>
      </c>
      <c r="AK140">
        <f t="shared" si="134"/>
        <v>4.8000000000000001E-2</v>
      </c>
      <c r="AL140" s="408">
        <f t="shared" si="130"/>
        <v>5.1750000000000004E-2</v>
      </c>
      <c r="AM140" s="408">
        <f t="shared" si="135"/>
        <v>0.13648893249607535</v>
      </c>
      <c r="AN140" s="408">
        <f t="shared" si="114"/>
        <v>9.9750000000000005E-2</v>
      </c>
      <c r="AO140" s="408">
        <f t="shared" si="115"/>
        <v>1.236601173450371</v>
      </c>
      <c r="AP140">
        <f t="shared" si="131"/>
        <v>20.042999999999999</v>
      </c>
      <c r="AQ140" s="10">
        <f t="shared" si="116"/>
        <v>0.94188795347380738</v>
      </c>
      <c r="AR140" s="63">
        <f t="shared" si="117"/>
        <v>12.760917181542988</v>
      </c>
      <c r="AS140" s="63">
        <f t="shared" si="118"/>
        <v>6.9928534340840427</v>
      </c>
      <c r="AT140" s="10"/>
      <c r="AU140">
        <f t="shared" si="119"/>
        <v>94.188795347380733</v>
      </c>
    </row>
    <row r="141" spans="7:47" x14ac:dyDescent="0.25">
      <c r="G141">
        <v>132</v>
      </c>
      <c r="H141">
        <f t="shared" si="120"/>
        <v>3.96</v>
      </c>
      <c r="I141" s="407">
        <f t="shared" si="97"/>
        <v>0.21431500000000001</v>
      </c>
      <c r="J141" s="408">
        <f t="shared" si="121"/>
        <v>1.8245736486486483</v>
      </c>
      <c r="K141" s="408">
        <f t="shared" si="132"/>
        <v>4.8722868243243243</v>
      </c>
      <c r="L141" s="408">
        <f t="shared" si="98"/>
        <v>3.0477131756756757</v>
      </c>
      <c r="M141" s="63">
        <f t="shared" si="122"/>
        <v>0</v>
      </c>
      <c r="N141" s="407">
        <f t="shared" si="99"/>
        <v>3.9948745182561014</v>
      </c>
      <c r="O141" s="407">
        <f t="shared" si="100"/>
        <v>8.0307765454707469E-2</v>
      </c>
      <c r="P141">
        <f t="shared" si="123"/>
        <v>0.2</v>
      </c>
      <c r="Q141" s="407">
        <f t="shared" si="133"/>
        <v>0.28030776545470748</v>
      </c>
      <c r="R141" s="9">
        <f t="shared" si="101"/>
        <v>0.52670904360179738</v>
      </c>
      <c r="S141" s="9">
        <f t="shared" si="102"/>
        <v>2.7742241661192009E-3</v>
      </c>
      <c r="T141" s="9">
        <f t="shared" si="103"/>
        <v>2.7742241661192009E-3</v>
      </c>
      <c r="U141" s="407">
        <f t="shared" si="104"/>
        <v>1.8493939248348858</v>
      </c>
      <c r="V141" s="409">
        <f t="shared" si="105"/>
        <v>6.8405157784323664E-3</v>
      </c>
      <c r="W141" s="407">
        <f t="shared" si="106"/>
        <v>6.8405157784323664E-3</v>
      </c>
      <c r="X141" s="407">
        <f t="shared" si="107"/>
        <v>1.8493939248348858</v>
      </c>
      <c r="Y141" s="407">
        <f t="shared" si="108"/>
        <v>2.05215473352971E-2</v>
      </c>
      <c r="Z141" s="407">
        <f t="shared" si="124"/>
        <v>9.063736996085768E-2</v>
      </c>
      <c r="AA141" s="407">
        <f t="shared" si="125"/>
        <v>0.14400000000000002</v>
      </c>
      <c r="AB141" s="407">
        <f t="shared" si="126"/>
        <v>0</v>
      </c>
      <c r="AC141" s="407">
        <f t="shared" si="109"/>
        <v>0.25621048441289052</v>
      </c>
      <c r="AD141" s="407">
        <f t="shared" si="110"/>
        <v>3.541011794303393</v>
      </c>
      <c r="AE141" s="407">
        <f t="shared" si="111"/>
        <v>7.5232587164374407E-2</v>
      </c>
      <c r="AF141" s="407">
        <f t="shared" si="127"/>
        <v>6.4152000000000001E-2</v>
      </c>
      <c r="AG141" s="407">
        <f t="shared" si="112"/>
        <v>0.14151387819969993</v>
      </c>
      <c r="AH141" s="407">
        <f t="shared" si="113"/>
        <v>0</v>
      </c>
      <c r="AI141">
        <f t="shared" si="128"/>
        <v>0</v>
      </c>
      <c r="AJ141" s="408">
        <f t="shared" si="129"/>
        <v>0.453150936</v>
      </c>
      <c r="AK141">
        <f t="shared" si="134"/>
        <v>4.8000000000000001E-2</v>
      </c>
      <c r="AL141" s="408">
        <f t="shared" si="130"/>
        <v>5.1750000000000004E-2</v>
      </c>
      <c r="AM141" s="408">
        <f t="shared" si="135"/>
        <v>0.13648893249607535</v>
      </c>
      <c r="AN141" s="408">
        <f t="shared" si="114"/>
        <v>9.9750000000000005E-2</v>
      </c>
      <c r="AO141" s="408">
        <f t="shared" si="115"/>
        <v>1.2405478040118496</v>
      </c>
      <c r="AP141">
        <f t="shared" si="131"/>
        <v>20.195999999999998</v>
      </c>
      <c r="AQ141" s="10">
        <f t="shared" si="116"/>
        <v>0.94212931040231762</v>
      </c>
      <c r="AR141" s="63">
        <f t="shared" si="117"/>
        <v>12.810524220644526</v>
      </c>
      <c r="AS141" s="63">
        <f t="shared" si="118"/>
        <v>7.0756939099849969</v>
      </c>
      <c r="AT141" s="10"/>
      <c r="AU141">
        <f t="shared" si="119"/>
        <v>94.212931040231766</v>
      </c>
    </row>
    <row r="142" spans="7:47" x14ac:dyDescent="0.25">
      <c r="G142">
        <v>133</v>
      </c>
      <c r="H142">
        <f t="shared" si="120"/>
        <v>3.99</v>
      </c>
      <c r="I142" s="407">
        <f t="shared" si="97"/>
        <v>0.21432874999999996</v>
      </c>
      <c r="J142" s="408">
        <f t="shared" si="121"/>
        <v>1.8246907094594589</v>
      </c>
      <c r="K142" s="408">
        <f t="shared" si="132"/>
        <v>4.9023453547297295</v>
      </c>
      <c r="L142" s="408">
        <f t="shared" si="98"/>
        <v>3.0776546452702709</v>
      </c>
      <c r="M142" s="63">
        <f t="shared" si="122"/>
        <v>0</v>
      </c>
      <c r="N142" s="407">
        <f t="shared" si="99"/>
        <v>4.0246189900948766</v>
      </c>
      <c r="O142" s="407">
        <f t="shared" si="100"/>
        <v>8.151593370329803E-2</v>
      </c>
      <c r="P142">
        <f t="shared" si="123"/>
        <v>0.2</v>
      </c>
      <c r="Q142" s="407">
        <f t="shared" si="133"/>
        <v>0.28151593370329803</v>
      </c>
      <c r="R142" s="9">
        <f t="shared" si="101"/>
        <v>0.52674283614711392</v>
      </c>
      <c r="S142" s="9">
        <f t="shared" si="102"/>
        <v>2.774580154323053E-3</v>
      </c>
      <c r="T142" s="9">
        <f t="shared" si="103"/>
        <v>2.774580154323053E-3</v>
      </c>
      <c r="U142" s="407">
        <f t="shared" si="104"/>
        <v>1.8632236480090323</v>
      </c>
      <c r="V142" s="409">
        <f t="shared" si="105"/>
        <v>6.9432047250001724E-3</v>
      </c>
      <c r="W142" s="407">
        <f t="shared" si="106"/>
        <v>6.9432047250001724E-3</v>
      </c>
      <c r="X142" s="407">
        <f t="shared" si="107"/>
        <v>1.8632236480090323</v>
      </c>
      <c r="Y142" s="407">
        <f t="shared" si="108"/>
        <v>2.0829614175000517E-2</v>
      </c>
      <c r="Z142" s="407">
        <f t="shared" si="124"/>
        <v>9.13041209508232E-2</v>
      </c>
      <c r="AA142" s="407">
        <f t="shared" si="125"/>
        <v>0.14400000000000002</v>
      </c>
      <c r="AB142" s="407">
        <f t="shared" si="126"/>
        <v>0</v>
      </c>
      <c r="AC142" s="407">
        <f t="shared" si="109"/>
        <v>0.25720523227624481</v>
      </c>
      <c r="AD142" s="407">
        <f t="shared" si="110"/>
        <v>3.5673457433969333</v>
      </c>
      <c r="AE142" s="407">
        <f t="shared" si="111"/>
        <v>7.6355733917593316E-2</v>
      </c>
      <c r="AF142" s="407">
        <f t="shared" si="127"/>
        <v>6.4638000000000001E-2</v>
      </c>
      <c r="AG142" s="407">
        <f t="shared" si="112"/>
        <v>0.14318026069517176</v>
      </c>
      <c r="AH142" s="407">
        <f t="shared" si="113"/>
        <v>0</v>
      </c>
      <c r="AI142">
        <f t="shared" si="128"/>
        <v>0</v>
      </c>
      <c r="AJ142" s="408">
        <f t="shared" si="129"/>
        <v>0.45314753400000002</v>
      </c>
      <c r="AK142">
        <f t="shared" si="134"/>
        <v>4.8000000000000001E-2</v>
      </c>
      <c r="AL142" s="408">
        <f t="shared" si="130"/>
        <v>5.1750000000000004E-2</v>
      </c>
      <c r="AM142" s="408">
        <f t="shared" si="135"/>
        <v>0.13648893249607535</v>
      </c>
      <c r="AN142" s="408">
        <f t="shared" si="114"/>
        <v>9.9750000000000005E-2</v>
      </c>
      <c r="AO142" s="408">
        <f t="shared" si="115"/>
        <v>1.2445167455540378</v>
      </c>
      <c r="AP142">
        <f t="shared" si="131"/>
        <v>20.349</v>
      </c>
      <c r="AQ142" s="10">
        <f t="shared" si="116"/>
        <v>0.94236618517406268</v>
      </c>
      <c r="AR142" s="63">
        <f t="shared" si="117"/>
        <v>12.860261613812241</v>
      </c>
      <c r="AS142" s="63">
        <f t="shared" si="118"/>
        <v>7.1590130347585879</v>
      </c>
      <c r="AT142" s="10"/>
      <c r="AU142">
        <f t="shared" si="119"/>
        <v>94.236618517406271</v>
      </c>
    </row>
    <row r="143" spans="7:47" x14ac:dyDescent="0.25">
      <c r="G143">
        <v>134</v>
      </c>
      <c r="H143">
        <f t="shared" si="120"/>
        <v>4.0200000000000005</v>
      </c>
      <c r="I143" s="407">
        <f t="shared" si="97"/>
        <v>0.21434249999999999</v>
      </c>
      <c r="J143" s="408">
        <f t="shared" si="121"/>
        <v>1.8248077702702701</v>
      </c>
      <c r="K143" s="408">
        <f t="shared" si="132"/>
        <v>4.9324038851351357</v>
      </c>
      <c r="L143" s="408">
        <f t="shared" si="98"/>
        <v>3.1075961148648652</v>
      </c>
      <c r="M143" s="63">
        <f t="shared" si="122"/>
        <v>0</v>
      </c>
      <c r="N143" s="407">
        <f t="shared" si="99"/>
        <v>4.0543672276369547</v>
      </c>
      <c r="O143" s="407">
        <f t="shared" si="100"/>
        <v>8.2733453565981344E-2</v>
      </c>
      <c r="P143">
        <f t="shared" si="123"/>
        <v>0.2</v>
      </c>
      <c r="Q143" s="407">
        <f t="shared" si="133"/>
        <v>0.28273345356598134</v>
      </c>
      <c r="R143" s="9">
        <f t="shared" si="101"/>
        <v>0.52677662869243058</v>
      </c>
      <c r="S143" s="9">
        <f t="shared" si="102"/>
        <v>2.7749361653656292E-3</v>
      </c>
      <c r="T143" s="9">
        <f t="shared" si="103"/>
        <v>2.7749361653656292E-3</v>
      </c>
      <c r="U143" s="407">
        <f t="shared" si="104"/>
        <v>1.8770559961020046</v>
      </c>
      <c r="V143" s="409">
        <f t="shared" si="105"/>
        <v>7.0466784250049772E-3</v>
      </c>
      <c r="W143" s="407">
        <f t="shared" si="106"/>
        <v>7.0466784250049772E-3</v>
      </c>
      <c r="X143" s="407">
        <f t="shared" si="107"/>
        <v>1.8770559961020046</v>
      </c>
      <c r="Y143" s="407">
        <f t="shared" si="108"/>
        <v>2.1140035275014932E-2</v>
      </c>
      <c r="Z143" s="407">
        <f t="shared" si="124"/>
        <v>9.197087194078872E-2</v>
      </c>
      <c r="AA143" s="407">
        <f t="shared" si="125"/>
        <v>0.14400000000000002</v>
      </c>
      <c r="AB143" s="407">
        <f t="shared" si="126"/>
        <v>0</v>
      </c>
      <c r="AC143" s="407">
        <f t="shared" si="109"/>
        <v>0.25820258958619419</v>
      </c>
      <c r="AD143" s="407">
        <f t="shared" si="110"/>
        <v>3.5936825686242906</v>
      </c>
      <c r="AE143" s="407">
        <f t="shared" si="111"/>
        <v>7.7487326424204486E-2</v>
      </c>
      <c r="AF143" s="407">
        <f t="shared" si="127"/>
        <v>6.5124000000000001E-2</v>
      </c>
      <c r="AG143" s="407">
        <f t="shared" si="112"/>
        <v>0.14485623083282914</v>
      </c>
      <c r="AH143" s="407">
        <f t="shared" si="113"/>
        <v>0</v>
      </c>
      <c r="AI143">
        <f t="shared" si="128"/>
        <v>0</v>
      </c>
      <c r="AJ143" s="408">
        <f t="shared" si="129"/>
        <v>0.45314413199999998</v>
      </c>
      <c r="AK143">
        <f t="shared" si="134"/>
        <v>4.8000000000000001E-2</v>
      </c>
      <c r="AL143" s="408">
        <f t="shared" si="130"/>
        <v>5.1750000000000004E-2</v>
      </c>
      <c r="AM143" s="408">
        <f t="shared" si="135"/>
        <v>0.13648893249607535</v>
      </c>
      <c r="AN143" s="408">
        <f t="shared" si="114"/>
        <v>9.9750000000000005E-2</v>
      </c>
      <c r="AO143" s="408">
        <f t="shared" si="115"/>
        <v>1.2485080205753754</v>
      </c>
      <c r="AP143">
        <f t="shared" si="131"/>
        <v>20.502000000000002</v>
      </c>
      <c r="AQ143" s="10">
        <f t="shared" si="116"/>
        <v>0.94259867312550483</v>
      </c>
      <c r="AR143" s="63">
        <f t="shared" si="117"/>
        <v>12.91012947930971</v>
      </c>
      <c r="AS143" s="63">
        <f t="shared" si="118"/>
        <v>7.2428115416414567</v>
      </c>
      <c r="AT143" s="10"/>
      <c r="AU143">
        <f t="shared" si="119"/>
        <v>94.259867312550483</v>
      </c>
    </row>
    <row r="144" spans="7:47" x14ac:dyDescent="0.25">
      <c r="G144">
        <v>135</v>
      </c>
      <c r="H144">
        <f t="shared" si="120"/>
        <v>4.0500000000000007</v>
      </c>
      <c r="I144" s="407">
        <f t="shared" si="97"/>
        <v>0.21435625</v>
      </c>
      <c r="J144" s="408">
        <f t="shared" si="121"/>
        <v>1.8249248310810806</v>
      </c>
      <c r="K144" s="408">
        <f t="shared" si="132"/>
        <v>4.962462415540541</v>
      </c>
      <c r="L144" s="408">
        <f t="shared" si="98"/>
        <v>3.1375375844594604</v>
      </c>
      <c r="M144" s="63">
        <f t="shared" si="122"/>
        <v>0</v>
      </c>
      <c r="N144" s="407">
        <f t="shared" si="99"/>
        <v>4.0841191485955326</v>
      </c>
      <c r="O144" s="407">
        <f t="shared" si="100"/>
        <v>8.396033040541423E-2</v>
      </c>
      <c r="P144">
        <f t="shared" si="123"/>
        <v>0.2</v>
      </c>
      <c r="Q144" s="407">
        <f t="shared" si="133"/>
        <v>0.28396033040541424</v>
      </c>
      <c r="R144" s="9">
        <f t="shared" si="101"/>
        <v>0.52681042123774713</v>
      </c>
      <c r="S144" s="9">
        <f t="shared" si="102"/>
        <v>2.7752921992469262E-3</v>
      </c>
      <c r="T144" s="9">
        <f t="shared" si="103"/>
        <v>2.7752921992469262E-3</v>
      </c>
      <c r="U144" s="407">
        <f t="shared" si="104"/>
        <v>1.8908909311415831</v>
      </c>
      <c r="V144" s="409">
        <f t="shared" si="105"/>
        <v>7.1509370269469668E-3</v>
      </c>
      <c r="W144" s="407">
        <f t="shared" si="106"/>
        <v>7.1509370269469668E-3</v>
      </c>
      <c r="X144" s="407">
        <f t="shared" si="107"/>
        <v>1.8908909311415831</v>
      </c>
      <c r="Y144" s="407">
        <f t="shared" si="108"/>
        <v>2.1452811080840899E-2</v>
      </c>
      <c r="Z144" s="407">
        <f t="shared" si="124"/>
        <v>9.2637622930754226E-2</v>
      </c>
      <c r="AA144" s="407">
        <f t="shared" si="125"/>
        <v>0.14400000000000002</v>
      </c>
      <c r="AB144" s="407">
        <f t="shared" si="126"/>
        <v>0</v>
      </c>
      <c r="AC144" s="407">
        <f t="shared" si="109"/>
        <v>0.25920255871635767</v>
      </c>
      <c r="AD144" s="407">
        <f t="shared" si="110"/>
        <v>3.620022196955595</v>
      </c>
      <c r="AE144" s="407">
        <f t="shared" si="111"/>
        <v>7.8627364238707281E-2</v>
      </c>
      <c r="AF144" s="407">
        <f t="shared" si="127"/>
        <v>6.5610000000000002E-2</v>
      </c>
      <c r="AG144" s="407">
        <f t="shared" si="112"/>
        <v>0.14654180338895945</v>
      </c>
      <c r="AH144" s="407">
        <f t="shared" si="113"/>
        <v>0</v>
      </c>
      <c r="AI144">
        <f t="shared" si="128"/>
        <v>0</v>
      </c>
      <c r="AJ144" s="408">
        <f t="shared" si="129"/>
        <v>0.45314072999999999</v>
      </c>
      <c r="AK144">
        <f t="shared" si="134"/>
        <v>4.8000000000000001E-2</v>
      </c>
      <c r="AL144" s="408">
        <f t="shared" si="130"/>
        <v>5.1750000000000004E-2</v>
      </c>
      <c r="AM144" s="408">
        <f t="shared" si="135"/>
        <v>0.13648893249607535</v>
      </c>
      <c r="AN144" s="408">
        <f t="shared" si="114"/>
        <v>9.9750000000000005E-2</v>
      </c>
      <c r="AO144" s="408">
        <f t="shared" si="115"/>
        <v>1.2525216517369253</v>
      </c>
      <c r="AP144">
        <f t="shared" si="131"/>
        <v>20.655000000000001</v>
      </c>
      <c r="AQ144" s="10">
        <f t="shared" si="116"/>
        <v>0.94282686687941175</v>
      </c>
      <c r="AR144" s="63">
        <f t="shared" si="117"/>
        <v>12.960127935817884</v>
      </c>
      <c r="AS144" s="63">
        <f t="shared" si="118"/>
        <v>7.3270901694479722</v>
      </c>
      <c r="AT144" s="10"/>
      <c r="AU144">
        <f t="shared" si="119"/>
        <v>94.28268668794118</v>
      </c>
    </row>
    <row r="145" spans="7:47" x14ac:dyDescent="0.25">
      <c r="G145">
        <v>136</v>
      </c>
      <c r="H145">
        <f t="shared" si="120"/>
        <v>4.08</v>
      </c>
      <c r="I145" s="407">
        <f t="shared" si="97"/>
        <v>0.21436999999999998</v>
      </c>
      <c r="J145" s="408">
        <f t="shared" si="121"/>
        <v>1.8250418918918916</v>
      </c>
      <c r="K145" s="408">
        <f t="shared" si="132"/>
        <v>4.9925209459459463</v>
      </c>
      <c r="L145" s="408">
        <f t="shared" si="98"/>
        <v>3.1674790540540543</v>
      </c>
      <c r="M145" s="63">
        <f t="shared" si="122"/>
        <v>0</v>
      </c>
      <c r="N145" s="407">
        <f t="shared" si="99"/>
        <v>4.1138746730541875</v>
      </c>
      <c r="O145" s="407">
        <f t="shared" si="100"/>
        <v>8.5196569627035271E-2</v>
      </c>
      <c r="P145">
        <f t="shared" si="123"/>
        <v>0.2</v>
      </c>
      <c r="Q145" s="407">
        <f t="shared" si="133"/>
        <v>0.28519656962703527</v>
      </c>
      <c r="R145" s="9">
        <f t="shared" si="101"/>
        <v>0.52684421378306379</v>
      </c>
      <c r="S145" s="9">
        <f t="shared" si="102"/>
        <v>2.7756482559669459E-3</v>
      </c>
      <c r="T145" s="9">
        <f t="shared" si="103"/>
        <v>2.7756482559669459E-3</v>
      </c>
      <c r="U145" s="407">
        <f t="shared" si="104"/>
        <v>1.9047284162481442</v>
      </c>
      <c r="V145" s="409">
        <f t="shared" si="105"/>
        <v>7.2559806793263274E-3</v>
      </c>
      <c r="W145" s="407">
        <f t="shared" si="106"/>
        <v>7.2559806793263274E-3</v>
      </c>
      <c r="X145" s="407">
        <f t="shared" si="107"/>
        <v>1.9047284162481442</v>
      </c>
      <c r="Y145" s="407">
        <f t="shared" si="108"/>
        <v>2.176794203797898E-2</v>
      </c>
      <c r="Z145" s="407">
        <f t="shared" si="124"/>
        <v>9.3304373920719733E-2</v>
      </c>
      <c r="AA145" s="407">
        <f t="shared" si="125"/>
        <v>0.14400000000000002</v>
      </c>
      <c r="AB145" s="407">
        <f t="shared" si="126"/>
        <v>0</v>
      </c>
      <c r="AC145" s="407">
        <f t="shared" si="109"/>
        <v>0.26020514204871886</v>
      </c>
      <c r="AD145" s="407">
        <f t="shared" si="110"/>
        <v>3.6463645574645351</v>
      </c>
      <c r="AE145" s="407">
        <f t="shared" si="111"/>
        <v>7.9775846915601203E-2</v>
      </c>
      <c r="AF145" s="407">
        <f t="shared" si="127"/>
        <v>6.6096000000000002E-2</v>
      </c>
      <c r="AG145" s="407">
        <f t="shared" si="112"/>
        <v>0.14823699325177778</v>
      </c>
      <c r="AH145" s="407">
        <f t="shared" si="113"/>
        <v>0</v>
      </c>
      <c r="AI145">
        <f t="shared" si="128"/>
        <v>0</v>
      </c>
      <c r="AJ145" s="408">
        <f t="shared" si="129"/>
        <v>0.45313732800000001</v>
      </c>
      <c r="AK145">
        <f t="shared" si="134"/>
        <v>4.8000000000000001E-2</v>
      </c>
      <c r="AL145" s="408">
        <f t="shared" si="130"/>
        <v>5.1750000000000004E-2</v>
      </c>
      <c r="AM145" s="408">
        <f t="shared" si="135"/>
        <v>0.13648893249607535</v>
      </c>
      <c r="AN145" s="408">
        <f t="shared" si="114"/>
        <v>9.9750000000000005E-2</v>
      </c>
      <c r="AO145" s="408">
        <f t="shared" si="115"/>
        <v>1.2565576618628251</v>
      </c>
      <c r="AP145">
        <f t="shared" si="131"/>
        <v>20.808</v>
      </c>
      <c r="AQ145" s="10">
        <f t="shared" si="116"/>
        <v>0.94305085644047582</v>
      </c>
      <c r="AR145" s="63">
        <f t="shared" si="117"/>
        <v>13.010257102435943</v>
      </c>
      <c r="AS145" s="63">
        <f t="shared" si="118"/>
        <v>7.4118496625888888</v>
      </c>
      <c r="AT145" s="10"/>
      <c r="AU145">
        <f t="shared" si="119"/>
        <v>94.30508564404758</v>
      </c>
    </row>
    <row r="146" spans="7:47" x14ac:dyDescent="0.25">
      <c r="G146">
        <v>137</v>
      </c>
      <c r="H146">
        <f t="shared" si="120"/>
        <v>4.1100000000000003</v>
      </c>
      <c r="I146" s="407">
        <f t="shared" si="97"/>
        <v>0.21438374999999998</v>
      </c>
      <c r="J146" s="408">
        <f t="shared" si="121"/>
        <v>1.8251589527027023</v>
      </c>
      <c r="K146" s="408">
        <f t="shared" si="132"/>
        <v>5.0225794763513516</v>
      </c>
      <c r="L146" s="408">
        <f t="shared" si="98"/>
        <v>3.197420523648649</v>
      </c>
      <c r="M146" s="63">
        <f t="shared" si="122"/>
        <v>0</v>
      </c>
      <c r="N146" s="407">
        <f t="shared" si="99"/>
        <v>4.1436337233824823</v>
      </c>
      <c r="O146" s="407">
        <f t="shared" si="100"/>
        <v>8.644217667912478E-2</v>
      </c>
      <c r="P146">
        <f t="shared" si="123"/>
        <v>0.2</v>
      </c>
      <c r="Q146" s="407">
        <f t="shared" si="133"/>
        <v>0.2864421766791248</v>
      </c>
      <c r="R146" s="9">
        <f t="shared" si="101"/>
        <v>0.52687800632838033</v>
      </c>
      <c r="S146" s="9">
        <f t="shared" si="102"/>
        <v>2.7760043355256883E-3</v>
      </c>
      <c r="T146" s="9">
        <f t="shared" si="103"/>
        <v>2.7760043355256883E-3</v>
      </c>
      <c r="U146" s="407">
        <f t="shared" si="104"/>
        <v>1.9185684155957603</v>
      </c>
      <c r="V146" s="409">
        <f t="shared" si="105"/>
        <v>7.361809530643252E-3</v>
      </c>
      <c r="W146" s="407">
        <f t="shared" si="106"/>
        <v>7.361809530643252E-3</v>
      </c>
      <c r="X146" s="407">
        <f t="shared" si="107"/>
        <v>1.9185684155957603</v>
      </c>
      <c r="Y146" s="407">
        <f t="shared" si="108"/>
        <v>2.2085428591929756E-2</v>
      </c>
      <c r="Z146" s="407">
        <f t="shared" si="124"/>
        <v>9.3971124910685253E-2</v>
      </c>
      <c r="AA146" s="407">
        <f t="shared" si="125"/>
        <v>0.14400000000000002</v>
      </c>
      <c r="AB146" s="407">
        <f t="shared" si="126"/>
        <v>0</v>
      </c>
      <c r="AC146" s="407">
        <f t="shared" si="109"/>
        <v>0.26121034197364151</v>
      </c>
      <c r="AD146" s="407">
        <f t="shared" si="110"/>
        <v>3.6727095812534571</v>
      </c>
      <c r="AE146" s="407">
        <f t="shared" si="111"/>
        <v>8.0932774009385672E-2</v>
      </c>
      <c r="AF146" s="407">
        <f t="shared" si="127"/>
        <v>6.6582000000000002E-2</v>
      </c>
      <c r="AG146" s="407">
        <f t="shared" si="112"/>
        <v>0.14994181542180365</v>
      </c>
      <c r="AH146" s="407">
        <f t="shared" si="113"/>
        <v>0</v>
      </c>
      <c r="AI146">
        <f t="shared" si="128"/>
        <v>0</v>
      </c>
      <c r="AJ146" s="408">
        <f t="shared" si="129"/>
        <v>0.45313392599999996</v>
      </c>
      <c r="AK146">
        <f t="shared" si="134"/>
        <v>4.8000000000000001E-2</v>
      </c>
      <c r="AL146" s="408">
        <f t="shared" si="130"/>
        <v>5.1750000000000004E-2</v>
      </c>
      <c r="AM146" s="408">
        <f t="shared" si="135"/>
        <v>0.13648893249607535</v>
      </c>
      <c r="AN146" s="408">
        <f t="shared" si="114"/>
        <v>9.9750000000000005E-2</v>
      </c>
      <c r="AO146" s="408">
        <f t="shared" si="115"/>
        <v>1.260616073940739</v>
      </c>
      <c r="AP146">
        <f t="shared" si="131"/>
        <v>20.960999999999999</v>
      </c>
      <c r="AQ146" s="10">
        <f t="shared" si="116"/>
        <v>0.94327072928691891</v>
      </c>
      <c r="AR146" s="63">
        <f t="shared" si="117"/>
        <v>13.060517098682075</v>
      </c>
      <c r="AS146" s="63">
        <f t="shared" si="118"/>
        <v>7.4970907710901828</v>
      </c>
      <c r="AT146" s="10"/>
      <c r="AU146">
        <f t="shared" si="119"/>
        <v>94.327072928691891</v>
      </c>
    </row>
    <row r="147" spans="7:47" x14ac:dyDescent="0.25">
      <c r="G147">
        <v>138</v>
      </c>
      <c r="H147">
        <f t="shared" si="120"/>
        <v>4.1399999999999997</v>
      </c>
      <c r="I147" s="407">
        <f t="shared" si="97"/>
        <v>0.21439749999999999</v>
      </c>
      <c r="J147" s="408">
        <f t="shared" si="121"/>
        <v>1.8252760135135129</v>
      </c>
      <c r="K147" s="408">
        <f t="shared" si="132"/>
        <v>5.052638006756756</v>
      </c>
      <c r="L147" s="408">
        <f t="shared" si="98"/>
        <v>3.2273619932432434</v>
      </c>
      <c r="M147" s="63">
        <f t="shared" si="122"/>
        <v>0</v>
      </c>
      <c r="N147" s="407">
        <f t="shared" si="99"/>
        <v>4.1733962241551321</v>
      </c>
      <c r="O147" s="407">
        <f t="shared" si="100"/>
        <v>8.7697157052865279E-2</v>
      </c>
      <c r="P147">
        <f t="shared" si="123"/>
        <v>0.2</v>
      </c>
      <c r="Q147" s="407">
        <f t="shared" si="133"/>
        <v>0.2876971570528653</v>
      </c>
      <c r="R147" s="9">
        <f t="shared" si="101"/>
        <v>0.52691179887369688</v>
      </c>
      <c r="S147" s="9">
        <f t="shared" si="102"/>
        <v>2.776360437923152E-3</v>
      </c>
      <c r="T147" s="9">
        <f t="shared" si="103"/>
        <v>2.776360437923152E-3</v>
      </c>
      <c r="U147" s="407">
        <f t="shared" si="104"/>
        <v>1.9324108943749418</v>
      </c>
      <c r="V147" s="409">
        <f t="shared" si="105"/>
        <v>7.4684237293979258E-3</v>
      </c>
      <c r="W147" s="407">
        <f t="shared" si="106"/>
        <v>7.4684237293979258E-3</v>
      </c>
      <c r="X147" s="407">
        <f t="shared" si="107"/>
        <v>1.9324108943749418</v>
      </c>
      <c r="Y147" s="407">
        <f t="shared" si="108"/>
        <v>2.2405271188193777E-2</v>
      </c>
      <c r="Z147" s="407">
        <f t="shared" si="124"/>
        <v>9.4637875900650759E-2</v>
      </c>
      <c r="AA147" s="407">
        <f t="shared" si="125"/>
        <v>0.14400000000000002</v>
      </c>
      <c r="AB147" s="407">
        <f t="shared" si="126"/>
        <v>0</v>
      </c>
      <c r="AC147" s="407">
        <f t="shared" si="109"/>
        <v>0.26221816088988603</v>
      </c>
      <c r="AD147" s="407">
        <f t="shared" si="110"/>
        <v>3.6990572013816374</v>
      </c>
      <c r="AE147" s="407">
        <f t="shared" si="111"/>
        <v>8.2098145074560105E-2</v>
      </c>
      <c r="AF147" s="407">
        <f t="shared" si="127"/>
        <v>6.7067999999999989E-2</v>
      </c>
      <c r="AG147" s="407">
        <f t="shared" si="112"/>
        <v>0.15165628501224088</v>
      </c>
      <c r="AH147" s="407">
        <f t="shared" si="113"/>
        <v>0</v>
      </c>
      <c r="AI147">
        <f t="shared" si="128"/>
        <v>0</v>
      </c>
      <c r="AJ147" s="408">
        <f t="shared" si="129"/>
        <v>0.45313052399999998</v>
      </c>
      <c r="AK147">
        <f t="shared" si="134"/>
        <v>4.8000000000000001E-2</v>
      </c>
      <c r="AL147" s="408">
        <f t="shared" si="130"/>
        <v>5.1750000000000004E-2</v>
      </c>
      <c r="AM147" s="408">
        <f t="shared" si="135"/>
        <v>0.13648893249607535</v>
      </c>
      <c r="AN147" s="408">
        <f t="shared" si="114"/>
        <v>9.9750000000000005E-2</v>
      </c>
      <c r="AO147" s="408">
        <f t="shared" si="115"/>
        <v>1.2646969111223132</v>
      </c>
      <c r="AP147">
        <f t="shared" si="131"/>
        <v>21.113999999999997</v>
      </c>
      <c r="AQ147" s="10">
        <f t="shared" si="116"/>
        <v>0.94348657045827566</v>
      </c>
      <c r="AR147" s="63">
        <f t="shared" si="117"/>
        <v>13.110908044494302</v>
      </c>
      <c r="AS147" s="63">
        <f t="shared" si="118"/>
        <v>7.5828142506120439</v>
      </c>
      <c r="AT147" s="10"/>
      <c r="AU147">
        <f t="shared" si="119"/>
        <v>94.348657045827565</v>
      </c>
    </row>
    <row r="148" spans="7:47" x14ac:dyDescent="0.25">
      <c r="G148">
        <v>139</v>
      </c>
      <c r="H148">
        <f t="shared" si="120"/>
        <v>4.17</v>
      </c>
      <c r="I148" s="407">
        <f t="shared" si="97"/>
        <v>0.21441124999999997</v>
      </c>
      <c r="J148" s="408">
        <f t="shared" si="121"/>
        <v>1.8253930743243238</v>
      </c>
      <c r="K148" s="408">
        <f t="shared" si="132"/>
        <v>5.0826965371621622</v>
      </c>
      <c r="L148" s="408">
        <f t="shared" si="98"/>
        <v>3.2573034628378381</v>
      </c>
      <c r="M148" s="63">
        <f t="shared" si="122"/>
        <v>0</v>
      </c>
      <c r="N148" s="407">
        <f t="shared" si="99"/>
        <v>4.2031621020745717</v>
      </c>
      <c r="O148" s="407">
        <f t="shared" si="100"/>
        <v>8.8961516282402717E-2</v>
      </c>
      <c r="P148">
        <f t="shared" si="123"/>
        <v>0.2</v>
      </c>
      <c r="Q148" s="407">
        <f t="shared" si="133"/>
        <v>0.28896151628240274</v>
      </c>
      <c r="R148" s="9">
        <f t="shared" si="101"/>
        <v>0.52694559141901354</v>
      </c>
      <c r="S148" s="9">
        <f t="shared" si="102"/>
        <v>2.7767165631593393E-3</v>
      </c>
      <c r="T148" s="9">
        <f t="shared" si="103"/>
        <v>2.7767165631593393E-3</v>
      </c>
      <c r="U148" s="407">
        <f t="shared" si="104"/>
        <v>1.9462558187569456</v>
      </c>
      <c r="V148" s="409">
        <f t="shared" si="105"/>
        <v>7.5758234240905376E-3</v>
      </c>
      <c r="W148" s="407">
        <f t="shared" si="106"/>
        <v>7.5758234240905376E-3</v>
      </c>
      <c r="X148" s="407">
        <f t="shared" si="107"/>
        <v>1.9462558187569456</v>
      </c>
      <c r="Y148" s="407">
        <f t="shared" si="108"/>
        <v>2.2727470272271615E-2</v>
      </c>
      <c r="Z148" s="407">
        <f t="shared" si="124"/>
        <v>9.5304626890616279E-2</v>
      </c>
      <c r="AA148" s="407">
        <f t="shared" si="125"/>
        <v>0.14400000000000002</v>
      </c>
      <c r="AB148" s="407">
        <f t="shared" si="126"/>
        <v>0</v>
      </c>
      <c r="AC148" s="407">
        <f t="shared" si="109"/>
        <v>0.26322860120462588</v>
      </c>
      <c r="AD148" s="407">
        <f t="shared" si="110"/>
        <v>3.7254073527965588</v>
      </c>
      <c r="AE148" s="407">
        <f t="shared" si="111"/>
        <v>8.3271959665623993E-2</v>
      </c>
      <c r="AF148" s="407">
        <f t="shared" si="127"/>
        <v>6.7553999999999989E-2</v>
      </c>
      <c r="AG148" s="407">
        <f t="shared" si="112"/>
        <v>0.15338041724936105</v>
      </c>
      <c r="AH148" s="407">
        <f t="shared" si="113"/>
        <v>0</v>
      </c>
      <c r="AI148">
        <f t="shared" si="128"/>
        <v>0</v>
      </c>
      <c r="AJ148" s="408">
        <f t="shared" si="129"/>
        <v>0.45312712199999999</v>
      </c>
      <c r="AK148">
        <f t="shared" si="134"/>
        <v>4.8000000000000001E-2</v>
      </c>
      <c r="AL148" s="408">
        <f t="shared" si="130"/>
        <v>5.1750000000000004E-2</v>
      </c>
      <c r="AM148" s="408">
        <f t="shared" si="135"/>
        <v>0.13648893249607535</v>
      </c>
      <c r="AN148" s="408">
        <f t="shared" si="114"/>
        <v>9.9750000000000005E-2</v>
      </c>
      <c r="AO148" s="408">
        <f t="shared" si="115"/>
        <v>1.2688001967236395</v>
      </c>
      <c r="AP148">
        <f t="shared" si="131"/>
        <v>21.266999999999999</v>
      </c>
      <c r="AQ148" s="10">
        <f t="shared" si="116"/>
        <v>0.9436984626395426</v>
      </c>
      <c r="AR148" s="63">
        <f t="shared" si="117"/>
        <v>13.161430060231293</v>
      </c>
      <c r="AS148" s="63">
        <f t="shared" si="118"/>
        <v>7.6690208624680523</v>
      </c>
      <c r="AT148" s="10"/>
      <c r="AU148">
        <f t="shared" si="119"/>
        <v>94.369846263954258</v>
      </c>
    </row>
    <row r="149" spans="7:47" x14ac:dyDescent="0.25">
      <c r="G149">
        <v>140</v>
      </c>
      <c r="H149">
        <f t="shared" si="120"/>
        <v>4.1999999999999993</v>
      </c>
      <c r="I149" s="407">
        <f t="shared" si="97"/>
        <v>0.21442499999999998</v>
      </c>
      <c r="J149" s="408">
        <f t="shared" si="121"/>
        <v>1.8255101351351348</v>
      </c>
      <c r="K149" s="408">
        <f t="shared" si="132"/>
        <v>5.1127550675675666</v>
      </c>
      <c r="L149" s="408">
        <f t="shared" si="98"/>
        <v>3.287244932432432</v>
      </c>
      <c r="M149" s="63">
        <f t="shared" si="122"/>
        <v>0</v>
      </c>
      <c r="N149" s="407">
        <f t="shared" si="99"/>
        <v>4.2329312858967389</v>
      </c>
      <c r="O149" s="407">
        <f t="shared" si="100"/>
        <v>9.0235259944907734E-2</v>
      </c>
      <c r="P149">
        <f t="shared" si="123"/>
        <v>0.2</v>
      </c>
      <c r="Q149" s="407">
        <f t="shared" si="133"/>
        <v>0.29023525994490773</v>
      </c>
      <c r="R149" s="9">
        <f t="shared" si="101"/>
        <v>0.52697938396433008</v>
      </c>
      <c r="S149" s="9">
        <f t="shared" si="102"/>
        <v>2.7770727112342488E-3</v>
      </c>
      <c r="T149" s="9">
        <f t="shared" si="103"/>
        <v>2.7770727112342488E-3</v>
      </c>
      <c r="U149" s="407">
        <f t="shared" si="104"/>
        <v>1.9601031558595683</v>
      </c>
      <c r="V149" s="409">
        <f t="shared" si="105"/>
        <v>7.6840087632212787E-3</v>
      </c>
      <c r="W149" s="407">
        <f t="shared" si="106"/>
        <v>7.6840087632212787E-3</v>
      </c>
      <c r="X149" s="407">
        <f t="shared" si="107"/>
        <v>1.9601031558595683</v>
      </c>
      <c r="Y149" s="407">
        <f t="shared" si="108"/>
        <v>2.3052026289663838E-2</v>
      </c>
      <c r="Z149" s="407">
        <f t="shared" si="124"/>
        <v>9.5971377880581757E-2</v>
      </c>
      <c r="AA149" s="407">
        <f t="shared" si="125"/>
        <v>0.14400000000000002</v>
      </c>
      <c r="AB149" s="407">
        <f t="shared" si="126"/>
        <v>0</v>
      </c>
      <c r="AC149" s="407">
        <f t="shared" si="109"/>
        <v>0.26424166533346394</v>
      </c>
      <c r="AD149" s="407">
        <f t="shared" si="110"/>
        <v>3.7517599722680526</v>
      </c>
      <c r="AE149" s="407">
        <f t="shared" si="111"/>
        <v>8.445421733707667E-2</v>
      </c>
      <c r="AF149" s="407">
        <f t="shared" si="127"/>
        <v>6.8039999999999989E-2</v>
      </c>
      <c r="AG149" s="407">
        <f t="shared" si="112"/>
        <v>0.1551142274728903</v>
      </c>
      <c r="AH149" s="407">
        <f t="shared" si="113"/>
        <v>0</v>
      </c>
      <c r="AI149">
        <f t="shared" si="128"/>
        <v>0</v>
      </c>
      <c r="AJ149" s="408">
        <f t="shared" si="129"/>
        <v>0.45312371999999995</v>
      </c>
      <c r="AK149">
        <f t="shared" si="134"/>
        <v>4.8000000000000001E-2</v>
      </c>
      <c r="AL149" s="408">
        <f t="shared" si="130"/>
        <v>5.1750000000000004E-2</v>
      </c>
      <c r="AM149" s="408">
        <f t="shared" si="135"/>
        <v>0.13648893249607535</v>
      </c>
      <c r="AN149" s="408">
        <f t="shared" si="114"/>
        <v>9.9750000000000005E-2</v>
      </c>
      <c r="AO149" s="408">
        <f t="shared" si="115"/>
        <v>1.2729259542257174</v>
      </c>
      <c r="AP149">
        <f t="shared" si="131"/>
        <v>21.419999999999995</v>
      </c>
      <c r="AQ149" s="10">
        <f t="shared" si="116"/>
        <v>0.94390648624186424</v>
      </c>
      <c r="AR149" s="63">
        <f t="shared" si="117"/>
        <v>13.212083266673197</v>
      </c>
      <c r="AS149" s="63">
        <f t="shared" si="118"/>
        <v>7.7557113736445151</v>
      </c>
      <c r="AT149" s="10"/>
      <c r="AU149">
        <f t="shared" si="119"/>
        <v>94.390648624186426</v>
      </c>
    </row>
    <row r="150" spans="7:47" x14ac:dyDescent="0.25">
      <c r="G150">
        <v>141</v>
      </c>
      <c r="H150">
        <f t="shared" si="120"/>
        <v>4.2299999999999995</v>
      </c>
      <c r="I150" s="407">
        <f t="shared" si="97"/>
        <v>0.21443874999999998</v>
      </c>
      <c r="J150" s="408">
        <f t="shared" si="121"/>
        <v>1.8256271959459454</v>
      </c>
      <c r="K150" s="408">
        <f t="shared" si="132"/>
        <v>5.1428135979729719</v>
      </c>
      <c r="L150" s="408">
        <f t="shared" si="98"/>
        <v>3.3171864020270267</v>
      </c>
      <c r="M150" s="63">
        <f t="shared" si="122"/>
        <v>0</v>
      </c>
      <c r="N150" s="407">
        <f t="shared" si="99"/>
        <v>4.2627037063599422</v>
      </c>
      <c r="O150" s="407">
        <f t="shared" si="100"/>
        <v>9.1518393660638159E-2</v>
      </c>
      <c r="P150">
        <f t="shared" si="123"/>
        <v>0.2</v>
      </c>
      <c r="Q150" s="407">
        <f t="shared" si="133"/>
        <v>0.29151839366063814</v>
      </c>
      <c r="R150" s="9">
        <f t="shared" si="101"/>
        <v>0.52701317650964663</v>
      </c>
      <c r="S150" s="9">
        <f t="shared" si="102"/>
        <v>2.7774288821478792E-3</v>
      </c>
      <c r="T150" s="9">
        <f t="shared" si="103"/>
        <v>2.7774288821478792E-3</v>
      </c>
      <c r="U150" s="407">
        <f t="shared" si="104"/>
        <v>1.9739528737143572</v>
      </c>
      <c r="V150" s="409">
        <f t="shared" si="105"/>
        <v>7.7929798952903386E-3</v>
      </c>
      <c r="W150" s="407">
        <f t="shared" si="106"/>
        <v>7.7929798952903386E-3</v>
      </c>
      <c r="X150" s="407">
        <f t="shared" si="107"/>
        <v>1.9739528737143572</v>
      </c>
      <c r="Y150" s="407">
        <f t="shared" si="108"/>
        <v>2.3378939685871018E-2</v>
      </c>
      <c r="Z150" s="407">
        <f t="shared" si="124"/>
        <v>9.6638128870547291E-2</v>
      </c>
      <c r="AA150" s="407">
        <f t="shared" si="125"/>
        <v>0.14400000000000002</v>
      </c>
      <c r="AB150" s="407">
        <f t="shared" si="126"/>
        <v>0</v>
      </c>
      <c r="AC150" s="407">
        <f t="shared" si="109"/>
        <v>0.26525735570044917</v>
      </c>
      <c r="AD150" s="407">
        <f t="shared" si="110"/>
        <v>3.7781149983251727</v>
      </c>
      <c r="AE150" s="407">
        <f t="shared" si="111"/>
        <v>8.5644917643417723E-2</v>
      </c>
      <c r="AF150" s="407">
        <f t="shared" si="127"/>
        <v>6.852599999999999E-2</v>
      </c>
      <c r="AG150" s="407">
        <f t="shared" si="112"/>
        <v>0.15685773113639978</v>
      </c>
      <c r="AH150" s="407">
        <f t="shared" si="113"/>
        <v>0</v>
      </c>
      <c r="AI150">
        <f t="shared" si="128"/>
        <v>0</v>
      </c>
      <c r="AJ150" s="408">
        <f t="shared" si="129"/>
        <v>0.45312031800000002</v>
      </c>
      <c r="AK150">
        <f t="shared" si="134"/>
        <v>4.8000000000000001E-2</v>
      </c>
      <c r="AL150" s="408">
        <f t="shared" si="130"/>
        <v>5.1750000000000004E-2</v>
      </c>
      <c r="AM150" s="408">
        <f t="shared" si="135"/>
        <v>0.13648893249607535</v>
      </c>
      <c r="AN150" s="408">
        <f t="shared" si="114"/>
        <v>9.9750000000000005E-2</v>
      </c>
      <c r="AO150" s="408">
        <f t="shared" si="115"/>
        <v>1.2770742072749253</v>
      </c>
      <c r="AP150">
        <f t="shared" si="131"/>
        <v>21.572999999999997</v>
      </c>
      <c r="AQ150" s="10">
        <f t="shared" si="116"/>
        <v>0.94411071947992475</v>
      </c>
      <c r="AR150" s="63">
        <f t="shared" si="117"/>
        <v>13.262867785022458</v>
      </c>
      <c r="AS150" s="63">
        <f t="shared" si="118"/>
        <v>7.8428865568199893</v>
      </c>
      <c r="AT150" s="10"/>
      <c r="AU150">
        <f t="shared" si="119"/>
        <v>94.411071947992468</v>
      </c>
    </row>
    <row r="151" spans="7:47" x14ac:dyDescent="0.25">
      <c r="G151">
        <v>142</v>
      </c>
      <c r="H151">
        <f t="shared" si="120"/>
        <v>4.26</v>
      </c>
      <c r="I151" s="407">
        <f t="shared" si="97"/>
        <v>0.21445249999999996</v>
      </c>
      <c r="J151" s="408">
        <f t="shared" si="121"/>
        <v>1.8257442567567563</v>
      </c>
      <c r="K151" s="408">
        <f t="shared" si="132"/>
        <v>5.1728721283783781</v>
      </c>
      <c r="L151" s="408">
        <f t="shared" si="98"/>
        <v>3.3471278716216215</v>
      </c>
      <c r="M151" s="63">
        <f t="shared" si="122"/>
        <v>0</v>
      </c>
      <c r="N151" s="407">
        <f t="shared" si="99"/>
        <v>4.2924792961166416</v>
      </c>
      <c r="O151" s="407">
        <f t="shared" si="100"/>
        <v>9.2810923093001041E-2</v>
      </c>
      <c r="P151">
        <f t="shared" si="123"/>
        <v>0.2</v>
      </c>
      <c r="Q151" s="407">
        <f t="shared" si="133"/>
        <v>0.29281092309300105</v>
      </c>
      <c r="R151" s="9">
        <f t="shared" si="101"/>
        <v>0.52704696905496329</v>
      </c>
      <c r="S151" s="9">
        <f t="shared" si="102"/>
        <v>2.7777850759002345E-3</v>
      </c>
      <c r="T151" s="9">
        <f t="shared" si="103"/>
        <v>2.7777850759002345E-3</v>
      </c>
      <c r="U151" s="407">
        <f t="shared" si="104"/>
        <v>1.9878049412351675</v>
      </c>
      <c r="V151" s="409">
        <f t="shared" si="105"/>
        <v>7.9027369687978948E-3</v>
      </c>
      <c r="W151" s="407">
        <f t="shared" si="106"/>
        <v>7.9027369687978948E-3</v>
      </c>
      <c r="X151" s="407">
        <f t="shared" si="107"/>
        <v>1.9878049412351675</v>
      </c>
      <c r="Y151" s="407">
        <f t="shared" si="108"/>
        <v>2.3708210906393686E-2</v>
      </c>
      <c r="Z151" s="407">
        <f t="shared" si="124"/>
        <v>9.7304879860512811E-2</v>
      </c>
      <c r="AA151" s="407">
        <f t="shared" si="125"/>
        <v>0.14400000000000002</v>
      </c>
      <c r="AB151" s="407">
        <f t="shared" si="126"/>
        <v>0</v>
      </c>
      <c r="AC151" s="407">
        <f t="shared" si="109"/>
        <v>0.2662756747380931</v>
      </c>
      <c r="AD151" s="407">
        <f t="shared" si="110"/>
        <v>3.8044723711956525</v>
      </c>
      <c r="AE151" s="407">
        <f t="shared" si="111"/>
        <v>8.6844060139146417E-2</v>
      </c>
      <c r="AF151" s="407">
        <f t="shared" si="127"/>
        <v>6.901199999999999E-2</v>
      </c>
      <c r="AG151" s="407">
        <f t="shared" si="112"/>
        <v>0.15861094380769891</v>
      </c>
      <c r="AH151" s="407">
        <f t="shared" si="113"/>
        <v>0</v>
      </c>
      <c r="AI151">
        <f t="shared" si="128"/>
        <v>0</v>
      </c>
      <c r="AJ151" s="408">
        <f t="shared" si="129"/>
        <v>0.45311691600000004</v>
      </c>
      <c r="AK151">
        <f t="shared" si="134"/>
        <v>4.8000000000000001E-2</v>
      </c>
      <c r="AL151" s="408">
        <f t="shared" si="130"/>
        <v>5.1750000000000004E-2</v>
      </c>
      <c r="AM151" s="408">
        <f t="shared" si="135"/>
        <v>0.13648893249607535</v>
      </c>
      <c r="AN151" s="408">
        <f t="shared" si="114"/>
        <v>9.9750000000000005E-2</v>
      </c>
      <c r="AO151" s="408">
        <f t="shared" si="115"/>
        <v>1.2812449796834915</v>
      </c>
      <c r="AP151">
        <f t="shared" si="131"/>
        <v>21.725999999999999</v>
      </c>
      <c r="AQ151" s="10">
        <f t="shared" si="116"/>
        <v>0.94431123844619846</v>
      </c>
      <c r="AR151" s="63">
        <f t="shared" si="117"/>
        <v>13.313783736904655</v>
      </c>
      <c r="AS151" s="63">
        <f t="shared" si="118"/>
        <v>7.9305471903849458</v>
      </c>
      <c r="AT151" s="10"/>
      <c r="AU151">
        <f t="shared" si="119"/>
        <v>94.431123844619847</v>
      </c>
    </row>
    <row r="152" spans="7:47" x14ac:dyDescent="0.25">
      <c r="G152">
        <v>143</v>
      </c>
      <c r="H152">
        <f t="shared" si="120"/>
        <v>4.29</v>
      </c>
      <c r="I152" s="407">
        <f t="shared" si="97"/>
        <v>0.21446624999999997</v>
      </c>
      <c r="J152" s="408">
        <f t="shared" si="121"/>
        <v>1.8258613175675671</v>
      </c>
      <c r="K152" s="408">
        <f t="shared" si="132"/>
        <v>5.2029306587837834</v>
      </c>
      <c r="L152" s="408">
        <f t="shared" si="98"/>
        <v>3.3770693412162167</v>
      </c>
      <c r="M152" s="63">
        <f t="shared" si="122"/>
        <v>0</v>
      </c>
      <c r="N152" s="407">
        <f t="shared" si="99"/>
        <v>4.3222579896680307</v>
      </c>
      <c r="O152" s="407">
        <f t="shared" si="100"/>
        <v>9.4112853948616279E-2</v>
      </c>
      <c r="P152">
        <f t="shared" si="123"/>
        <v>0.2</v>
      </c>
      <c r="Q152" s="407">
        <f t="shared" si="133"/>
        <v>0.2941128539486163</v>
      </c>
      <c r="R152" s="9">
        <f t="shared" si="101"/>
        <v>0.52708076160027983</v>
      </c>
      <c r="S152" s="9">
        <f t="shared" si="102"/>
        <v>2.7781412924913103E-3</v>
      </c>
      <c r="T152" s="9">
        <f t="shared" si="103"/>
        <v>2.7781412924913103E-3</v>
      </c>
      <c r="U152" s="407">
        <f t="shared" si="104"/>
        <v>2.0016593281880097</v>
      </c>
      <c r="V152" s="409">
        <f t="shared" si="105"/>
        <v>8.013280132244149E-3</v>
      </c>
      <c r="W152" s="407">
        <f t="shared" si="106"/>
        <v>8.013280132244149E-3</v>
      </c>
      <c r="X152" s="407">
        <f t="shared" si="107"/>
        <v>2.0016593281880097</v>
      </c>
      <c r="Y152" s="407">
        <f t="shared" si="108"/>
        <v>2.4039840396732445E-2</v>
      </c>
      <c r="Z152" s="407">
        <f t="shared" si="124"/>
        <v>9.7971630850478331E-2</v>
      </c>
      <c r="AA152" s="407">
        <f t="shared" si="125"/>
        <v>0.14400000000000002</v>
      </c>
      <c r="AB152" s="407">
        <f t="shared" si="126"/>
        <v>0</v>
      </c>
      <c r="AC152" s="407">
        <f t="shared" si="109"/>
        <v>0.26729662488738642</v>
      </c>
      <c r="AD152" s="407">
        <f t="shared" si="110"/>
        <v>3.8308320327478533</v>
      </c>
      <c r="AE152" s="407">
        <f t="shared" si="111"/>
        <v>8.8051644378762298E-2</v>
      </c>
      <c r="AF152" s="407">
        <f t="shared" si="127"/>
        <v>6.949799999999999E-2</v>
      </c>
      <c r="AG152" s="407">
        <f t="shared" si="112"/>
        <v>0.16037388116923332</v>
      </c>
      <c r="AH152" s="407">
        <f t="shared" si="113"/>
        <v>0</v>
      </c>
      <c r="AI152">
        <f t="shared" si="128"/>
        <v>0</v>
      </c>
      <c r="AJ152" s="408">
        <f t="shared" si="129"/>
        <v>0.453113514</v>
      </c>
      <c r="AK152">
        <f t="shared" si="134"/>
        <v>4.8000000000000001E-2</v>
      </c>
      <c r="AL152" s="408">
        <f t="shared" si="130"/>
        <v>5.1750000000000004E-2</v>
      </c>
      <c r="AM152" s="408">
        <f t="shared" si="135"/>
        <v>0.13648893249607535</v>
      </c>
      <c r="AN152" s="408">
        <f t="shared" si="114"/>
        <v>9.9750000000000005E-2</v>
      </c>
      <c r="AO152" s="408">
        <f t="shared" si="115"/>
        <v>1.2854382954299715</v>
      </c>
      <c r="AP152">
        <f t="shared" si="131"/>
        <v>21.878999999999998</v>
      </c>
      <c r="AQ152" s="10">
        <f t="shared" si="116"/>
        <v>0.94450811718220806</v>
      </c>
      <c r="AR152" s="63">
        <f t="shared" si="117"/>
        <v>13.364831244369322</v>
      </c>
      <c r="AS152" s="63">
        <f t="shared" si="118"/>
        <v>8.0186940584616657</v>
      </c>
      <c r="AT152" s="10"/>
      <c r="AU152">
        <f t="shared" si="119"/>
        <v>94.450811718220805</v>
      </c>
    </row>
    <row r="153" spans="7:47" x14ac:dyDescent="0.25">
      <c r="G153">
        <v>144</v>
      </c>
      <c r="H153">
        <f t="shared" si="120"/>
        <v>4.32</v>
      </c>
      <c r="I153" s="407">
        <f t="shared" si="97"/>
        <v>0.21448</v>
      </c>
      <c r="J153" s="408">
        <f t="shared" si="121"/>
        <v>1.8259783783783781</v>
      </c>
      <c r="K153" s="408">
        <f t="shared" si="132"/>
        <v>5.2329891891891895</v>
      </c>
      <c r="L153" s="408">
        <f t="shared" si="98"/>
        <v>3.407010810810811</v>
      </c>
      <c r="M153" s="63">
        <f t="shared" si="122"/>
        <v>0</v>
      </c>
      <c r="N153" s="407">
        <f t="shared" si="99"/>
        <v>4.3520397233012602</v>
      </c>
      <c r="O153" s="407">
        <f t="shared" si="100"/>
        <v>9.5424191977379794E-2</v>
      </c>
      <c r="P153">
        <f t="shared" si="123"/>
        <v>0.2</v>
      </c>
      <c r="Q153" s="407">
        <f t="shared" si="133"/>
        <v>0.29542419197737979</v>
      </c>
      <c r="R153" s="9">
        <f t="shared" si="101"/>
        <v>0.52711455414559649</v>
      </c>
      <c r="S153" s="9">
        <f t="shared" si="102"/>
        <v>2.7784975319211096E-3</v>
      </c>
      <c r="T153" s="9">
        <f t="shared" si="103"/>
        <v>2.7784975319211096E-3</v>
      </c>
      <c r="U153" s="407">
        <f t="shared" si="104"/>
        <v>2.0155160051621133</v>
      </c>
      <c r="V153" s="409">
        <f t="shared" si="105"/>
        <v>8.1246095341292873E-3</v>
      </c>
      <c r="W153" s="407">
        <f t="shared" si="106"/>
        <v>8.1246095341292873E-3</v>
      </c>
      <c r="X153" s="407">
        <f t="shared" si="107"/>
        <v>2.0155160051621133</v>
      </c>
      <c r="Y153" s="407">
        <f t="shared" si="108"/>
        <v>2.4373828602387865E-2</v>
      </c>
      <c r="Z153" s="407">
        <f t="shared" si="124"/>
        <v>9.8638381840443837E-2</v>
      </c>
      <c r="AA153" s="407">
        <f t="shared" si="125"/>
        <v>0.14400000000000002</v>
      </c>
      <c r="AB153" s="407">
        <f t="shared" si="126"/>
        <v>0</v>
      </c>
      <c r="AC153" s="407">
        <f t="shared" si="109"/>
        <v>0.26832020859781575</v>
      </c>
      <c r="AD153" s="407">
        <f t="shared" si="110"/>
        <v>3.8571939264350537</v>
      </c>
      <c r="AE153" s="407">
        <f t="shared" si="111"/>
        <v>8.9267669916764797E-2</v>
      </c>
      <c r="AF153" s="407">
        <f t="shared" si="127"/>
        <v>6.9984000000000005E-2</v>
      </c>
      <c r="AG153" s="407">
        <f t="shared" si="112"/>
        <v>0.1621465590184851</v>
      </c>
      <c r="AH153" s="407">
        <f t="shared" si="113"/>
        <v>0</v>
      </c>
      <c r="AI153">
        <f t="shared" si="128"/>
        <v>0</v>
      </c>
      <c r="AJ153" s="408">
        <f t="shared" si="129"/>
        <v>0.45311011200000001</v>
      </c>
      <c r="AK153">
        <f t="shared" si="134"/>
        <v>4.8000000000000001E-2</v>
      </c>
      <c r="AL153" s="408">
        <f t="shared" si="130"/>
        <v>5.1750000000000004E-2</v>
      </c>
      <c r="AM153" s="408">
        <f t="shared" si="135"/>
        <v>0.13648893249607535</v>
      </c>
      <c r="AN153" s="408">
        <f t="shared" si="114"/>
        <v>9.9750000000000005E-2</v>
      </c>
      <c r="AO153" s="408">
        <f t="shared" si="115"/>
        <v>1.2896541786597311</v>
      </c>
      <c r="AP153">
        <f t="shared" si="131"/>
        <v>22.032</v>
      </c>
      <c r="AQ153" s="10">
        <f t="shared" si="116"/>
        <v>0.94470142774692978</v>
      </c>
      <c r="AR153" s="63">
        <f t="shared" si="117"/>
        <v>13.416010429890788</v>
      </c>
      <c r="AS153" s="63">
        <f t="shared" si="118"/>
        <v>8.1073279509242546</v>
      </c>
      <c r="AT153" s="10"/>
      <c r="AU153">
        <f t="shared" si="119"/>
        <v>94.470142774692974</v>
      </c>
    </row>
    <row r="154" spans="7:47" x14ac:dyDescent="0.25">
      <c r="G154">
        <v>145</v>
      </c>
      <c r="H154">
        <f t="shared" si="120"/>
        <v>4.3499999999999996</v>
      </c>
      <c r="I154" s="407">
        <f t="shared" si="97"/>
        <v>0.21449374999999996</v>
      </c>
      <c r="J154" s="408">
        <f t="shared" si="121"/>
        <v>1.8260954391891886</v>
      </c>
      <c r="K154" s="408">
        <f t="shared" si="132"/>
        <v>5.2630477195945939</v>
      </c>
      <c r="L154" s="408">
        <f t="shared" si="98"/>
        <v>3.4369522804054053</v>
      </c>
      <c r="M154" s="63">
        <f t="shared" si="122"/>
        <v>0</v>
      </c>
      <c r="N154" s="407">
        <f t="shared" si="99"/>
        <v>4.3818244350291984</v>
      </c>
      <c r="O154" s="407">
        <f t="shared" si="100"/>
        <v>9.6744942972527753E-2</v>
      </c>
      <c r="P154">
        <f t="shared" si="123"/>
        <v>0.2</v>
      </c>
      <c r="Q154" s="407">
        <f t="shared" si="133"/>
        <v>0.29674494297252774</v>
      </c>
      <c r="R154" s="9">
        <f t="shared" si="101"/>
        <v>0.52714834669091304</v>
      </c>
      <c r="S154" s="9">
        <f t="shared" si="102"/>
        <v>2.7788537941896307E-3</v>
      </c>
      <c r="T154" s="9">
        <f t="shared" si="103"/>
        <v>2.7788537941896307E-3</v>
      </c>
      <c r="U154" s="407">
        <f t="shared" si="104"/>
        <v>2.0293749435421597</v>
      </c>
      <c r="V154" s="409">
        <f t="shared" si="105"/>
        <v>8.2367253229534872E-3</v>
      </c>
      <c r="W154" s="407">
        <f t="shared" si="106"/>
        <v>8.2367253229534872E-3</v>
      </c>
      <c r="X154" s="407">
        <f t="shared" si="107"/>
        <v>2.0293749435421597</v>
      </c>
      <c r="Y154" s="407">
        <f t="shared" si="108"/>
        <v>2.4710175968860465E-2</v>
      </c>
      <c r="Z154" s="407">
        <f t="shared" si="124"/>
        <v>9.9305132830409357E-2</v>
      </c>
      <c r="AA154" s="407">
        <f t="shared" si="125"/>
        <v>0.14400000000000002</v>
      </c>
      <c r="AB154" s="407">
        <f t="shared" si="126"/>
        <v>0</v>
      </c>
      <c r="AC154" s="407">
        <f t="shared" si="109"/>
        <v>0.26934642832738054</v>
      </c>
      <c r="AD154" s="407">
        <f t="shared" si="110"/>
        <v>3.8835579972419891</v>
      </c>
      <c r="AE154" s="407">
        <f t="shared" si="111"/>
        <v>9.0492136307653251E-2</v>
      </c>
      <c r="AF154" s="407">
        <f t="shared" si="127"/>
        <v>7.0469999999999991E-2</v>
      </c>
      <c r="AG154" s="407">
        <f t="shared" si="112"/>
        <v>0.1639289932683769</v>
      </c>
      <c r="AH154" s="407">
        <f t="shared" si="113"/>
        <v>0</v>
      </c>
      <c r="AI154">
        <f t="shared" si="128"/>
        <v>0</v>
      </c>
      <c r="AJ154" s="408">
        <f t="shared" si="129"/>
        <v>0.45310671000000002</v>
      </c>
      <c r="AK154">
        <f t="shared" si="134"/>
        <v>4.8000000000000001E-2</v>
      </c>
      <c r="AL154" s="408">
        <f t="shared" si="130"/>
        <v>5.1750000000000004E-2</v>
      </c>
      <c r="AM154" s="408">
        <f t="shared" si="135"/>
        <v>0.13648893249607535</v>
      </c>
      <c r="AN154" s="408">
        <f t="shared" si="114"/>
        <v>9.9750000000000005E-2</v>
      </c>
      <c r="AO154" s="408">
        <f t="shared" si="115"/>
        <v>1.2938926536854285</v>
      </c>
      <c r="AP154">
        <f t="shared" si="131"/>
        <v>22.184999999999995</v>
      </c>
      <c r="AQ154" s="10">
        <f t="shared" si="116"/>
        <v>0.94489124028247862</v>
      </c>
      <c r="AR154" s="63">
        <f t="shared" si="117"/>
        <v>13.467321416369026</v>
      </c>
      <c r="AS154" s="63">
        <f t="shared" si="118"/>
        <v>8.1964496634188446</v>
      </c>
      <c r="AT154" s="10"/>
      <c r="AU154">
        <f t="shared" si="119"/>
        <v>94.489124028247858</v>
      </c>
    </row>
    <row r="155" spans="7:47" x14ac:dyDescent="0.25">
      <c r="G155">
        <v>146</v>
      </c>
      <c r="H155">
        <f t="shared" si="120"/>
        <v>4.38</v>
      </c>
      <c r="I155" s="407">
        <f t="shared" si="97"/>
        <v>0.21450749999999996</v>
      </c>
      <c r="J155" s="408">
        <f t="shared" si="121"/>
        <v>1.8262124999999996</v>
      </c>
      <c r="K155" s="408">
        <f t="shared" si="132"/>
        <v>5.2931062499999992</v>
      </c>
      <c r="L155" s="408">
        <f t="shared" si="98"/>
        <v>3.4668937500000001</v>
      </c>
      <c r="M155" s="63">
        <f t="shared" si="122"/>
        <v>0</v>
      </c>
      <c r="N155" s="407">
        <f t="shared" si="99"/>
        <v>4.4116120645326111</v>
      </c>
      <c r="O155" s="407">
        <f t="shared" si="100"/>
        <v>9.807511277070137E-2</v>
      </c>
      <c r="P155">
        <f t="shared" si="123"/>
        <v>0.2</v>
      </c>
      <c r="Q155" s="407">
        <f t="shared" si="133"/>
        <v>0.29807511277070137</v>
      </c>
      <c r="R155" s="9">
        <f t="shared" si="101"/>
        <v>0.52718213923622959</v>
      </c>
      <c r="S155" s="9">
        <f t="shared" si="102"/>
        <v>2.779210079296874E-3</v>
      </c>
      <c r="T155" s="9">
        <f t="shared" si="103"/>
        <v>2.779210079296874E-3</v>
      </c>
      <c r="U155" s="407">
        <f t="shared" si="104"/>
        <v>2.0432361154816339</v>
      </c>
      <c r="V155" s="409">
        <f t="shared" si="105"/>
        <v>8.3496276472169537E-3</v>
      </c>
      <c r="W155" s="407">
        <f t="shared" si="106"/>
        <v>8.3496276472169537E-3</v>
      </c>
      <c r="X155" s="407">
        <f t="shared" si="107"/>
        <v>2.0432361154816339</v>
      </c>
      <c r="Y155" s="407">
        <f t="shared" si="108"/>
        <v>2.5048882941650863E-2</v>
      </c>
      <c r="Z155" s="407">
        <f t="shared" si="124"/>
        <v>9.9971883820374863E-2</v>
      </c>
      <c r="AA155" s="407">
        <f t="shared" si="125"/>
        <v>0.14400000000000002</v>
      </c>
      <c r="AB155" s="407">
        <f t="shared" si="126"/>
        <v>0</v>
      </c>
      <c r="AC155" s="407">
        <f t="shared" si="109"/>
        <v>0.27037528654260995</v>
      </c>
      <c r="AD155" s="407">
        <f t="shared" si="110"/>
        <v>3.9099241916335425</v>
      </c>
      <c r="AE155" s="407">
        <f t="shared" si="111"/>
        <v>9.1725043105927259E-2</v>
      </c>
      <c r="AF155" s="407">
        <f t="shared" si="127"/>
        <v>7.0955999999999991E-2</v>
      </c>
      <c r="AG155" s="407">
        <f t="shared" si="112"/>
        <v>0.16572119994768064</v>
      </c>
      <c r="AH155" s="407">
        <f t="shared" si="113"/>
        <v>0</v>
      </c>
      <c r="AI155">
        <f t="shared" si="128"/>
        <v>0</v>
      </c>
      <c r="AJ155" s="408">
        <f t="shared" si="129"/>
        <v>0.45310330799999998</v>
      </c>
      <c r="AK155">
        <f t="shared" si="134"/>
        <v>4.8000000000000001E-2</v>
      </c>
      <c r="AL155" s="408">
        <f t="shared" si="130"/>
        <v>5.1750000000000004E-2</v>
      </c>
      <c r="AM155" s="408">
        <f t="shared" si="135"/>
        <v>0.13648893249607535</v>
      </c>
      <c r="AN155" s="408">
        <f t="shared" si="114"/>
        <v>9.9750000000000005E-2</v>
      </c>
      <c r="AO155" s="408">
        <f t="shared" si="115"/>
        <v>1.2981537449875058</v>
      </c>
      <c r="AP155">
        <f t="shared" si="131"/>
        <v>22.337999999999997</v>
      </c>
      <c r="AQ155" s="10">
        <f t="shared" si="116"/>
        <v>0.94507762307719778</v>
      </c>
      <c r="AR155" s="63">
        <f t="shared" si="117"/>
        <v>13.518764327130498</v>
      </c>
      <c r="AS155" s="63">
        <f t="shared" si="118"/>
        <v>8.286059997384033</v>
      </c>
      <c r="AT155" s="10"/>
      <c r="AU155">
        <f t="shared" si="119"/>
        <v>94.507762307719773</v>
      </c>
    </row>
    <row r="156" spans="7:47" x14ac:dyDescent="0.25">
      <c r="G156">
        <v>147</v>
      </c>
      <c r="H156">
        <f t="shared" si="120"/>
        <v>4.41</v>
      </c>
      <c r="I156" s="407">
        <f t="shared" si="97"/>
        <v>0.21452125</v>
      </c>
      <c r="J156" s="408">
        <f t="shared" si="121"/>
        <v>1.8263295608108105</v>
      </c>
      <c r="K156" s="408">
        <f t="shared" si="132"/>
        <v>5.3231647804054054</v>
      </c>
      <c r="L156" s="408">
        <f t="shared" si="98"/>
        <v>3.4968352195945949</v>
      </c>
      <c r="M156" s="63">
        <f t="shared" si="122"/>
        <v>0</v>
      </c>
      <c r="N156" s="407">
        <f t="shared" si="99"/>
        <v>4.4414025531046253</v>
      </c>
      <c r="O156" s="407">
        <f t="shared" si="100"/>
        <v>9.9414707252011569E-2</v>
      </c>
      <c r="P156">
        <f t="shared" si="123"/>
        <v>0.2</v>
      </c>
      <c r="Q156" s="407">
        <f t="shared" si="133"/>
        <v>0.29941470725201158</v>
      </c>
      <c r="R156" s="9">
        <f t="shared" si="101"/>
        <v>0.52721593178154624</v>
      </c>
      <c r="S156" s="9">
        <f t="shared" si="102"/>
        <v>2.77956638724284E-3</v>
      </c>
      <c r="T156" s="9">
        <f t="shared" si="103"/>
        <v>2.77956638724284E-3</v>
      </c>
      <c r="U156" s="407">
        <f t="shared" si="104"/>
        <v>2.057099493877224</v>
      </c>
      <c r="V156" s="409">
        <f t="shared" si="105"/>
        <v>8.4633166554198627E-3</v>
      </c>
      <c r="W156" s="407">
        <f t="shared" si="106"/>
        <v>8.4633166554198627E-3</v>
      </c>
      <c r="X156" s="407">
        <f t="shared" si="107"/>
        <v>2.057099493877224</v>
      </c>
      <c r="Y156" s="407">
        <f t="shared" si="108"/>
        <v>2.5389949966259588E-2</v>
      </c>
      <c r="Z156" s="407">
        <f t="shared" si="124"/>
        <v>0.10063863481034038</v>
      </c>
      <c r="AA156" s="407">
        <f t="shared" si="125"/>
        <v>0.14400000000000002</v>
      </c>
      <c r="AB156" s="407">
        <f t="shared" si="126"/>
        <v>0</v>
      </c>
      <c r="AC156" s="407">
        <f t="shared" si="109"/>
        <v>0.27140678571857957</v>
      </c>
      <c r="AD156" s="407">
        <f t="shared" si="110"/>
        <v>3.936292457505457</v>
      </c>
      <c r="AE156" s="407">
        <f t="shared" si="111"/>
        <v>9.2966389866086102E-2</v>
      </c>
      <c r="AF156" s="407">
        <f t="shared" si="127"/>
        <v>7.1441999999999992E-2</v>
      </c>
      <c r="AG156" s="407">
        <f t="shared" si="112"/>
        <v>0.16752319520142775</v>
      </c>
      <c r="AH156" s="407">
        <f t="shared" si="113"/>
        <v>0</v>
      </c>
      <c r="AI156">
        <f t="shared" si="128"/>
        <v>0</v>
      </c>
      <c r="AJ156" s="408">
        <f t="shared" si="129"/>
        <v>0.453099906</v>
      </c>
      <c r="AK156">
        <f t="shared" si="134"/>
        <v>4.8000000000000001E-2</v>
      </c>
      <c r="AL156" s="408">
        <f t="shared" si="130"/>
        <v>5.1750000000000004E-2</v>
      </c>
      <c r="AM156" s="408">
        <f t="shared" si="135"/>
        <v>0.13648893249607535</v>
      </c>
      <c r="AN156" s="408">
        <f t="shared" si="114"/>
        <v>9.9750000000000005E-2</v>
      </c>
      <c r="AO156" s="408">
        <f t="shared" si="115"/>
        <v>1.3024374772146816</v>
      </c>
      <c r="AP156">
        <f t="shared" si="131"/>
        <v>22.491</v>
      </c>
      <c r="AQ156" s="10">
        <f t="shared" si="116"/>
        <v>0.94526064262627307</v>
      </c>
      <c r="AR156" s="63">
        <f t="shared" si="117"/>
        <v>13.570339285928979</v>
      </c>
      <c r="AS156" s="63">
        <f t="shared" si="118"/>
        <v>8.3761597600713866</v>
      </c>
      <c r="AT156" s="10"/>
      <c r="AU156">
        <f t="shared" si="119"/>
        <v>94.526064262627301</v>
      </c>
    </row>
    <row r="157" spans="7:47" x14ac:dyDescent="0.25">
      <c r="G157">
        <v>148</v>
      </c>
      <c r="H157">
        <f t="shared" si="120"/>
        <v>4.4399999999999995</v>
      </c>
      <c r="I157" s="407">
        <f t="shared" si="97"/>
        <v>0.214535</v>
      </c>
      <c r="J157" s="408">
        <f t="shared" si="121"/>
        <v>1.8264466216216213</v>
      </c>
      <c r="K157" s="408">
        <f t="shared" si="132"/>
        <v>5.3532233108108098</v>
      </c>
      <c r="L157" s="408">
        <f t="shared" si="98"/>
        <v>3.5267766891891887</v>
      </c>
      <c r="M157" s="63">
        <f t="shared" si="122"/>
        <v>0</v>
      </c>
      <c r="N157" s="407">
        <f t="shared" si="99"/>
        <v>4.4711958435974095</v>
      </c>
      <c r="O157" s="407">
        <f t="shared" si="100"/>
        <v>0.10076373234010513</v>
      </c>
      <c r="P157">
        <f t="shared" si="123"/>
        <v>0.2</v>
      </c>
      <c r="Q157" s="407">
        <f t="shared" si="133"/>
        <v>0.30076373234010512</v>
      </c>
      <c r="R157" s="9">
        <f t="shared" si="101"/>
        <v>0.52724972432686279</v>
      </c>
      <c r="S157" s="9">
        <f t="shared" si="102"/>
        <v>2.7799227180275283E-3</v>
      </c>
      <c r="T157" s="9">
        <f t="shared" si="103"/>
        <v>2.7799227180275283E-3</v>
      </c>
      <c r="U157" s="407">
        <f t="shared" si="104"/>
        <v>2.0709650523442455</v>
      </c>
      <c r="V157" s="409">
        <f t="shared" si="105"/>
        <v>8.5777924960624072E-3</v>
      </c>
      <c r="W157" s="407">
        <f t="shared" si="106"/>
        <v>8.5777924960624072E-3</v>
      </c>
      <c r="X157" s="407">
        <f t="shared" si="107"/>
        <v>2.0709650523442455</v>
      </c>
      <c r="Y157" s="407">
        <f t="shared" si="108"/>
        <v>2.5733377488187225E-2</v>
      </c>
      <c r="Z157" s="407">
        <f t="shared" si="124"/>
        <v>0.10130538580030586</v>
      </c>
      <c r="AA157" s="407">
        <f t="shared" si="125"/>
        <v>0.14400000000000002</v>
      </c>
      <c r="AB157" s="407">
        <f t="shared" si="126"/>
        <v>0</v>
      </c>
      <c r="AC157" s="407">
        <f t="shared" si="109"/>
        <v>0.27244092833892863</v>
      </c>
      <c r="AD157" s="407">
        <f t="shared" si="110"/>
        <v>3.9626627441370208</v>
      </c>
      <c r="AE157" s="407">
        <f t="shared" si="111"/>
        <v>9.4216176142629268E-2</v>
      </c>
      <c r="AF157" s="407">
        <f t="shared" si="127"/>
        <v>7.1927999999999992E-2</v>
      </c>
      <c r="AG157" s="407">
        <f t="shared" si="112"/>
        <v>0.16933499529132504</v>
      </c>
      <c r="AH157" s="407">
        <f t="shared" si="113"/>
        <v>0</v>
      </c>
      <c r="AI157">
        <f t="shared" si="128"/>
        <v>0</v>
      </c>
      <c r="AJ157" s="408">
        <f t="shared" si="129"/>
        <v>0.45309650400000001</v>
      </c>
      <c r="AK157">
        <f t="shared" si="134"/>
        <v>4.8000000000000001E-2</v>
      </c>
      <c r="AL157" s="408">
        <f t="shared" si="130"/>
        <v>5.1750000000000004E-2</v>
      </c>
      <c r="AM157" s="408">
        <f t="shared" si="135"/>
        <v>0.13648893249607535</v>
      </c>
      <c r="AN157" s="408">
        <f t="shared" si="114"/>
        <v>9.9750000000000005E-2</v>
      </c>
      <c r="AO157" s="408">
        <f t="shared" si="115"/>
        <v>1.3067438751844487</v>
      </c>
      <c r="AP157">
        <f t="shared" si="131"/>
        <v>22.643999999999995</v>
      </c>
      <c r="AQ157" s="10">
        <f t="shared" si="116"/>
        <v>0.9454403636899823</v>
      </c>
      <c r="AR157" s="63">
        <f t="shared" si="117"/>
        <v>13.622046416946432</v>
      </c>
      <c r="AS157" s="63">
        <f t="shared" si="118"/>
        <v>8.4667497645662522</v>
      </c>
      <c r="AT157" s="10"/>
      <c r="AU157">
        <f t="shared" si="119"/>
        <v>94.544036368998235</v>
      </c>
    </row>
    <row r="158" spans="7:47" x14ac:dyDescent="0.25">
      <c r="G158">
        <v>149</v>
      </c>
      <c r="H158">
        <f t="shared" si="120"/>
        <v>4.47</v>
      </c>
      <c r="I158" s="407">
        <f t="shared" si="97"/>
        <v>0.21454874999999998</v>
      </c>
      <c r="J158" s="408">
        <f t="shared" si="121"/>
        <v>1.8265636824324318</v>
      </c>
      <c r="K158" s="408">
        <f t="shared" si="132"/>
        <v>5.383281841216216</v>
      </c>
      <c r="L158" s="408">
        <f t="shared" si="98"/>
        <v>3.5567181587837839</v>
      </c>
      <c r="M158" s="63">
        <f t="shared" si="122"/>
        <v>0</v>
      </c>
      <c r="N158" s="407">
        <f t="shared" si="99"/>
        <v>4.5009918803709361</v>
      </c>
      <c r="O158" s="407">
        <f t="shared" si="100"/>
        <v>0.10212219400223056</v>
      </c>
      <c r="P158">
        <f t="shared" si="123"/>
        <v>0.2</v>
      </c>
      <c r="Q158" s="407">
        <f t="shared" si="133"/>
        <v>0.30212219400223056</v>
      </c>
      <c r="R158" s="9">
        <f t="shared" si="101"/>
        <v>0.52728351687217934</v>
      </c>
      <c r="S158" s="9">
        <f t="shared" si="102"/>
        <v>2.7802790716509383E-3</v>
      </c>
      <c r="T158" s="9">
        <f t="shared" si="103"/>
        <v>2.7802790716509383E-3</v>
      </c>
      <c r="U158" s="407">
        <f t="shared" si="104"/>
        <v>2.0848327651930232</v>
      </c>
      <c r="V158" s="409">
        <f t="shared" si="105"/>
        <v>8.6930553176447749E-3</v>
      </c>
      <c r="W158" s="407">
        <f t="shared" si="106"/>
        <v>8.6930553176447749E-3</v>
      </c>
      <c r="X158" s="407">
        <f t="shared" si="107"/>
        <v>2.0848327651930232</v>
      </c>
      <c r="Y158" s="407">
        <f t="shared" si="108"/>
        <v>2.6079165952934327E-2</v>
      </c>
      <c r="Z158" s="407">
        <f t="shared" si="124"/>
        <v>0.10197213679027141</v>
      </c>
      <c r="AA158" s="407">
        <f t="shared" si="125"/>
        <v>0.14400000000000002</v>
      </c>
      <c r="AB158" s="407">
        <f t="shared" si="126"/>
        <v>0</v>
      </c>
      <c r="AC158" s="407">
        <f t="shared" si="109"/>
        <v>0.27347771689587713</v>
      </c>
      <c r="AD158" s="407">
        <f t="shared" si="110"/>
        <v>3.9890350021455951</v>
      </c>
      <c r="AE158" s="407">
        <f t="shared" si="111"/>
        <v>9.5474401490056246E-2</v>
      </c>
      <c r="AF158" s="407">
        <f t="shared" si="127"/>
        <v>7.2413999999999992E-2</v>
      </c>
      <c r="AG158" s="407">
        <f t="shared" si="112"/>
        <v>0.17115661659617276</v>
      </c>
      <c r="AH158" s="407">
        <f t="shared" si="113"/>
        <v>0</v>
      </c>
      <c r="AI158">
        <f t="shared" si="128"/>
        <v>0</v>
      </c>
      <c r="AJ158" s="408">
        <f t="shared" si="129"/>
        <v>0.45309310199999997</v>
      </c>
      <c r="AK158">
        <f t="shared" si="134"/>
        <v>4.8000000000000001E-2</v>
      </c>
      <c r="AL158" s="408">
        <f t="shared" si="130"/>
        <v>5.1750000000000004E-2</v>
      </c>
      <c r="AM158" s="408">
        <f t="shared" si="135"/>
        <v>0.13648893249607535</v>
      </c>
      <c r="AN158" s="408">
        <f t="shared" si="114"/>
        <v>9.9750000000000005E-2</v>
      </c>
      <c r="AO158" s="408">
        <f t="shared" si="115"/>
        <v>1.3110729638835761</v>
      </c>
      <c r="AP158">
        <f t="shared" si="131"/>
        <v>22.796999999999997</v>
      </c>
      <c r="AQ158" s="10">
        <f t="shared" si="116"/>
        <v>0.94561684934968881</v>
      </c>
      <c r="AR158" s="63">
        <f t="shared" si="117"/>
        <v>13.673885844793856</v>
      </c>
      <c r="AS158" s="63">
        <f t="shared" si="118"/>
        <v>8.5578308298086387</v>
      </c>
      <c r="AT158" s="10"/>
      <c r="AU158">
        <f t="shared" si="119"/>
        <v>94.561684934968881</v>
      </c>
    </row>
    <row r="159" spans="7:47" x14ac:dyDescent="0.25">
      <c r="G159">
        <v>150</v>
      </c>
      <c r="H159">
        <f t="shared" si="120"/>
        <v>4.5</v>
      </c>
      <c r="I159" s="407">
        <f t="shared" si="97"/>
        <v>0.21456249999999999</v>
      </c>
      <c r="J159" s="408">
        <f t="shared" si="121"/>
        <v>1.8266807432432428</v>
      </c>
      <c r="K159" s="408">
        <f t="shared" si="132"/>
        <v>5.4133403716216213</v>
      </c>
      <c r="L159" s="408">
        <f t="shared" si="98"/>
        <v>3.5866596283783787</v>
      </c>
      <c r="M159" s="63">
        <f t="shared" si="122"/>
        <v>0</v>
      </c>
      <c r="N159" s="407">
        <f t="shared" si="99"/>
        <v>4.5307906092437449</v>
      </c>
      <c r="O159" s="407">
        <f t="shared" si="100"/>
        <v>0.10349009824930473</v>
      </c>
      <c r="P159">
        <f t="shared" si="123"/>
        <v>0.2</v>
      </c>
      <c r="Q159" s="407">
        <f t="shared" si="133"/>
        <v>0.30349009824930473</v>
      </c>
      <c r="R159" s="9">
        <f t="shared" si="101"/>
        <v>0.52731730941749599</v>
      </c>
      <c r="S159" s="9">
        <f t="shared" si="102"/>
        <v>2.7806354481130719E-3</v>
      </c>
      <c r="T159" s="9">
        <f t="shared" si="103"/>
        <v>2.7806354481130719E-3</v>
      </c>
      <c r="U159" s="407">
        <f t="shared" si="104"/>
        <v>2.0987026074061981</v>
      </c>
      <c r="V159" s="409">
        <f t="shared" si="105"/>
        <v>8.8091052686671504E-3</v>
      </c>
      <c r="W159" s="407">
        <f t="shared" si="106"/>
        <v>8.8091052686671504E-3</v>
      </c>
      <c r="X159" s="407">
        <f t="shared" si="107"/>
        <v>2.0987026074061981</v>
      </c>
      <c r="Y159" s="407">
        <f t="shared" si="108"/>
        <v>2.6427315806001449E-2</v>
      </c>
      <c r="Z159" s="407">
        <f t="shared" si="124"/>
        <v>0.10263888778023693</v>
      </c>
      <c r="AA159" s="407">
        <f t="shared" si="125"/>
        <v>0.14400000000000002</v>
      </c>
      <c r="AB159" s="407">
        <f t="shared" si="126"/>
        <v>0</v>
      </c>
      <c r="AC159" s="407">
        <f t="shared" si="109"/>
        <v>0.27451715389024284</v>
      </c>
      <c r="AD159" s="407">
        <f t="shared" si="110"/>
        <v>4.0154091834429195</v>
      </c>
      <c r="AE159" s="407">
        <f t="shared" si="111"/>
        <v>9.6741065462866399E-2</v>
      </c>
      <c r="AF159" s="407">
        <f t="shared" si="127"/>
        <v>7.2899999999999993E-2</v>
      </c>
      <c r="AG159" s="407">
        <f t="shared" si="112"/>
        <v>0.1729880756122871</v>
      </c>
      <c r="AH159" s="407">
        <f t="shared" si="113"/>
        <v>0</v>
      </c>
      <c r="AI159">
        <f t="shared" si="128"/>
        <v>0</v>
      </c>
      <c r="AJ159" s="408">
        <f t="shared" si="129"/>
        <v>0.45308969999999998</v>
      </c>
      <c r="AK159">
        <f t="shared" si="134"/>
        <v>4.8000000000000001E-2</v>
      </c>
      <c r="AL159" s="408">
        <f t="shared" si="130"/>
        <v>5.1750000000000004E-2</v>
      </c>
      <c r="AM159" s="408">
        <f t="shared" si="135"/>
        <v>0.13648893249607535</v>
      </c>
      <c r="AN159" s="408">
        <f t="shared" si="114"/>
        <v>9.9750000000000005E-2</v>
      </c>
      <c r="AO159" s="408">
        <f t="shared" si="115"/>
        <v>1.3154247684686149</v>
      </c>
      <c r="AP159">
        <f t="shared" si="131"/>
        <v>22.95</v>
      </c>
      <c r="AQ159" s="10">
        <f t="shared" si="116"/>
        <v>0.94579016106167968</v>
      </c>
      <c r="AR159" s="63">
        <f t="shared" si="117"/>
        <v>13.725857694512142</v>
      </c>
      <c r="AS159" s="63">
        <f t="shared" si="118"/>
        <v>8.6494037806143549</v>
      </c>
      <c r="AT159" s="10"/>
      <c r="AU159">
        <f t="shared" si="119"/>
        <v>94.57901610616797</v>
      </c>
    </row>
    <row r="160" spans="7:47" x14ac:dyDescent="0.25">
      <c r="G160">
        <v>151</v>
      </c>
      <c r="H160">
        <f t="shared" si="120"/>
        <v>4.53</v>
      </c>
      <c r="I160" s="407">
        <f t="shared" si="97"/>
        <v>0.21457625</v>
      </c>
      <c r="J160" s="408">
        <f t="shared" si="121"/>
        <v>1.8267978040540538</v>
      </c>
      <c r="K160" s="408">
        <f t="shared" si="132"/>
        <v>5.4433989020270275</v>
      </c>
      <c r="L160" s="408">
        <f t="shared" si="98"/>
        <v>3.6166010979729735</v>
      </c>
      <c r="M160" s="63">
        <f t="shared" si="122"/>
        <v>0</v>
      </c>
      <c r="N160" s="407">
        <f t="shared" si="99"/>
        <v>4.5605919774456245</v>
      </c>
      <c r="O160" s="407">
        <f t="shared" si="100"/>
        <v>0.10486745113598021</v>
      </c>
      <c r="P160">
        <f t="shared" si="123"/>
        <v>0.2</v>
      </c>
      <c r="Q160" s="407">
        <f t="shared" si="133"/>
        <v>0.30486745113598024</v>
      </c>
      <c r="R160" s="9">
        <f t="shared" si="101"/>
        <v>0.52735110196281265</v>
      </c>
      <c r="S160" s="9">
        <f t="shared" si="102"/>
        <v>2.7809918474139285E-3</v>
      </c>
      <c r="T160" s="9">
        <f t="shared" si="103"/>
        <v>2.7809918474139285E-3</v>
      </c>
      <c r="U160" s="407">
        <f t="shared" si="104"/>
        <v>2.1125745546169168</v>
      </c>
      <c r="V160" s="409">
        <f t="shared" si="105"/>
        <v>8.9259424976297283E-3</v>
      </c>
      <c r="W160" s="407">
        <f t="shared" si="106"/>
        <v>8.9259424976297283E-3</v>
      </c>
      <c r="X160" s="407">
        <f t="shared" si="107"/>
        <v>2.1125745546169168</v>
      </c>
      <c r="Y160" s="407">
        <f t="shared" si="108"/>
        <v>2.6777827492889185E-2</v>
      </c>
      <c r="Z160" s="407">
        <f t="shared" si="124"/>
        <v>0.10330563877020245</v>
      </c>
      <c r="AA160" s="407">
        <f t="shared" si="125"/>
        <v>0.14400000000000002</v>
      </c>
      <c r="AB160" s="407">
        <f t="shared" si="126"/>
        <v>0</v>
      </c>
      <c r="AC160" s="407">
        <f t="shared" si="109"/>
        <v>0.27555924183145847</v>
      </c>
      <c r="AD160" s="407">
        <f t="shared" si="110"/>
        <v>4.0417852411931197</v>
      </c>
      <c r="AE160" s="407">
        <f t="shared" si="111"/>
        <v>9.8016167615559147E-2</v>
      </c>
      <c r="AF160" s="407">
        <f t="shared" si="127"/>
        <v>7.3386000000000007E-2</v>
      </c>
      <c r="AG160" s="407">
        <f t="shared" si="112"/>
        <v>0.17482938895392591</v>
      </c>
      <c r="AH160" s="407">
        <f t="shared" si="113"/>
        <v>0</v>
      </c>
      <c r="AI160">
        <f t="shared" si="128"/>
        <v>0</v>
      </c>
      <c r="AJ160" s="408">
        <f t="shared" si="129"/>
        <v>0.453086298</v>
      </c>
      <c r="AK160">
        <f t="shared" si="134"/>
        <v>4.8000000000000001E-2</v>
      </c>
      <c r="AL160" s="408">
        <f t="shared" si="130"/>
        <v>5.1750000000000004E-2</v>
      </c>
      <c r="AM160" s="408">
        <f t="shared" si="135"/>
        <v>0.13648893249607535</v>
      </c>
      <c r="AN160" s="408">
        <f t="shared" si="114"/>
        <v>9.9750000000000005E-2</v>
      </c>
      <c r="AO160" s="408">
        <f t="shared" si="115"/>
        <v>1.3197993142664084</v>
      </c>
      <c r="AP160">
        <f t="shared" si="131"/>
        <v>23.102999999999998</v>
      </c>
      <c r="AQ160" s="10">
        <f t="shared" si="116"/>
        <v>0.9459603587089439</v>
      </c>
      <c r="AR160" s="63">
        <f t="shared" si="117"/>
        <v>13.777962091572924</v>
      </c>
      <c r="AS160" s="63">
        <f t="shared" si="118"/>
        <v>8.7414694476962964</v>
      </c>
      <c r="AT160" s="10"/>
      <c r="AU160">
        <f t="shared" si="119"/>
        <v>94.596035870894397</v>
      </c>
    </row>
    <row r="161" spans="7:47" x14ac:dyDescent="0.25">
      <c r="G161">
        <v>152</v>
      </c>
      <c r="H161">
        <f t="shared" si="120"/>
        <v>4.5600000000000005</v>
      </c>
      <c r="I161" s="407">
        <f t="shared" si="97"/>
        <v>0.21458999999999998</v>
      </c>
      <c r="J161" s="408">
        <f t="shared" si="121"/>
        <v>1.8269148648648643</v>
      </c>
      <c r="K161" s="408">
        <f t="shared" si="132"/>
        <v>5.4734574324324328</v>
      </c>
      <c r="L161" s="408">
        <f t="shared" si="98"/>
        <v>3.6465425675675682</v>
      </c>
      <c r="M161" s="63">
        <f t="shared" si="122"/>
        <v>0</v>
      </c>
      <c r="N161" s="407">
        <f t="shared" si="99"/>
        <v>4.5903959335721094</v>
      </c>
      <c r="O161" s="407">
        <f t="shared" si="100"/>
        <v>0.10625425876071297</v>
      </c>
      <c r="P161">
        <f t="shared" si="123"/>
        <v>0.2</v>
      </c>
      <c r="Q161" s="407">
        <f t="shared" si="133"/>
        <v>0.30625425876071299</v>
      </c>
      <c r="R161" s="9">
        <f t="shared" si="101"/>
        <v>0.52738489450812909</v>
      </c>
      <c r="S161" s="9">
        <f t="shared" si="102"/>
        <v>2.7813482695535048E-3</v>
      </c>
      <c r="T161" s="9">
        <f t="shared" si="103"/>
        <v>2.7813482695535048E-3</v>
      </c>
      <c r="U161" s="407">
        <f t="shared" si="104"/>
        <v>2.1264485830878557</v>
      </c>
      <c r="V161" s="409">
        <f t="shared" si="105"/>
        <v>9.0435671530326982E-3</v>
      </c>
      <c r="W161" s="407">
        <f t="shared" si="106"/>
        <v>9.0435671530326982E-3</v>
      </c>
      <c r="X161" s="407">
        <f t="shared" si="107"/>
        <v>2.1264485830878557</v>
      </c>
      <c r="Y161" s="407">
        <f t="shared" si="108"/>
        <v>2.7130701459098096E-2</v>
      </c>
      <c r="Z161" s="407">
        <f t="shared" si="124"/>
        <v>0.10397238976016797</v>
      </c>
      <c r="AA161" s="407">
        <f t="shared" si="125"/>
        <v>0.14400000000000002</v>
      </c>
      <c r="AB161" s="407">
        <f t="shared" si="126"/>
        <v>0</v>
      </c>
      <c r="AC161" s="407">
        <f t="shared" si="109"/>
        <v>0.27660398323758933</v>
      </c>
      <c r="AD161" s="407">
        <f t="shared" si="110"/>
        <v>4.0681631297723309</v>
      </c>
      <c r="AE161" s="407">
        <f t="shared" si="111"/>
        <v>9.9299707502634033E-2</v>
      </c>
      <c r="AF161" s="407">
        <f t="shared" si="127"/>
        <v>7.3872000000000007E-2</v>
      </c>
      <c r="AG161" s="407">
        <f t="shared" si="112"/>
        <v>0.17668057335371845</v>
      </c>
      <c r="AH161" s="407">
        <f t="shared" si="113"/>
        <v>0</v>
      </c>
      <c r="AI161">
        <f t="shared" si="128"/>
        <v>0</v>
      </c>
      <c r="AJ161" s="408">
        <f t="shared" si="129"/>
        <v>0.45308289599999996</v>
      </c>
      <c r="AK161">
        <f t="shared" si="134"/>
        <v>4.8000000000000001E-2</v>
      </c>
      <c r="AL161" s="408">
        <f t="shared" si="130"/>
        <v>5.1750000000000004E-2</v>
      </c>
      <c r="AM161" s="408">
        <f t="shared" si="135"/>
        <v>0.13648893249607535</v>
      </c>
      <c r="AN161" s="408">
        <f t="shared" si="114"/>
        <v>9.9750000000000005E-2</v>
      </c>
      <c r="AO161" s="408">
        <f t="shared" si="115"/>
        <v>1.3241966267746068</v>
      </c>
      <c r="AP161">
        <f t="shared" si="131"/>
        <v>23.256</v>
      </c>
      <c r="AQ161" s="10">
        <f t="shared" si="116"/>
        <v>0.94612750065098372</v>
      </c>
      <c r="AR161" s="63">
        <f t="shared" si="117"/>
        <v>13.830199161879467</v>
      </c>
      <c r="AS161" s="63">
        <f t="shared" si="118"/>
        <v>8.8340286676859225</v>
      </c>
      <c r="AT161" s="10"/>
      <c r="AU161">
        <f t="shared" si="119"/>
        <v>94.612750065098368</v>
      </c>
    </row>
    <row r="162" spans="7:47" x14ac:dyDescent="0.25">
      <c r="G162">
        <v>153</v>
      </c>
      <c r="H162">
        <f t="shared" si="120"/>
        <v>4.59</v>
      </c>
      <c r="I162" s="407">
        <f t="shared" si="97"/>
        <v>0.21460374999999998</v>
      </c>
      <c r="J162" s="408">
        <f t="shared" si="121"/>
        <v>1.8270319256756751</v>
      </c>
      <c r="K162" s="408">
        <f t="shared" si="132"/>
        <v>5.5035159628378372</v>
      </c>
      <c r="L162" s="408">
        <f t="shared" si="98"/>
        <v>3.6764840371621625</v>
      </c>
      <c r="M162" s="63">
        <f t="shared" si="122"/>
        <v>0</v>
      </c>
      <c r="N162" s="407">
        <f t="shared" si="99"/>
        <v>4.6202024275407219</v>
      </c>
      <c r="O162" s="407">
        <f t="shared" si="100"/>
        <v>0.10765052726583027</v>
      </c>
      <c r="P162">
        <f t="shared" si="123"/>
        <v>0.2</v>
      </c>
      <c r="Q162" s="407">
        <f t="shared" si="133"/>
        <v>0.30765052726583031</v>
      </c>
      <c r="R162" s="9">
        <f t="shared" si="101"/>
        <v>0.52741868705344574</v>
      </c>
      <c r="S162" s="9">
        <f t="shared" si="102"/>
        <v>2.7817047145318051E-3</v>
      </c>
      <c r="T162" s="9">
        <f t="shared" si="103"/>
        <v>2.7817047145318051E-3</v>
      </c>
      <c r="U162" s="407">
        <f t="shared" si="104"/>
        <v>2.1403246696910543</v>
      </c>
      <c r="V162" s="409">
        <f t="shared" si="105"/>
        <v>9.1619793833762411E-3</v>
      </c>
      <c r="W162" s="407">
        <f t="shared" si="106"/>
        <v>9.1619793833762411E-3</v>
      </c>
      <c r="X162" s="407">
        <f t="shared" si="107"/>
        <v>2.1403246696910543</v>
      </c>
      <c r="Y162" s="407">
        <f t="shared" si="108"/>
        <v>2.7485938150128727E-2</v>
      </c>
      <c r="Z162" s="407">
        <f t="shared" si="124"/>
        <v>0.10463914075013346</v>
      </c>
      <c r="AA162" s="407">
        <f t="shared" si="125"/>
        <v>0.14400000000000002</v>
      </c>
      <c r="AB162" s="407">
        <f t="shared" si="126"/>
        <v>0</v>
      </c>
      <c r="AC162" s="407">
        <f t="shared" si="109"/>
        <v>0.27765138063535044</v>
      </c>
      <c r="AD162" s="407">
        <f t="shared" si="110"/>
        <v>4.0945428047298584</v>
      </c>
      <c r="AE162" s="407">
        <f t="shared" si="111"/>
        <v>0.10059168467859034</v>
      </c>
      <c r="AF162" s="407">
        <f t="shared" si="127"/>
        <v>7.4357999999999994E-2</v>
      </c>
      <c r="AG162" s="407">
        <f t="shared" si="112"/>
        <v>0.17854164566309813</v>
      </c>
      <c r="AH162" s="407">
        <f t="shared" si="113"/>
        <v>0</v>
      </c>
      <c r="AI162">
        <f t="shared" si="128"/>
        <v>0</v>
      </c>
      <c r="AJ162" s="408">
        <f t="shared" si="129"/>
        <v>0.45307949400000003</v>
      </c>
      <c r="AK162">
        <f t="shared" si="134"/>
        <v>4.8000000000000001E-2</v>
      </c>
      <c r="AL162" s="408">
        <f t="shared" si="130"/>
        <v>5.1750000000000004E-2</v>
      </c>
      <c r="AM162" s="408">
        <f t="shared" si="135"/>
        <v>0.13648893249607535</v>
      </c>
      <c r="AN162" s="408">
        <f t="shared" si="114"/>
        <v>9.9750000000000005E-2</v>
      </c>
      <c r="AO162" s="408">
        <f t="shared" si="115"/>
        <v>1.3286167316621871</v>
      </c>
      <c r="AP162">
        <f t="shared" si="131"/>
        <v>23.408999999999999</v>
      </c>
      <c r="AQ162" s="10">
        <f t="shared" si="116"/>
        <v>0.94629164377174368</v>
      </c>
      <c r="AR162" s="63">
        <f t="shared" si="117"/>
        <v>13.882569031767522</v>
      </c>
      <c r="AS162" s="63">
        <f t="shared" si="118"/>
        <v>8.9270822831549062</v>
      </c>
      <c r="AT162" s="10"/>
      <c r="AU162">
        <f t="shared" si="119"/>
        <v>94.629164377174362</v>
      </c>
    </row>
    <row r="163" spans="7:47" x14ac:dyDescent="0.25">
      <c r="G163">
        <v>154</v>
      </c>
      <c r="H163">
        <f t="shared" si="120"/>
        <v>4.62</v>
      </c>
      <c r="I163" s="407">
        <f t="shared" si="97"/>
        <v>0.21461750000000002</v>
      </c>
      <c r="J163" s="408">
        <f t="shared" si="121"/>
        <v>1.8271489864864865</v>
      </c>
      <c r="K163" s="408">
        <f t="shared" si="132"/>
        <v>5.5335744932432434</v>
      </c>
      <c r="L163" s="408">
        <f t="shared" si="98"/>
        <v>3.7064255067567569</v>
      </c>
      <c r="M163" s="63">
        <f t="shared" si="122"/>
        <v>0</v>
      </c>
      <c r="N163" s="407">
        <f t="shared" si="99"/>
        <v>4.650011410548891</v>
      </c>
      <c r="O163" s="407">
        <f t="shared" si="100"/>
        <v>0.10905626283760009</v>
      </c>
      <c r="P163">
        <f t="shared" si="123"/>
        <v>0.2</v>
      </c>
      <c r="Q163" s="407">
        <f t="shared" si="133"/>
        <v>0.30905626283760013</v>
      </c>
      <c r="R163" s="9">
        <f t="shared" si="101"/>
        <v>0.52745247959876251</v>
      </c>
      <c r="S163" s="9">
        <f t="shared" si="102"/>
        <v>2.7820611823488302E-3</v>
      </c>
      <c r="T163" s="9">
        <f t="shared" si="103"/>
        <v>2.7820611823488302E-3</v>
      </c>
      <c r="U163" s="407">
        <f t="shared" si="104"/>
        <v>2.1542027918885158</v>
      </c>
      <c r="V163" s="409">
        <f t="shared" si="105"/>
        <v>9.2811793371605517E-3</v>
      </c>
      <c r="W163" s="407">
        <f t="shared" si="106"/>
        <v>9.2811793371605517E-3</v>
      </c>
      <c r="X163" s="407">
        <f t="shared" si="107"/>
        <v>2.1542027918885158</v>
      </c>
      <c r="Y163" s="407">
        <f t="shared" si="108"/>
        <v>2.7843538011481657E-2</v>
      </c>
      <c r="Z163" s="407">
        <f t="shared" si="124"/>
        <v>0.10530589174009898</v>
      </c>
      <c r="AA163" s="407">
        <f t="shared" si="125"/>
        <v>0.14400000000000002</v>
      </c>
      <c r="AB163" s="407">
        <f t="shared" si="126"/>
        <v>0</v>
      </c>
      <c r="AC163" s="407">
        <f t="shared" si="109"/>
        <v>0.27870143656012392</v>
      </c>
      <c r="AD163" s="407">
        <f t="shared" si="110"/>
        <v>4.1209242227508396</v>
      </c>
      <c r="AE163" s="407">
        <f t="shared" si="111"/>
        <v>0.10189209869792767</v>
      </c>
      <c r="AF163" s="407">
        <f t="shared" si="127"/>
        <v>7.4843999999999994E-2</v>
      </c>
      <c r="AG163" s="407">
        <f t="shared" si="112"/>
        <v>0.18041262285274035</v>
      </c>
      <c r="AH163" s="407">
        <f t="shared" si="113"/>
        <v>0</v>
      </c>
      <c r="AI163">
        <f t="shared" si="128"/>
        <v>0</v>
      </c>
      <c r="AJ163" s="408">
        <f t="shared" si="129"/>
        <v>0.45307609200000004</v>
      </c>
      <c r="AK163">
        <f t="shared" si="134"/>
        <v>4.8000000000000001E-2</v>
      </c>
      <c r="AL163" s="408">
        <f t="shared" si="130"/>
        <v>5.1750000000000004E-2</v>
      </c>
      <c r="AM163" s="408">
        <f t="shared" si="135"/>
        <v>0.13648893249607535</v>
      </c>
      <c r="AN163" s="408">
        <f t="shared" si="114"/>
        <v>9.9750000000000005E-2</v>
      </c>
      <c r="AO163" s="408">
        <f t="shared" si="115"/>
        <v>1.3330596547699738</v>
      </c>
      <c r="AP163">
        <f t="shared" si="131"/>
        <v>23.561999999999998</v>
      </c>
      <c r="AQ163" s="10">
        <f t="shared" si="116"/>
        <v>0.94645284352574122</v>
      </c>
      <c r="AR163" s="63">
        <f t="shared" si="117"/>
        <v>13.935071828006196</v>
      </c>
      <c r="AS163" s="63">
        <f t="shared" si="118"/>
        <v>9.0206311426370167</v>
      </c>
      <c r="AT163" s="10"/>
      <c r="AU163">
        <f t="shared" si="119"/>
        <v>94.645284352574123</v>
      </c>
    </row>
    <row r="164" spans="7:47" x14ac:dyDescent="0.25">
      <c r="G164">
        <v>155</v>
      </c>
      <c r="H164">
        <f t="shared" si="120"/>
        <v>4.6500000000000004</v>
      </c>
      <c r="I164" s="407">
        <f t="shared" si="97"/>
        <v>0.21463124999999997</v>
      </c>
      <c r="J164" s="408">
        <f t="shared" si="121"/>
        <v>1.8272660472972966</v>
      </c>
      <c r="K164" s="408">
        <f t="shared" si="132"/>
        <v>5.5636330236486486</v>
      </c>
      <c r="L164" s="408">
        <f t="shared" si="98"/>
        <v>3.7363669763513521</v>
      </c>
      <c r="M164" s="63">
        <f t="shared" si="122"/>
        <v>0</v>
      </c>
      <c r="N164" s="407">
        <f t="shared" si="99"/>
        <v>4.6798228350334439</v>
      </c>
      <c r="O164" s="407">
        <f t="shared" si="100"/>
        <v>0.11047147170629962</v>
      </c>
      <c r="P164">
        <f t="shared" si="123"/>
        <v>0.2</v>
      </c>
      <c r="Q164" s="407">
        <f t="shared" si="133"/>
        <v>0.31047147170629963</v>
      </c>
      <c r="R164" s="9">
        <f t="shared" si="101"/>
        <v>0.52748627214407884</v>
      </c>
      <c r="S164" s="9">
        <f t="shared" si="102"/>
        <v>2.7824176730045719E-3</v>
      </c>
      <c r="T164" s="9">
        <f t="shared" si="103"/>
        <v>2.7824176730045719E-3</v>
      </c>
      <c r="U164" s="407">
        <f t="shared" si="104"/>
        <v>2.1680829277135381</v>
      </c>
      <c r="V164" s="409">
        <f t="shared" si="105"/>
        <v>9.4011671628858144E-3</v>
      </c>
      <c r="W164" s="407">
        <f t="shared" si="106"/>
        <v>9.4011671628858144E-3</v>
      </c>
      <c r="X164" s="407">
        <f t="shared" si="107"/>
        <v>2.1680829277135381</v>
      </c>
      <c r="Y164" s="407">
        <f t="shared" si="108"/>
        <v>2.8203501488657443E-2</v>
      </c>
      <c r="Z164" s="407">
        <f t="shared" si="124"/>
        <v>0.1059726427300645</v>
      </c>
      <c r="AA164" s="407">
        <f t="shared" si="125"/>
        <v>0.14400000000000002</v>
      </c>
      <c r="AB164" s="407">
        <f t="shared" si="126"/>
        <v>0</v>
      </c>
      <c r="AC164" s="407">
        <f t="shared" si="109"/>
        <v>0.27975415355597683</v>
      </c>
      <c r="AD164" s="407">
        <f t="shared" si="110"/>
        <v>4.1473073416202899</v>
      </c>
      <c r="AE164" s="407">
        <f t="shared" si="111"/>
        <v>0.10320094911514534</v>
      </c>
      <c r="AF164" s="407">
        <f t="shared" si="127"/>
        <v>7.5330000000000008E-2</v>
      </c>
      <c r="AG164" s="407">
        <f t="shared" si="112"/>
        <v>0.18229352201300222</v>
      </c>
      <c r="AH164" s="407">
        <f t="shared" si="113"/>
        <v>0</v>
      </c>
      <c r="AI164">
        <f t="shared" si="128"/>
        <v>0</v>
      </c>
      <c r="AJ164" s="408">
        <f t="shared" si="129"/>
        <v>0.45307269</v>
      </c>
      <c r="AK164">
        <f t="shared" si="134"/>
        <v>4.8000000000000001E-2</v>
      </c>
      <c r="AL164" s="408">
        <f t="shared" si="130"/>
        <v>5.1750000000000004E-2</v>
      </c>
      <c r="AM164" s="408">
        <f t="shared" si="135"/>
        <v>0.13648893249607535</v>
      </c>
      <c r="AN164" s="408">
        <f t="shared" si="114"/>
        <v>9.9750000000000005E-2</v>
      </c>
      <c r="AO164" s="408">
        <f t="shared" si="115"/>
        <v>1.337525422111169</v>
      </c>
      <c r="AP164">
        <f t="shared" si="131"/>
        <v>23.715</v>
      </c>
      <c r="AQ164" s="10">
        <f t="shared" si="116"/>
        <v>0.94661115398247708</v>
      </c>
      <c r="AR164" s="63">
        <f t="shared" si="117"/>
        <v>13.987707677798841</v>
      </c>
      <c r="AS164" s="63">
        <f t="shared" si="118"/>
        <v>9.1146761006501116</v>
      </c>
      <c r="AT164" s="10"/>
      <c r="AU164">
        <f t="shared" si="119"/>
        <v>94.661115398247702</v>
      </c>
    </row>
    <row r="165" spans="7:47" x14ac:dyDescent="0.25">
      <c r="G165">
        <v>156</v>
      </c>
      <c r="H165">
        <f t="shared" si="120"/>
        <v>4.68</v>
      </c>
      <c r="I165" s="407">
        <f t="shared" si="97"/>
        <v>0.21464499999999997</v>
      </c>
      <c r="J165" s="408">
        <f t="shared" si="121"/>
        <v>1.8273831081081076</v>
      </c>
      <c r="K165" s="408">
        <f t="shared" si="132"/>
        <v>5.5936915540540539</v>
      </c>
      <c r="L165" s="408">
        <f t="shared" si="98"/>
        <v>3.7663084459459459</v>
      </c>
      <c r="M165" s="63">
        <f t="shared" si="122"/>
        <v>0</v>
      </c>
      <c r="N165" s="407">
        <f t="shared" si="99"/>
        <v>4.7096366546316393</v>
      </c>
      <c r="O165" s="407">
        <f t="shared" si="100"/>
        <v>0.11189616014628563</v>
      </c>
      <c r="P165">
        <f t="shared" si="123"/>
        <v>0.2</v>
      </c>
      <c r="Q165" s="407">
        <f t="shared" si="133"/>
        <v>0.31189616014628563</v>
      </c>
      <c r="R165" s="9">
        <f t="shared" si="101"/>
        <v>0.5275200646893955</v>
      </c>
      <c r="S165" s="9">
        <f t="shared" si="102"/>
        <v>2.7827741864990402E-3</v>
      </c>
      <c r="T165" s="9">
        <f t="shared" si="103"/>
        <v>2.7827741864990402E-3</v>
      </c>
      <c r="U165" s="407">
        <f t="shared" si="104"/>
        <v>2.1819650557527512</v>
      </c>
      <c r="V165" s="409">
        <f t="shared" si="105"/>
        <v>9.5219430090522136E-3</v>
      </c>
      <c r="W165" s="407">
        <f t="shared" si="106"/>
        <v>9.5219430090522136E-3</v>
      </c>
      <c r="X165" s="407">
        <f t="shared" si="107"/>
        <v>2.1819650557527512</v>
      </c>
      <c r="Y165" s="407">
        <f t="shared" si="108"/>
        <v>2.8565829027156642E-2</v>
      </c>
      <c r="Z165" s="407">
        <f t="shared" si="124"/>
        <v>0.10663939372002999</v>
      </c>
      <c r="AA165" s="407">
        <f t="shared" si="125"/>
        <v>0.14400000000000002</v>
      </c>
      <c r="AB165" s="407">
        <f t="shared" si="126"/>
        <v>0</v>
      </c>
      <c r="AC165" s="407">
        <f t="shared" si="109"/>
        <v>0.28080953417567828</v>
      </c>
      <c r="AD165" s="407">
        <f t="shared" si="110"/>
        <v>4.1736921201885258</v>
      </c>
      <c r="AE165" s="407">
        <f t="shared" si="111"/>
        <v>0.10451823548474276</v>
      </c>
      <c r="AF165" s="407">
        <f t="shared" si="127"/>
        <v>7.5815999999999995E-2</v>
      </c>
      <c r="AG165" s="407">
        <f t="shared" si="112"/>
        <v>0.18418436035436767</v>
      </c>
      <c r="AH165" s="407">
        <f t="shared" si="113"/>
        <v>0</v>
      </c>
      <c r="AI165">
        <f t="shared" si="128"/>
        <v>0</v>
      </c>
      <c r="AJ165" s="408">
        <f t="shared" si="129"/>
        <v>0.45306928800000001</v>
      </c>
      <c r="AK165">
        <f t="shared" si="134"/>
        <v>4.8000000000000001E-2</v>
      </c>
      <c r="AL165" s="408">
        <f t="shared" si="130"/>
        <v>5.1750000000000004E-2</v>
      </c>
      <c r="AM165" s="408">
        <f t="shared" si="135"/>
        <v>0.13648893249607535</v>
      </c>
      <c r="AN165" s="408">
        <f t="shared" si="114"/>
        <v>9.9750000000000005E-2</v>
      </c>
      <c r="AO165" s="408">
        <f t="shared" si="115"/>
        <v>1.3420140598718828</v>
      </c>
      <c r="AP165">
        <f t="shared" si="131"/>
        <v>23.867999999999999</v>
      </c>
      <c r="AQ165" s="10">
        <f t="shared" si="116"/>
        <v>0.94676662786919907</v>
      </c>
      <c r="AR165" s="63">
        <f t="shared" si="117"/>
        <v>14.040476708783913</v>
      </c>
      <c r="AS165" s="63">
        <f t="shared" si="118"/>
        <v>9.2092180177183831</v>
      </c>
      <c r="AT165" s="10"/>
      <c r="AU165">
        <f t="shared" si="119"/>
        <v>94.676662786919906</v>
      </c>
    </row>
    <row r="166" spans="7:47" x14ac:dyDescent="0.25">
      <c r="G166">
        <v>157</v>
      </c>
      <c r="H166">
        <f t="shared" si="120"/>
        <v>4.71</v>
      </c>
      <c r="I166" s="407">
        <f t="shared" si="97"/>
        <v>0.21465875000000001</v>
      </c>
      <c r="J166" s="408">
        <f t="shared" si="121"/>
        <v>1.8275001689189188</v>
      </c>
      <c r="K166" s="408">
        <f t="shared" si="132"/>
        <v>5.6237500844594592</v>
      </c>
      <c r="L166" s="408">
        <f t="shared" si="98"/>
        <v>3.7962499155405407</v>
      </c>
      <c r="M166" s="63">
        <f t="shared" si="122"/>
        <v>0</v>
      </c>
      <c r="N166" s="407">
        <f t="shared" si="99"/>
        <v>4.7394528241436502</v>
      </c>
      <c r="O166" s="407">
        <f t="shared" si="100"/>
        <v>0.11333033447606468</v>
      </c>
      <c r="P166">
        <f t="shared" si="123"/>
        <v>0.2</v>
      </c>
      <c r="Q166" s="407">
        <f t="shared" si="133"/>
        <v>0.31333033447606468</v>
      </c>
      <c r="R166" s="9">
        <f t="shared" si="101"/>
        <v>0.52755385723471215</v>
      </c>
      <c r="S166" s="9">
        <f t="shared" si="102"/>
        <v>2.7831307228322307E-3</v>
      </c>
      <c r="T166" s="9">
        <f t="shared" si="103"/>
        <v>2.7831307228322307E-3</v>
      </c>
      <c r="U166" s="407">
        <f t="shared" si="104"/>
        <v>2.1958491551288253</v>
      </c>
      <c r="V166" s="409">
        <f t="shared" si="105"/>
        <v>9.6435070241599526E-3</v>
      </c>
      <c r="W166" s="407">
        <f t="shared" si="106"/>
        <v>9.6435070241599526E-3</v>
      </c>
      <c r="X166" s="407">
        <f t="shared" si="107"/>
        <v>2.1958491551288253</v>
      </c>
      <c r="Y166" s="407">
        <f t="shared" si="108"/>
        <v>2.8930521072479856E-2</v>
      </c>
      <c r="Z166" s="407">
        <f t="shared" si="124"/>
        <v>0.10730614470999553</v>
      </c>
      <c r="AA166" s="407">
        <f t="shared" si="125"/>
        <v>0.14400000000000002</v>
      </c>
      <c r="AB166" s="407">
        <f t="shared" si="126"/>
        <v>0</v>
      </c>
      <c r="AC166" s="407">
        <f t="shared" si="109"/>
        <v>0.28186758098071774</v>
      </c>
      <c r="AD166" s="407">
        <f t="shared" si="110"/>
        <v>4.2000785183378708</v>
      </c>
      <c r="AE166" s="407">
        <f t="shared" si="111"/>
        <v>0.10584395736121946</v>
      </c>
      <c r="AF166" s="407">
        <f t="shared" si="127"/>
        <v>7.6301999999999995E-2</v>
      </c>
      <c r="AG166" s="407">
        <f t="shared" si="112"/>
        <v>0.18608515520789556</v>
      </c>
      <c r="AH166" s="407">
        <f t="shared" si="113"/>
        <v>0</v>
      </c>
      <c r="AI166">
        <f t="shared" si="128"/>
        <v>0</v>
      </c>
      <c r="AJ166" s="408">
        <f t="shared" si="129"/>
        <v>0.45306588600000003</v>
      </c>
      <c r="AK166">
        <f t="shared" si="134"/>
        <v>4.8000000000000001E-2</v>
      </c>
      <c r="AL166" s="408">
        <f t="shared" si="130"/>
        <v>5.1750000000000004E-2</v>
      </c>
      <c r="AM166" s="408">
        <f t="shared" si="135"/>
        <v>0.13648893249607535</v>
      </c>
      <c r="AN166" s="408">
        <f t="shared" si="114"/>
        <v>9.9750000000000005E-2</v>
      </c>
      <c r="AO166" s="408">
        <f t="shared" si="115"/>
        <v>1.3465255944116701</v>
      </c>
      <c r="AP166">
        <f t="shared" si="131"/>
        <v>24.020999999999997</v>
      </c>
      <c r="AQ166" s="10">
        <f t="shared" si="116"/>
        <v>0.94691931661208995</v>
      </c>
      <c r="AR166" s="63">
        <f t="shared" si="117"/>
        <v>14.093379049035887</v>
      </c>
      <c r="AS166" s="63">
        <f t="shared" si="118"/>
        <v>9.304257760394778</v>
      </c>
      <c r="AT166" s="10"/>
      <c r="AU166">
        <f t="shared" si="119"/>
        <v>94.691931661208997</v>
      </c>
    </row>
    <row r="167" spans="7:47" x14ac:dyDescent="0.25">
      <c r="G167">
        <v>158</v>
      </c>
      <c r="H167">
        <f t="shared" si="120"/>
        <v>4.74</v>
      </c>
      <c r="I167" s="407">
        <f t="shared" si="97"/>
        <v>0.21467249999999996</v>
      </c>
      <c r="J167" s="408">
        <f t="shared" si="121"/>
        <v>1.8276172297297291</v>
      </c>
      <c r="K167" s="408">
        <f t="shared" si="132"/>
        <v>5.6538086148648645</v>
      </c>
      <c r="L167" s="408">
        <f t="shared" si="98"/>
        <v>3.8261913851351359</v>
      </c>
      <c r="M167" s="63">
        <f t="shared" si="122"/>
        <v>0</v>
      </c>
      <c r="N167" s="407">
        <f t="shared" si="99"/>
        <v>4.7692712994964346</v>
      </c>
      <c r="O167" s="407">
        <f t="shared" si="100"/>
        <v>0.11477400105836363</v>
      </c>
      <c r="P167">
        <f t="shared" si="123"/>
        <v>0.2</v>
      </c>
      <c r="Q167" s="407">
        <f t="shared" si="133"/>
        <v>0.31477400105836362</v>
      </c>
      <c r="R167" s="9">
        <f t="shared" si="101"/>
        <v>0.52758764978002859</v>
      </c>
      <c r="S167" s="9">
        <f t="shared" si="102"/>
        <v>2.7834872820041412E-3</v>
      </c>
      <c r="T167" s="9">
        <f t="shared" si="103"/>
        <v>2.7834872820041412E-3</v>
      </c>
      <c r="U167" s="407">
        <f t="shared" si="104"/>
        <v>2.209735205483816</v>
      </c>
      <c r="V167" s="409">
        <f t="shared" si="105"/>
        <v>9.7658593567092056E-3</v>
      </c>
      <c r="W167" s="407">
        <f t="shared" si="106"/>
        <v>9.7658593567092056E-3</v>
      </c>
      <c r="X167" s="407">
        <f t="shared" si="107"/>
        <v>2.209735205483816</v>
      </c>
      <c r="Y167" s="407">
        <f t="shared" si="108"/>
        <v>2.9297578070127617E-2</v>
      </c>
      <c r="Z167" s="407">
        <f t="shared" si="124"/>
        <v>0.10797289569996105</v>
      </c>
      <c r="AA167" s="407">
        <f t="shared" si="125"/>
        <v>0.14400000000000002</v>
      </c>
      <c r="AB167" s="407">
        <f t="shared" si="126"/>
        <v>0</v>
      </c>
      <c r="AC167" s="407">
        <f t="shared" si="109"/>
        <v>0.28292829654132218</v>
      </c>
      <c r="AD167" s="407">
        <f t="shared" si="110"/>
        <v>4.2264664969505921</v>
      </c>
      <c r="AE167" s="407">
        <f t="shared" si="111"/>
        <v>0.10717811429907487</v>
      </c>
      <c r="AF167" s="407">
        <f t="shared" si="127"/>
        <v>7.6787999999999995E-2</v>
      </c>
      <c r="AG167" s="407">
        <f t="shared" si="112"/>
        <v>0.18799592402567158</v>
      </c>
      <c r="AH167" s="407">
        <f t="shared" si="113"/>
        <v>0</v>
      </c>
      <c r="AI167">
        <f t="shared" si="128"/>
        <v>0</v>
      </c>
      <c r="AJ167" s="408">
        <f t="shared" si="129"/>
        <v>0.45306248399999999</v>
      </c>
      <c r="AK167">
        <f t="shared" si="134"/>
        <v>4.8000000000000001E-2</v>
      </c>
      <c r="AL167" s="408">
        <f t="shared" si="130"/>
        <v>5.1750000000000004E-2</v>
      </c>
      <c r="AM167" s="408">
        <f t="shared" si="135"/>
        <v>0.13648893249607535</v>
      </c>
      <c r="AN167" s="408">
        <f t="shared" si="114"/>
        <v>9.9750000000000005E-2</v>
      </c>
      <c r="AO167" s="408">
        <f t="shared" si="115"/>
        <v>1.3510600522640708</v>
      </c>
      <c r="AP167">
        <f t="shared" si="131"/>
        <v>24.173999999999999</v>
      </c>
      <c r="AQ167" s="10">
        <f t="shared" si="116"/>
        <v>0.94706927037594835</v>
      </c>
      <c r="AR167" s="63">
        <f t="shared" si="117"/>
        <v>14.146414827066108</v>
      </c>
      <c r="AS167" s="63">
        <f t="shared" si="118"/>
        <v>9.3997962012835785</v>
      </c>
      <c r="AT167" s="10"/>
      <c r="AU167">
        <f t="shared" si="119"/>
        <v>94.706927037594838</v>
      </c>
    </row>
    <row r="168" spans="7:47" x14ac:dyDescent="0.25">
      <c r="G168">
        <v>159</v>
      </c>
      <c r="H168">
        <f t="shared" si="120"/>
        <v>4.7700000000000005</v>
      </c>
      <c r="I168" s="407">
        <f t="shared" si="97"/>
        <v>0.21468625</v>
      </c>
      <c r="J168" s="408">
        <f t="shared" si="121"/>
        <v>1.8277342905405403</v>
      </c>
      <c r="K168" s="408">
        <f t="shared" si="132"/>
        <v>5.6838671452702707</v>
      </c>
      <c r="L168" s="408">
        <f t="shared" si="98"/>
        <v>3.8561328547297302</v>
      </c>
      <c r="M168" s="63">
        <f t="shared" si="122"/>
        <v>0</v>
      </c>
      <c r="N168" s="407">
        <f t="shared" si="99"/>
        <v>4.7990920377089541</v>
      </c>
      <c r="O168" s="407">
        <f t="shared" si="100"/>
        <v>0.11622716630020162</v>
      </c>
      <c r="P168">
        <f t="shared" si="123"/>
        <v>0.2</v>
      </c>
      <c r="Q168" s="407">
        <f t="shared" si="133"/>
        <v>0.31622716630020165</v>
      </c>
      <c r="R168" s="9">
        <f t="shared" si="101"/>
        <v>0.52762144232534536</v>
      </c>
      <c r="S168" s="9">
        <f t="shared" si="102"/>
        <v>2.7838438640147771E-3</v>
      </c>
      <c r="T168" s="9">
        <f t="shared" si="103"/>
        <v>2.7838438640147771E-3</v>
      </c>
      <c r="U168" s="407">
        <f t="shared" si="104"/>
        <v>2.2236231869631342</v>
      </c>
      <c r="V168" s="409">
        <f t="shared" si="105"/>
        <v>9.8890001552001724E-3</v>
      </c>
      <c r="W168" s="407">
        <f t="shared" si="106"/>
        <v>9.8890001552001724E-3</v>
      </c>
      <c r="X168" s="407">
        <f t="shared" si="107"/>
        <v>2.2236231869631342</v>
      </c>
      <c r="Y168" s="407">
        <f t="shared" si="108"/>
        <v>2.9667000465600515E-2</v>
      </c>
      <c r="Z168" s="407">
        <f t="shared" si="124"/>
        <v>0.10863964668992658</v>
      </c>
      <c r="AA168" s="407">
        <f t="shared" si="125"/>
        <v>0.14400000000000002</v>
      </c>
      <c r="AB168" s="407">
        <f t="shared" si="126"/>
        <v>0</v>
      </c>
      <c r="AC168" s="407">
        <f t="shared" si="109"/>
        <v>0.28399168343647446</v>
      </c>
      <c r="AD168" s="407">
        <f t="shared" si="110"/>
        <v>4.2528560178780328</v>
      </c>
      <c r="AE168" s="407">
        <f t="shared" si="111"/>
        <v>0.10852070585280839</v>
      </c>
      <c r="AF168" s="407">
        <f t="shared" si="127"/>
        <v>7.7274000000000009E-2</v>
      </c>
      <c r="AG168" s="407">
        <f t="shared" si="112"/>
        <v>0.18991668438126436</v>
      </c>
      <c r="AH168" s="407">
        <f t="shared" si="113"/>
        <v>0</v>
      </c>
      <c r="AI168">
        <f t="shared" si="128"/>
        <v>0</v>
      </c>
      <c r="AJ168" s="408">
        <f t="shared" si="129"/>
        <v>0.453059082</v>
      </c>
      <c r="AK168">
        <f t="shared" si="134"/>
        <v>4.8000000000000001E-2</v>
      </c>
      <c r="AL168" s="408">
        <f t="shared" si="130"/>
        <v>5.1750000000000004E-2</v>
      </c>
      <c r="AM168" s="408">
        <f t="shared" si="135"/>
        <v>0.13648893249607535</v>
      </c>
      <c r="AN168" s="408">
        <f t="shared" si="114"/>
        <v>9.9750000000000005E-2</v>
      </c>
      <c r="AO168" s="408">
        <f t="shared" si="115"/>
        <v>1.3556174601371553</v>
      </c>
      <c r="AP168">
        <f t="shared" si="131"/>
        <v>24.327000000000002</v>
      </c>
      <c r="AQ168" s="10">
        <f t="shared" si="116"/>
        <v>0.94721653810242457</v>
      </c>
      <c r="AR168" s="63">
        <f t="shared" si="117"/>
        <v>14.199584171823723</v>
      </c>
      <c r="AS168" s="63">
        <f t="shared" si="118"/>
        <v>9.4958342190632177</v>
      </c>
      <c r="AT168" s="10"/>
      <c r="AU168">
        <f t="shared" si="119"/>
        <v>94.721653810242458</v>
      </c>
    </row>
    <row r="169" spans="7:47" x14ac:dyDescent="0.25">
      <c r="G169">
        <v>160</v>
      </c>
      <c r="H169">
        <f t="shared" si="120"/>
        <v>4.8000000000000007</v>
      </c>
      <c r="I169" s="407">
        <f t="shared" si="97"/>
        <v>0.2147</v>
      </c>
      <c r="J169" s="408">
        <f t="shared" si="121"/>
        <v>1.8278513513513512</v>
      </c>
      <c r="K169" s="408">
        <f t="shared" si="132"/>
        <v>5.713925675675676</v>
      </c>
      <c r="L169" s="408">
        <f t="shared" si="98"/>
        <v>3.886074324324325</v>
      </c>
      <c r="M169" s="63">
        <f t="shared" si="122"/>
        <v>0</v>
      </c>
      <c r="N169" s="407">
        <f t="shared" si="99"/>
        <v>4.8289149968586544</v>
      </c>
      <c r="O169" s="407">
        <f t="shared" si="100"/>
        <v>0.11768983665296139</v>
      </c>
      <c r="P169">
        <f t="shared" si="123"/>
        <v>0.2</v>
      </c>
      <c r="Q169" s="407">
        <f t="shared" si="133"/>
        <v>0.31768983665296141</v>
      </c>
      <c r="R169" s="9">
        <f t="shared" si="101"/>
        <v>0.52765523487066202</v>
      </c>
      <c r="S169" s="9">
        <f t="shared" si="102"/>
        <v>2.7842004688641347E-3</v>
      </c>
      <c r="T169" s="9">
        <f t="shared" si="103"/>
        <v>2.7842004688641347E-3</v>
      </c>
      <c r="U169" s="407">
        <f t="shared" si="104"/>
        <v>2.2375130802000944</v>
      </c>
      <c r="V169" s="409">
        <f t="shared" si="105"/>
        <v>1.0012929568133029E-2</v>
      </c>
      <c r="W169" s="407">
        <f t="shared" si="106"/>
        <v>1.0012929568133029E-2</v>
      </c>
      <c r="X169" s="407">
        <f t="shared" si="107"/>
        <v>2.2375130802000944</v>
      </c>
      <c r="Y169" s="407">
        <f t="shared" si="108"/>
        <v>3.0038788704399084E-2</v>
      </c>
      <c r="Z169" s="407">
        <f t="shared" si="124"/>
        <v>0.10930639767989209</v>
      </c>
      <c r="AA169" s="407">
        <f t="shared" si="125"/>
        <v>0.14400000000000002</v>
      </c>
      <c r="AB169" s="407">
        <f t="shared" si="126"/>
        <v>0</v>
      </c>
      <c r="AC169" s="407">
        <f t="shared" si="109"/>
        <v>0.28505774425393049</v>
      </c>
      <c r="AD169" s="407">
        <f t="shared" si="110"/>
        <v>4.2792470439108685</v>
      </c>
      <c r="AE169" s="407">
        <f t="shared" si="111"/>
        <v>0.10987173157691944</v>
      </c>
      <c r="AF169" s="407">
        <f t="shared" si="127"/>
        <v>7.776000000000001E-2</v>
      </c>
      <c r="AG169" s="407">
        <f t="shared" si="112"/>
        <v>0.19184745397018496</v>
      </c>
      <c r="AH169" s="407">
        <f t="shared" si="113"/>
        <v>0</v>
      </c>
      <c r="AI169">
        <f t="shared" si="128"/>
        <v>0</v>
      </c>
      <c r="AJ169" s="408">
        <f t="shared" si="129"/>
        <v>0.45305568000000002</v>
      </c>
      <c r="AK169">
        <f t="shared" si="134"/>
        <v>4.8000000000000001E-2</v>
      </c>
      <c r="AL169" s="408">
        <f t="shared" si="130"/>
        <v>5.1750000000000004E-2</v>
      </c>
      <c r="AM169" s="408">
        <f t="shared" si="135"/>
        <v>0.13648893249607535</v>
      </c>
      <c r="AN169" s="408">
        <f t="shared" si="114"/>
        <v>9.9750000000000005E-2</v>
      </c>
      <c r="AO169" s="408">
        <f t="shared" si="115"/>
        <v>1.3601978449140739</v>
      </c>
      <c r="AP169">
        <f t="shared" si="131"/>
        <v>24.48</v>
      </c>
      <c r="AQ169" s="10">
        <f t="shared" si="116"/>
        <v>0.94736116754687349</v>
      </c>
      <c r="AR169" s="63">
        <f t="shared" si="117"/>
        <v>14.252887212696525</v>
      </c>
      <c r="AS169" s="63">
        <f t="shared" si="118"/>
        <v>9.5923726985092479</v>
      </c>
      <c r="AT169" s="10"/>
      <c r="AU169">
        <f t="shared" si="119"/>
        <v>94.736116754687345</v>
      </c>
    </row>
    <row r="170" spans="7:47" x14ac:dyDescent="0.25">
      <c r="G170">
        <v>161</v>
      </c>
      <c r="H170">
        <f t="shared" si="120"/>
        <v>4.83</v>
      </c>
      <c r="I170" s="407">
        <f t="shared" si="97"/>
        <v>0.21471374999999995</v>
      </c>
      <c r="J170" s="408">
        <f t="shared" si="121"/>
        <v>1.8279684121621613</v>
      </c>
      <c r="K170" s="408">
        <f t="shared" si="132"/>
        <v>5.7439842060810804</v>
      </c>
      <c r="L170" s="408">
        <f t="shared" si="98"/>
        <v>3.9160157939189193</v>
      </c>
      <c r="M170" s="63">
        <f t="shared" si="122"/>
        <v>0</v>
      </c>
      <c r="N170" s="407">
        <f t="shared" si="99"/>
        <v>4.8587401360491818</v>
      </c>
      <c r="O170" s="407">
        <f t="shared" si="100"/>
        <v>0.11916201861246208</v>
      </c>
      <c r="P170">
        <f t="shared" si="123"/>
        <v>0.2</v>
      </c>
      <c r="Q170" s="407">
        <f t="shared" si="133"/>
        <v>0.31916201861246207</v>
      </c>
      <c r="R170" s="9">
        <f t="shared" si="101"/>
        <v>0.52768902741597834</v>
      </c>
      <c r="S170" s="9">
        <f t="shared" si="102"/>
        <v>2.7845570965522115E-3</v>
      </c>
      <c r="T170" s="9">
        <f t="shared" si="103"/>
        <v>2.7845570965522115E-3</v>
      </c>
      <c r="U170" s="407">
        <f t="shared" si="104"/>
        <v>2.2514048663010353</v>
      </c>
      <c r="V170" s="409">
        <f t="shared" si="105"/>
        <v>1.0137647744007966E-2</v>
      </c>
      <c r="W170" s="407">
        <f t="shared" si="106"/>
        <v>1.0137647744007966E-2</v>
      </c>
      <c r="X170" s="407">
        <f t="shared" si="107"/>
        <v>2.2514048663010353</v>
      </c>
      <c r="Y170" s="407">
        <f t="shared" si="108"/>
        <v>3.0412943232023898E-2</v>
      </c>
      <c r="Z170" s="407">
        <f t="shared" si="124"/>
        <v>0.10997314866985756</v>
      </c>
      <c r="AA170" s="407">
        <f t="shared" si="125"/>
        <v>0.14400000000000002</v>
      </c>
      <c r="AB170" s="407">
        <f t="shared" si="126"/>
        <v>0</v>
      </c>
      <c r="AC170" s="407">
        <f t="shared" si="109"/>
        <v>0.28612648159023801</v>
      </c>
      <c r="AD170" s="407">
        <f t="shared" si="110"/>
        <v>4.305639538750456</v>
      </c>
      <c r="AE170" s="407">
        <f t="shared" si="111"/>
        <v>0.11123119102590744</v>
      </c>
      <c r="AF170" s="407">
        <f t="shared" si="127"/>
        <v>7.8245999999999996E-2</v>
      </c>
      <c r="AG170" s="407">
        <f t="shared" si="112"/>
        <v>0.19378825061035068</v>
      </c>
      <c r="AH170" s="407">
        <f t="shared" si="113"/>
        <v>0</v>
      </c>
      <c r="AI170">
        <f t="shared" si="128"/>
        <v>0</v>
      </c>
      <c r="AJ170" s="408">
        <f t="shared" si="129"/>
        <v>0.45305227799999997</v>
      </c>
      <c r="AK170">
        <f t="shared" si="134"/>
        <v>4.8000000000000001E-2</v>
      </c>
      <c r="AL170" s="408">
        <f t="shared" si="130"/>
        <v>5.1750000000000004E-2</v>
      </c>
      <c r="AM170" s="408">
        <f t="shared" si="135"/>
        <v>0.13648893249607535</v>
      </c>
      <c r="AN170" s="408">
        <f t="shared" si="114"/>
        <v>9.9750000000000005E-2</v>
      </c>
      <c r="AO170" s="408">
        <f t="shared" si="115"/>
        <v>1.3648012336536111</v>
      </c>
      <c r="AP170">
        <f t="shared" si="131"/>
        <v>24.632999999999999</v>
      </c>
      <c r="AQ170" s="10">
        <f t="shared" si="116"/>
        <v>0.94750320531388221</v>
      </c>
      <c r="AR170" s="63">
        <f t="shared" si="117"/>
        <v>14.306324079511901</v>
      </c>
      <c r="AS170" s="63">
        <f t="shared" si="118"/>
        <v>9.6894125305175347</v>
      </c>
      <c r="AT170" s="10"/>
      <c r="AU170">
        <f t="shared" si="119"/>
        <v>94.750320531388226</v>
      </c>
    </row>
    <row r="171" spans="7:47" x14ac:dyDescent="0.25">
      <c r="G171">
        <v>162</v>
      </c>
      <c r="H171">
        <f t="shared" si="120"/>
        <v>4.8600000000000003</v>
      </c>
      <c r="I171" s="407">
        <f t="shared" si="97"/>
        <v>0.21472749999999999</v>
      </c>
      <c r="J171" s="408">
        <f t="shared" si="121"/>
        <v>1.8280854729729727</v>
      </c>
      <c r="K171" s="408">
        <f t="shared" si="132"/>
        <v>5.7740427364864866</v>
      </c>
      <c r="L171" s="408">
        <f t="shared" si="98"/>
        <v>3.9459572635135141</v>
      </c>
      <c r="M171" s="63">
        <f t="shared" si="122"/>
        <v>0</v>
      </c>
      <c r="N171" s="407">
        <f t="shared" si="99"/>
        <v>4.8885674153792644</v>
      </c>
      <c r="O171" s="407">
        <f t="shared" si="100"/>
        <v>0.1206437187190323</v>
      </c>
      <c r="P171">
        <f t="shared" si="123"/>
        <v>0.2</v>
      </c>
      <c r="Q171" s="407">
        <f t="shared" si="133"/>
        <v>0.3206437187190323</v>
      </c>
      <c r="R171" s="9">
        <f t="shared" si="101"/>
        <v>0.52772281996129511</v>
      </c>
      <c r="S171" s="9">
        <f t="shared" si="102"/>
        <v>2.7849137470790149E-3</v>
      </c>
      <c r="T171" s="9">
        <f t="shared" si="103"/>
        <v>2.7849137470790149E-3</v>
      </c>
      <c r="U171" s="407">
        <f t="shared" si="104"/>
        <v>2.2652985268309762</v>
      </c>
      <c r="V171" s="409">
        <f t="shared" si="105"/>
        <v>1.0263154831325181E-2</v>
      </c>
      <c r="W171" s="407">
        <f t="shared" si="106"/>
        <v>1.0263154831325181E-2</v>
      </c>
      <c r="X171" s="407">
        <f t="shared" si="107"/>
        <v>2.2652985268309762</v>
      </c>
      <c r="Y171" s="407">
        <f t="shared" si="108"/>
        <v>3.0789464493975544E-2</v>
      </c>
      <c r="Z171" s="407">
        <f t="shared" si="124"/>
        <v>0.11063989965982311</v>
      </c>
      <c r="AA171" s="407">
        <f t="shared" si="125"/>
        <v>0.14400000000000002</v>
      </c>
      <c r="AB171" s="407">
        <f t="shared" si="126"/>
        <v>0</v>
      </c>
      <c r="AC171" s="407">
        <f t="shared" si="109"/>
        <v>0.28719789805075435</v>
      </c>
      <c r="AD171" s="407">
        <f t="shared" si="110"/>
        <v>4.3320334669812182</v>
      </c>
      <c r="AE171" s="407">
        <f t="shared" si="111"/>
        <v>0.11259908375427187</v>
      </c>
      <c r="AF171" s="407">
        <f t="shared" si="127"/>
        <v>7.8731999999999996E-2</v>
      </c>
      <c r="AG171" s="407">
        <f t="shared" si="112"/>
        <v>0.19573909224255273</v>
      </c>
      <c r="AH171" s="407">
        <f t="shared" si="113"/>
        <v>0</v>
      </c>
      <c r="AI171">
        <f t="shared" si="128"/>
        <v>0</v>
      </c>
      <c r="AJ171" s="408">
        <f t="shared" si="129"/>
        <v>0.45304887599999999</v>
      </c>
      <c r="AK171">
        <f t="shared" si="134"/>
        <v>4.8000000000000001E-2</v>
      </c>
      <c r="AL171" s="408">
        <f t="shared" si="130"/>
        <v>5.1750000000000004E-2</v>
      </c>
      <c r="AM171" s="408">
        <f t="shared" si="135"/>
        <v>0.13648893249607535</v>
      </c>
      <c r="AN171" s="408">
        <f t="shared" si="114"/>
        <v>9.9750000000000005E-2</v>
      </c>
      <c r="AO171" s="408">
        <f t="shared" si="115"/>
        <v>1.3694276535907437</v>
      </c>
      <c r="AP171">
        <f t="shared" si="131"/>
        <v>24.786000000000001</v>
      </c>
      <c r="AQ171" s="10">
        <f t="shared" si="116"/>
        <v>0.94764269689152869</v>
      </c>
      <c r="AR171" s="63">
        <f t="shared" si="117"/>
        <v>14.359894902537718</v>
      </c>
      <c r="AS171" s="63">
        <f t="shared" si="118"/>
        <v>9.7869546121276372</v>
      </c>
      <c r="AT171" s="10"/>
      <c r="AU171">
        <f t="shared" si="119"/>
        <v>94.764269689152869</v>
      </c>
    </row>
    <row r="172" spans="7:47" x14ac:dyDescent="0.25">
      <c r="G172">
        <v>163</v>
      </c>
      <c r="H172">
        <f t="shared" si="120"/>
        <v>4.8899999999999997</v>
      </c>
      <c r="I172" s="407">
        <f t="shared" si="97"/>
        <v>0.21474124999999999</v>
      </c>
      <c r="J172" s="408">
        <f t="shared" si="121"/>
        <v>1.8282025337837835</v>
      </c>
      <c r="K172" s="408">
        <f t="shared" si="132"/>
        <v>5.804101266891891</v>
      </c>
      <c r="L172" s="408">
        <f t="shared" si="98"/>
        <v>3.9758987331081079</v>
      </c>
      <c r="M172" s="63">
        <f t="shared" si="122"/>
        <v>0</v>
      </c>
      <c r="N172" s="407">
        <f t="shared" si="99"/>
        <v>4.9183967959127139</v>
      </c>
      <c r="O172" s="407">
        <f t="shared" si="100"/>
        <v>0.12213494355758332</v>
      </c>
      <c r="P172">
        <f t="shared" si="123"/>
        <v>0.2</v>
      </c>
      <c r="Q172" s="407">
        <f t="shared" si="133"/>
        <v>0.32213494355758332</v>
      </c>
      <c r="R172" s="9">
        <f t="shared" si="101"/>
        <v>0.52775661250661166</v>
      </c>
      <c r="S172" s="9">
        <f t="shared" si="102"/>
        <v>2.7852704204445384E-3</v>
      </c>
      <c r="T172" s="9">
        <f t="shared" si="103"/>
        <v>2.7852704204445384E-3</v>
      </c>
      <c r="U172" s="407">
        <f t="shared" si="104"/>
        <v>2.2791940437997877</v>
      </c>
      <c r="V172" s="409">
        <f t="shared" si="105"/>
        <v>1.0389450978584859E-2</v>
      </c>
      <c r="W172" s="407">
        <f t="shared" si="106"/>
        <v>1.0389450978584859E-2</v>
      </c>
      <c r="X172" s="407">
        <f t="shared" si="107"/>
        <v>2.2791940437997877</v>
      </c>
      <c r="Y172" s="407">
        <f t="shared" si="108"/>
        <v>3.1168352935754574E-2</v>
      </c>
      <c r="Z172" s="407">
        <f t="shared" si="124"/>
        <v>0.11130665064978859</v>
      </c>
      <c r="AA172" s="407">
        <f t="shared" si="125"/>
        <v>0.14400000000000002</v>
      </c>
      <c r="AB172" s="407">
        <f t="shared" si="126"/>
        <v>0</v>
      </c>
      <c r="AC172" s="407">
        <f t="shared" si="109"/>
        <v>0.28827199624966404</v>
      </c>
      <c r="AD172" s="407">
        <f t="shared" si="110"/>
        <v>4.3584287940440216</v>
      </c>
      <c r="AE172" s="407">
        <f t="shared" si="111"/>
        <v>0.11397540931651215</v>
      </c>
      <c r="AF172" s="407">
        <f t="shared" si="127"/>
        <v>7.9217999999999997E-2</v>
      </c>
      <c r="AG172" s="407">
        <f t="shared" si="112"/>
        <v>0.19769999693092727</v>
      </c>
      <c r="AH172" s="407">
        <f t="shared" si="113"/>
        <v>0</v>
      </c>
      <c r="AI172">
        <f t="shared" si="128"/>
        <v>0</v>
      </c>
      <c r="AJ172" s="408">
        <f t="shared" si="129"/>
        <v>0.453045474</v>
      </c>
      <c r="AK172">
        <f t="shared" si="134"/>
        <v>4.8000000000000001E-2</v>
      </c>
      <c r="AL172" s="408">
        <f t="shared" si="130"/>
        <v>5.1750000000000004E-2</v>
      </c>
      <c r="AM172" s="408">
        <f t="shared" si="135"/>
        <v>0.13648893249607535</v>
      </c>
      <c r="AN172" s="408">
        <f t="shared" si="114"/>
        <v>9.9750000000000005E-2</v>
      </c>
      <c r="AO172" s="408">
        <f t="shared" si="115"/>
        <v>1.3740771321372041</v>
      </c>
      <c r="AP172">
        <f t="shared" si="131"/>
        <v>24.938999999999997</v>
      </c>
      <c r="AQ172" s="10">
        <f t="shared" si="116"/>
        <v>0.94777968668442081</v>
      </c>
      <c r="AR172" s="63">
        <f t="shared" si="117"/>
        <v>14.413599812483202</v>
      </c>
      <c r="AS172" s="63">
        <f t="shared" si="118"/>
        <v>9.8849998465463642</v>
      </c>
      <c r="AT172" s="10"/>
      <c r="AU172">
        <f t="shared" si="119"/>
        <v>94.777968668442085</v>
      </c>
    </row>
    <row r="173" spans="7:47" x14ac:dyDescent="0.25">
      <c r="G173">
        <v>164</v>
      </c>
      <c r="H173">
        <f t="shared" si="120"/>
        <v>4.92</v>
      </c>
      <c r="I173" s="407">
        <f t="shared" si="97"/>
        <v>0.214755</v>
      </c>
      <c r="J173" s="408">
        <f t="shared" si="121"/>
        <v>1.8283195945945945</v>
      </c>
      <c r="K173" s="408">
        <f t="shared" si="132"/>
        <v>5.8341597972972972</v>
      </c>
      <c r="L173" s="408">
        <f t="shared" si="98"/>
        <v>4.0058402027027027</v>
      </c>
      <c r="M173" s="63">
        <f t="shared" si="122"/>
        <v>0</v>
      </c>
      <c r="N173" s="407">
        <f t="shared" si="99"/>
        <v>4.9482282396495085</v>
      </c>
      <c r="O173" s="407">
        <f t="shared" si="100"/>
        <v>0.12363569975768336</v>
      </c>
      <c r="P173">
        <f t="shared" si="123"/>
        <v>0.2</v>
      </c>
      <c r="Q173" s="407">
        <f t="shared" si="133"/>
        <v>0.32363569975768336</v>
      </c>
      <c r="R173" s="9">
        <f t="shared" si="101"/>
        <v>0.52779040505192831</v>
      </c>
      <c r="S173" s="9">
        <f t="shared" si="102"/>
        <v>2.7856271166487858E-3</v>
      </c>
      <c r="T173" s="9">
        <f t="shared" si="103"/>
        <v>2.7856271166487858E-3</v>
      </c>
      <c r="U173" s="407">
        <f t="shared" si="104"/>
        <v>2.2930913996488651</v>
      </c>
      <c r="V173" s="409">
        <f t="shared" si="105"/>
        <v>1.0516536334287183E-2</v>
      </c>
      <c r="W173" s="407">
        <f t="shared" si="106"/>
        <v>1.0516536334287183E-2</v>
      </c>
      <c r="X173" s="407">
        <f t="shared" si="107"/>
        <v>2.2930913996488651</v>
      </c>
      <c r="Y173" s="407">
        <f t="shared" si="108"/>
        <v>3.1549609002861551E-2</v>
      </c>
      <c r="Z173" s="407">
        <f t="shared" si="124"/>
        <v>0.11197340163975412</v>
      </c>
      <c r="AA173" s="407">
        <f t="shared" si="125"/>
        <v>0.14400000000000002</v>
      </c>
      <c r="AB173" s="407">
        <f t="shared" si="126"/>
        <v>0</v>
      </c>
      <c r="AC173" s="407">
        <f t="shared" si="109"/>
        <v>0.28934877880999782</v>
      </c>
      <c r="AD173" s="407">
        <f t="shared" si="110"/>
        <v>4.3848254862105156</v>
      </c>
      <c r="AE173" s="407">
        <f t="shared" si="111"/>
        <v>0.11536016726712771</v>
      </c>
      <c r="AF173" s="407">
        <f t="shared" si="127"/>
        <v>7.9703999999999997E-2</v>
      </c>
      <c r="AG173" s="407">
        <f t="shared" si="112"/>
        <v>0.19967098286343116</v>
      </c>
      <c r="AH173" s="407">
        <f t="shared" si="113"/>
        <v>0</v>
      </c>
      <c r="AI173">
        <f t="shared" si="128"/>
        <v>0</v>
      </c>
      <c r="AJ173" s="408">
        <f t="shared" si="129"/>
        <v>0.45304207199999996</v>
      </c>
      <c r="AK173">
        <f t="shared" si="134"/>
        <v>4.8000000000000001E-2</v>
      </c>
      <c r="AL173" s="408">
        <f t="shared" si="130"/>
        <v>5.1750000000000004E-2</v>
      </c>
      <c r="AM173" s="408">
        <f t="shared" si="135"/>
        <v>0.13648893249607535</v>
      </c>
      <c r="AN173" s="408">
        <f t="shared" si="114"/>
        <v>9.9750000000000005E-2</v>
      </c>
      <c r="AO173" s="408">
        <f t="shared" si="115"/>
        <v>1.3787496968820481</v>
      </c>
      <c r="AP173">
        <f t="shared" si="131"/>
        <v>25.091999999999999</v>
      </c>
      <c r="AQ173" s="10">
        <f t="shared" si="116"/>
        <v>0.94791421804557174</v>
      </c>
      <c r="AR173" s="63">
        <f t="shared" si="117"/>
        <v>14.467438940499891</v>
      </c>
      <c r="AS173" s="63">
        <f t="shared" si="118"/>
        <v>9.9835491431715582</v>
      </c>
      <c r="AT173" s="10"/>
      <c r="AU173">
        <f t="shared" si="119"/>
        <v>94.791421804557174</v>
      </c>
    </row>
    <row r="174" spans="7:47" x14ac:dyDescent="0.25">
      <c r="G174">
        <v>165</v>
      </c>
      <c r="H174">
        <f t="shared" si="120"/>
        <v>4.9499999999999993</v>
      </c>
      <c r="I174" s="407">
        <f t="shared" ref="I174:I209" si="136">(Vout+Rdcr*H174+RdsonBot*H174)/(Vin-RdsonTop*H174+RdsonBot*H174)</f>
        <v>0.21476874999999998</v>
      </c>
      <c r="J174" s="408">
        <f t="shared" si="121"/>
        <v>1.828436655405405</v>
      </c>
      <c r="K174" s="408">
        <f t="shared" si="132"/>
        <v>5.8642183277027016</v>
      </c>
      <c r="L174" s="408">
        <f t="shared" ref="L174:L209" si="137">H174-J174/2</f>
        <v>4.035781672297297</v>
      </c>
      <c r="M174" s="63">
        <f t="shared" si="122"/>
        <v>0</v>
      </c>
      <c r="N174" s="407">
        <f t="shared" ref="N174:N209" si="138">SQRT(H174^2+(J174^2)/12)</f>
        <v>4.9780617094979016</v>
      </c>
      <c r="O174" s="407">
        <f t="shared" ref="O174:O209" si="139">(N174^2*Rdcr*(1+Ltc*Ta-Ltc*25))/(1-N174^2*Rdcr*Ltc*ThetaCa)</f>
        <v>0.12514599399363216</v>
      </c>
      <c r="P174">
        <f t="shared" si="123"/>
        <v>0.2</v>
      </c>
      <c r="Q174" s="407">
        <f t="shared" si="133"/>
        <v>0.3251459939936322</v>
      </c>
      <c r="R174" s="9">
        <f t="shared" ref="R174:R209" si="140">J174/(2*SQRT(3))</f>
        <v>0.52782419759724486</v>
      </c>
      <c r="S174" s="9">
        <f t="shared" ref="S174:S209" si="141">RCoutEsr*R174^2</f>
        <v>2.7859838356917538E-3</v>
      </c>
      <c r="T174" s="9">
        <f t="shared" ref="T174:T209" si="142">S174</f>
        <v>2.7859838356917538E-3</v>
      </c>
      <c r="U174" s="407">
        <f t="shared" ref="U174:U209" si="143">SQRT(I174)*SQRT(H174^2+(J174^2)/12)</f>
        <v>2.3069905772382713</v>
      </c>
      <c r="V174" s="409">
        <f t="shared" ref="V174:V209" si="144">RCinEsr*U174^2</f>
        <v>1.0644411046932345E-2</v>
      </c>
      <c r="W174" s="407">
        <f t="shared" ref="W174:W209" si="145">V174</f>
        <v>1.0644411046932345E-2</v>
      </c>
      <c r="X174" s="407">
        <f t="shared" ref="X174:X209" si="146">SQRT(I174)*SQRT(H174^2+(J174^2)/12)</f>
        <v>2.3069905772382713</v>
      </c>
      <c r="Y174" s="407">
        <f t="shared" ref="Y174:Y209" si="147">RdsonTop*X174^2</f>
        <v>3.1933233140797032E-2</v>
      </c>
      <c r="Z174" s="407">
        <f t="shared" si="124"/>
        <v>0.11264015262971963</v>
      </c>
      <c r="AA174" s="407">
        <f t="shared" si="125"/>
        <v>0.14400000000000002</v>
      </c>
      <c r="AB174" s="407">
        <f t="shared" si="126"/>
        <v>0</v>
      </c>
      <c r="AC174" s="407">
        <f t="shared" ref="AC174:AC209" si="148">(AB174+AA174+Z174+Y174*(1+RdsonTopTc*Ta-RdsonTopTc*25))/(1-Y174*RdsonTopTc*ThetaJaTop)</f>
        <v>0.29042824836365061</v>
      </c>
      <c r="AD174" s="407">
        <f t="shared" ref="AD174:AD209" si="149">SQRT(1-I174)*SQRT(H174^2+(J174^2)/12)</f>
        <v>4.4112235105583801</v>
      </c>
      <c r="AE174" s="407">
        <f t="shared" ref="AE174:AE209" si="150">RdsonBot*AD174^2</f>
        <v>0.11675335716061799</v>
      </c>
      <c r="AF174" s="407">
        <f t="shared" si="127"/>
        <v>8.0189999999999984E-2</v>
      </c>
      <c r="AG174" s="407">
        <f t="shared" ref="AG174:AG209" si="151">(AF174+AE174*(1+RdsonBotTc*Ta-RdsonBotTc*25))/(1-AE174*RdsonBotTc*ThetaJaBot)</f>
        <v>0.20165206835232113</v>
      </c>
      <c r="AH174" s="407">
        <f t="shared" ref="AH174:AH209" si="152">IF(RDSON_sense=1, 0, AD174^2*Rshunt)</f>
        <v>0</v>
      </c>
      <c r="AI174">
        <f t="shared" si="128"/>
        <v>0</v>
      </c>
      <c r="AJ174" s="408">
        <f t="shared" si="129"/>
        <v>0.45303867000000003</v>
      </c>
      <c r="AK174">
        <f t="shared" si="134"/>
        <v>4.8000000000000001E-2</v>
      </c>
      <c r="AL174" s="408">
        <f t="shared" si="130"/>
        <v>5.1750000000000004E-2</v>
      </c>
      <c r="AM174" s="408">
        <f t="shared" si="135"/>
        <v>0.13648893249607535</v>
      </c>
      <c r="AN174" s="408">
        <f t="shared" ref="AN174:AN209" si="153">SUM(AK174:AL174)</f>
        <v>9.9750000000000005E-2</v>
      </c>
      <c r="AO174" s="408">
        <f t="shared" ref="AO174:AO209" si="154">SUM(Q174,T174,W174,AC174,AJ174,AI174,AG174,AN174, AH174)</f>
        <v>1.383445375592228</v>
      </c>
      <c r="AP174">
        <f t="shared" si="131"/>
        <v>25.244999999999994</v>
      </c>
      <c r="AQ174" s="10">
        <f t="shared" ref="AQ174:AQ209" si="155">AP174/(AP174+AO174)</f>
        <v>0.94804633330715204</v>
      </c>
      <c r="AR174" s="63">
        <f t="shared" ref="AR174:AR209" si="156">ThetaJaTop*AC174</f>
        <v>14.52141241818253</v>
      </c>
      <c r="AS174" s="63">
        <f t="shared" ref="AS174:AS209" si="157">AG174*ThetaJaBot</f>
        <v>10.082603417616056</v>
      </c>
      <c r="AT174" s="10"/>
      <c r="AU174">
        <f t="shared" ref="AU174:AU209" si="158">AQ174*100</f>
        <v>94.804633330715205</v>
      </c>
    </row>
    <row r="175" spans="7:47" x14ac:dyDescent="0.25">
      <c r="G175">
        <v>166</v>
      </c>
      <c r="H175">
        <f t="shared" si="120"/>
        <v>4.9799999999999995</v>
      </c>
      <c r="I175" s="407">
        <f t="shared" si="136"/>
        <v>0.21478249999999999</v>
      </c>
      <c r="J175" s="408">
        <f t="shared" si="121"/>
        <v>1.828553716216216</v>
      </c>
      <c r="K175" s="408">
        <f t="shared" si="132"/>
        <v>5.8942768581081078</v>
      </c>
      <c r="L175" s="408">
        <f t="shared" si="137"/>
        <v>4.0657231418918913</v>
      </c>
      <c r="M175" s="63">
        <f t="shared" si="122"/>
        <v>0</v>
      </c>
      <c r="N175" s="407">
        <f t="shared" si="138"/>
        <v>5.0078971692475216</v>
      </c>
      <c r="O175" s="407">
        <f t="shared" si="139"/>
        <v>0.12666583298453607</v>
      </c>
      <c r="P175">
        <f t="shared" si="123"/>
        <v>0.2</v>
      </c>
      <c r="Q175" s="407">
        <f t="shared" si="133"/>
        <v>0.32666583298453611</v>
      </c>
      <c r="R175" s="9">
        <f t="shared" si="140"/>
        <v>0.52785799014256141</v>
      </c>
      <c r="S175" s="9">
        <f t="shared" si="141"/>
        <v>2.7863405775734448E-3</v>
      </c>
      <c r="T175" s="9">
        <f t="shared" si="142"/>
        <v>2.7863405775734448E-3</v>
      </c>
      <c r="U175" s="407">
        <f t="shared" si="143"/>
        <v>2.3208915598343376</v>
      </c>
      <c r="V175" s="409">
        <f t="shared" si="144"/>
        <v>1.0773075265020528E-2</v>
      </c>
      <c r="W175" s="407">
        <f t="shared" si="145"/>
        <v>1.0773075265020528E-2</v>
      </c>
      <c r="X175" s="407">
        <f t="shared" si="146"/>
        <v>2.3208915598343376</v>
      </c>
      <c r="Y175" s="407">
        <f t="shared" si="147"/>
        <v>3.2319225795061586E-2</v>
      </c>
      <c r="Z175" s="407">
        <f t="shared" si="124"/>
        <v>0.11330690361968515</v>
      </c>
      <c r="AA175" s="407">
        <f t="shared" si="125"/>
        <v>0.14400000000000002</v>
      </c>
      <c r="AB175" s="407">
        <f t="shared" si="126"/>
        <v>0</v>
      </c>
      <c r="AC175" s="407">
        <f t="shared" si="148"/>
        <v>0.29151040755139956</v>
      </c>
      <c r="AD175" s="407">
        <f t="shared" si="149"/>
        <v>4.4376228349474536</v>
      </c>
      <c r="AE175" s="407">
        <f t="shared" si="150"/>
        <v>0.11815497855148245</v>
      </c>
      <c r="AF175" s="407">
        <f t="shared" si="127"/>
        <v>8.0675999999999984E-2</v>
      </c>
      <c r="AG175" s="407">
        <f t="shared" si="151"/>
        <v>0.20364327183463748</v>
      </c>
      <c r="AH175" s="407">
        <f t="shared" si="152"/>
        <v>0</v>
      </c>
      <c r="AI175">
        <f t="shared" si="128"/>
        <v>0</v>
      </c>
      <c r="AJ175" s="408">
        <f t="shared" si="129"/>
        <v>0.45303526800000005</v>
      </c>
      <c r="AK175">
        <f t="shared" si="134"/>
        <v>4.8000000000000001E-2</v>
      </c>
      <c r="AL175" s="408">
        <f t="shared" si="130"/>
        <v>5.1750000000000004E-2</v>
      </c>
      <c r="AM175" s="408">
        <f t="shared" si="135"/>
        <v>0.13648893249607535</v>
      </c>
      <c r="AN175" s="408">
        <f t="shared" si="153"/>
        <v>9.9750000000000005E-2</v>
      </c>
      <c r="AO175" s="408">
        <f t="shared" si="154"/>
        <v>1.3881641962131672</v>
      </c>
      <c r="AP175">
        <f t="shared" si="131"/>
        <v>25.397999999999996</v>
      </c>
      <c r="AQ175" s="10">
        <f t="shared" si="155"/>
        <v>0.94817607381017188</v>
      </c>
      <c r="AR175" s="63">
        <f t="shared" si="156"/>
        <v>14.575520377569978</v>
      </c>
      <c r="AS175" s="63">
        <f t="shared" si="157"/>
        <v>10.182163591731875</v>
      </c>
      <c r="AT175" s="10"/>
      <c r="AU175">
        <f t="shared" si="158"/>
        <v>94.817607381017183</v>
      </c>
    </row>
    <row r="176" spans="7:47" x14ac:dyDescent="0.25">
      <c r="G176">
        <v>167</v>
      </c>
      <c r="H176">
        <f t="shared" si="120"/>
        <v>5.01</v>
      </c>
      <c r="I176" s="407">
        <f t="shared" si="136"/>
        <v>0.21479624999999999</v>
      </c>
      <c r="J176" s="408">
        <f t="shared" si="121"/>
        <v>1.828670777027027</v>
      </c>
      <c r="K176" s="408">
        <f t="shared" si="132"/>
        <v>5.924335388513513</v>
      </c>
      <c r="L176" s="408">
        <f t="shared" si="137"/>
        <v>4.0956646114864865</v>
      </c>
      <c r="M176" s="63">
        <f t="shared" si="122"/>
        <v>0</v>
      </c>
      <c r="N176" s="407">
        <f t="shared" si="138"/>
        <v>5.0377345835434184</v>
      </c>
      <c r="O176" s="407">
        <f t="shared" si="139"/>
        <v>0.1281952234943837</v>
      </c>
      <c r="P176">
        <f t="shared" si="123"/>
        <v>0.2</v>
      </c>
      <c r="Q176" s="407">
        <f t="shared" si="133"/>
        <v>0.32819522349438368</v>
      </c>
      <c r="R176" s="9">
        <f t="shared" si="140"/>
        <v>0.52789178268787806</v>
      </c>
      <c r="S176" s="9">
        <f t="shared" si="141"/>
        <v>2.7866973422938589E-3</v>
      </c>
      <c r="T176" s="9">
        <f t="shared" si="142"/>
        <v>2.7866973422938589E-3</v>
      </c>
      <c r="U176" s="407">
        <f t="shared" si="143"/>
        <v>2.3347943310977022</v>
      </c>
      <c r="V176" s="409">
        <f t="shared" si="144"/>
        <v>1.0902529137051933E-2</v>
      </c>
      <c r="W176" s="407">
        <f t="shared" si="145"/>
        <v>1.0902529137051933E-2</v>
      </c>
      <c r="X176" s="407">
        <f t="shared" si="146"/>
        <v>2.3347943310977022</v>
      </c>
      <c r="Y176" s="407">
        <f t="shared" si="147"/>
        <v>3.27075874111558E-2</v>
      </c>
      <c r="Z176" s="407">
        <f t="shared" si="124"/>
        <v>0.11397365460965068</v>
      </c>
      <c r="AA176" s="407">
        <f t="shared" si="125"/>
        <v>0.14400000000000002</v>
      </c>
      <c r="AB176" s="407">
        <f t="shared" si="126"/>
        <v>0</v>
      </c>
      <c r="AC176" s="407">
        <f t="shared" si="148"/>
        <v>0.29259525902292294</v>
      </c>
      <c r="AD176" s="407">
        <f t="shared" si="149"/>
        <v>4.4640234279967004</v>
      </c>
      <c r="AE176" s="407">
        <f t="shared" si="150"/>
        <v>0.11956503099422047</v>
      </c>
      <c r="AF176" s="407">
        <f t="shared" si="127"/>
        <v>8.1161999999999998E-2</v>
      </c>
      <c r="AG176" s="407">
        <f t="shared" si="151"/>
        <v>0.20564461187269101</v>
      </c>
      <c r="AH176" s="407">
        <f t="shared" si="152"/>
        <v>0</v>
      </c>
      <c r="AI176">
        <f t="shared" si="128"/>
        <v>0</v>
      </c>
      <c r="AJ176" s="408">
        <f t="shared" si="129"/>
        <v>0.45303186600000001</v>
      </c>
      <c r="AK176">
        <f t="shared" si="134"/>
        <v>4.8000000000000001E-2</v>
      </c>
      <c r="AL176" s="408">
        <f t="shared" si="130"/>
        <v>5.1750000000000004E-2</v>
      </c>
      <c r="AM176" s="408">
        <f t="shared" si="135"/>
        <v>0.13648893249607535</v>
      </c>
      <c r="AN176" s="408">
        <f t="shared" si="153"/>
        <v>9.9750000000000005E-2</v>
      </c>
      <c r="AO176" s="408">
        <f t="shared" si="154"/>
        <v>1.3929061868693433</v>
      </c>
      <c r="AP176">
        <f t="shared" si="131"/>
        <v>25.550999999999998</v>
      </c>
      <c r="AQ176" s="10">
        <f t="shared" si="155"/>
        <v>0.94830347993313036</v>
      </c>
      <c r="AR176" s="63">
        <f t="shared" si="156"/>
        <v>14.629762951146146</v>
      </c>
      <c r="AS176" s="63">
        <f t="shared" si="157"/>
        <v>10.28223059363455</v>
      </c>
      <c r="AT176" s="10"/>
      <c r="AU176">
        <f t="shared" si="158"/>
        <v>94.83034799331304</v>
      </c>
    </row>
    <row r="177" spans="7:47" x14ac:dyDescent="0.25">
      <c r="G177">
        <v>168</v>
      </c>
      <c r="H177">
        <f t="shared" si="120"/>
        <v>5.04</v>
      </c>
      <c r="I177" s="407">
        <f t="shared" si="136"/>
        <v>0.21480999999999997</v>
      </c>
      <c r="J177" s="408">
        <f t="shared" si="121"/>
        <v>1.8287878378378373</v>
      </c>
      <c r="K177" s="408">
        <f t="shared" si="132"/>
        <v>5.9543939189189183</v>
      </c>
      <c r="L177" s="408">
        <f t="shared" si="137"/>
        <v>4.1256060810810817</v>
      </c>
      <c r="M177" s="63">
        <f t="shared" si="122"/>
        <v>0</v>
      </c>
      <c r="N177" s="407">
        <f t="shared" si="138"/>
        <v>5.0675739178610213</v>
      </c>
      <c r="O177" s="407">
        <f t="shared" si="139"/>
        <v>0.12973417233212242</v>
      </c>
      <c r="P177">
        <f t="shared" si="123"/>
        <v>0.2</v>
      </c>
      <c r="Q177" s="407">
        <f t="shared" si="133"/>
        <v>0.32973417233212243</v>
      </c>
      <c r="R177" s="9">
        <f t="shared" si="140"/>
        <v>0.5279255752331945</v>
      </c>
      <c r="S177" s="9">
        <f t="shared" si="141"/>
        <v>2.7870541298529931E-3</v>
      </c>
      <c r="T177" s="9">
        <f t="shared" si="142"/>
        <v>2.7870541298529931E-3</v>
      </c>
      <c r="U177" s="407">
        <f t="shared" si="143"/>
        <v>2.3486988750717646</v>
      </c>
      <c r="V177" s="409">
        <f t="shared" si="144"/>
        <v>1.1032772811526745E-2</v>
      </c>
      <c r="W177" s="407">
        <f t="shared" si="145"/>
        <v>1.1032772811526745E-2</v>
      </c>
      <c r="X177" s="407">
        <f t="shared" si="146"/>
        <v>2.3486988750717646</v>
      </c>
      <c r="Y177" s="407">
        <f t="shared" si="147"/>
        <v>3.3098318434580234E-2</v>
      </c>
      <c r="Z177" s="407">
        <f t="shared" si="124"/>
        <v>0.11464040559961619</v>
      </c>
      <c r="AA177" s="407">
        <f t="shared" si="125"/>
        <v>0.14400000000000002</v>
      </c>
      <c r="AB177" s="407">
        <f t="shared" si="126"/>
        <v>0</v>
      </c>
      <c r="AC177" s="407">
        <f t="shared" si="148"/>
        <v>0.29368280543681818</v>
      </c>
      <c r="AD177" s="407">
        <f t="shared" si="149"/>
        <v>4.4904252590619889</v>
      </c>
      <c r="AE177" s="407">
        <f t="shared" si="150"/>
        <v>0.12098351404333159</v>
      </c>
      <c r="AF177" s="407">
        <f t="shared" si="127"/>
        <v>8.1647999999999998E-2</v>
      </c>
      <c r="AG177" s="407">
        <f t="shared" si="151"/>
        <v>0.2076561071545549</v>
      </c>
      <c r="AH177" s="407">
        <f t="shared" si="152"/>
        <v>0</v>
      </c>
      <c r="AI177">
        <f t="shared" si="128"/>
        <v>0</v>
      </c>
      <c r="AJ177" s="408">
        <f t="shared" si="129"/>
        <v>0.45302846400000002</v>
      </c>
      <c r="AK177">
        <f t="shared" si="134"/>
        <v>4.8000000000000001E-2</v>
      </c>
      <c r="AL177" s="408">
        <f t="shared" si="130"/>
        <v>5.1750000000000004E-2</v>
      </c>
      <c r="AM177" s="408">
        <f t="shared" si="135"/>
        <v>0.13648893249607535</v>
      </c>
      <c r="AN177" s="408">
        <f t="shared" si="153"/>
        <v>9.9750000000000005E-2</v>
      </c>
      <c r="AO177" s="408">
        <f t="shared" si="154"/>
        <v>1.3976713758648751</v>
      </c>
      <c r="AP177">
        <f t="shared" si="131"/>
        <v>25.703999999999997</v>
      </c>
      <c r="AQ177" s="10">
        <f t="shared" si="155"/>
        <v>0.94842859111967692</v>
      </c>
      <c r="AR177" s="63">
        <f t="shared" si="156"/>
        <v>14.68414027184091</v>
      </c>
      <c r="AS177" s="63">
        <f t="shared" si="157"/>
        <v>10.382805357727745</v>
      </c>
      <c r="AT177" s="10"/>
      <c r="AU177">
        <f t="shared" si="158"/>
        <v>94.842859111967698</v>
      </c>
    </row>
    <row r="178" spans="7:47" x14ac:dyDescent="0.25">
      <c r="G178">
        <v>169</v>
      </c>
      <c r="H178">
        <f t="shared" si="120"/>
        <v>5.07</v>
      </c>
      <c r="I178" s="407">
        <f t="shared" si="136"/>
        <v>0.21482375000000001</v>
      </c>
      <c r="J178" s="408">
        <f t="shared" si="121"/>
        <v>1.8289048986486482</v>
      </c>
      <c r="K178" s="408">
        <f t="shared" si="132"/>
        <v>5.9844524493243245</v>
      </c>
      <c r="L178" s="408">
        <f t="shared" si="137"/>
        <v>4.155547550675676</v>
      </c>
      <c r="M178" s="63">
        <f t="shared" si="122"/>
        <v>0</v>
      </c>
      <c r="N178" s="407">
        <f t="shared" si="138"/>
        <v>5.0974151384819626</v>
      </c>
      <c r="O178" s="407">
        <f t="shared" si="139"/>
        <v>0.1312826863517346</v>
      </c>
      <c r="P178">
        <f t="shared" si="123"/>
        <v>0.2</v>
      </c>
      <c r="Q178" s="407">
        <f t="shared" si="133"/>
        <v>0.33128268635173463</v>
      </c>
      <c r="R178" s="9">
        <f t="shared" si="140"/>
        <v>0.52795936777851116</v>
      </c>
      <c r="S178" s="9">
        <f t="shared" si="141"/>
        <v>2.7874109402508517E-3</v>
      </c>
      <c r="T178" s="9">
        <f t="shared" si="142"/>
        <v>2.7874109402508517E-3</v>
      </c>
      <c r="U178" s="407">
        <f t="shared" si="143"/>
        <v>2.3626051761715439</v>
      </c>
      <c r="V178" s="409">
        <f t="shared" si="144"/>
        <v>1.1163806436945145E-2</v>
      </c>
      <c r="W178" s="407">
        <f t="shared" si="145"/>
        <v>1.1163806436945145E-2</v>
      </c>
      <c r="X178" s="407">
        <f t="shared" si="146"/>
        <v>2.3626051761715439</v>
      </c>
      <c r="Y178" s="407">
        <f t="shared" si="147"/>
        <v>3.3491419310835435E-2</v>
      </c>
      <c r="Z178" s="407">
        <f t="shared" si="124"/>
        <v>0.1153071565895817</v>
      </c>
      <c r="AA178" s="407">
        <f t="shared" si="125"/>
        <v>0.14400000000000002</v>
      </c>
      <c r="AB178" s="407">
        <f t="shared" si="126"/>
        <v>0</v>
      </c>
      <c r="AC178" s="407">
        <f t="shared" si="148"/>
        <v>0.29477304946062099</v>
      </c>
      <c r="AD178" s="407">
        <f t="shared" si="149"/>
        <v>4.5168282982146346</v>
      </c>
      <c r="AE178" s="407">
        <f t="shared" si="150"/>
        <v>0.12241042725331508</v>
      </c>
      <c r="AF178" s="407">
        <f t="shared" si="127"/>
        <v>8.2133999999999999E-2</v>
      </c>
      <c r="AG178" s="407">
        <f t="shared" si="151"/>
        <v>0.2096777764945599</v>
      </c>
      <c r="AH178" s="407">
        <f t="shared" si="152"/>
        <v>0</v>
      </c>
      <c r="AI178">
        <f t="shared" si="128"/>
        <v>0</v>
      </c>
      <c r="AJ178" s="408">
        <f t="shared" si="129"/>
        <v>0.45302506200000003</v>
      </c>
      <c r="AK178">
        <f t="shared" si="134"/>
        <v>4.8000000000000001E-2</v>
      </c>
      <c r="AL178" s="408">
        <f t="shared" si="130"/>
        <v>5.1750000000000004E-2</v>
      </c>
      <c r="AM178" s="408">
        <f t="shared" si="135"/>
        <v>0.13648893249607535</v>
      </c>
      <c r="AN178" s="408">
        <f t="shared" si="153"/>
        <v>9.9750000000000005E-2</v>
      </c>
      <c r="AO178" s="408">
        <f t="shared" si="154"/>
        <v>1.4024597916841115</v>
      </c>
      <c r="AP178">
        <f t="shared" si="131"/>
        <v>25.856999999999999</v>
      </c>
      <c r="AQ178" s="10">
        <f t="shared" si="155"/>
        <v>0.9485514459053237</v>
      </c>
      <c r="AR178" s="63">
        <f t="shared" si="156"/>
        <v>14.738652473031049</v>
      </c>
      <c r="AS178" s="63">
        <f t="shared" si="157"/>
        <v>10.483888824727995</v>
      </c>
      <c r="AT178" s="10"/>
      <c r="AU178">
        <f t="shared" si="158"/>
        <v>94.855144590532376</v>
      </c>
    </row>
    <row r="179" spans="7:47" x14ac:dyDescent="0.25">
      <c r="G179">
        <v>170</v>
      </c>
      <c r="H179">
        <f t="shared" si="120"/>
        <v>5.0999999999999996</v>
      </c>
      <c r="I179" s="407">
        <f t="shared" si="136"/>
        <v>0.21483749999999999</v>
      </c>
      <c r="J179" s="408">
        <f t="shared" si="121"/>
        <v>1.8290219594594592</v>
      </c>
      <c r="K179" s="408">
        <f t="shared" si="132"/>
        <v>6.0145109797297289</v>
      </c>
      <c r="L179" s="408">
        <f t="shared" si="137"/>
        <v>4.1854890202702704</v>
      </c>
      <c r="M179" s="63">
        <f t="shared" si="122"/>
        <v>0</v>
      </c>
      <c r="N179" s="407">
        <f t="shared" si="138"/>
        <v>5.1272582124707489</v>
      </c>
      <c r="O179" s="407">
        <f t="shared" si="139"/>
        <v>0.13284077245231551</v>
      </c>
      <c r="P179">
        <f t="shared" si="123"/>
        <v>0.2</v>
      </c>
      <c r="Q179" s="407">
        <f t="shared" si="133"/>
        <v>0.33284077245231553</v>
      </c>
      <c r="R179" s="9">
        <f t="shared" si="140"/>
        <v>0.52799316032382781</v>
      </c>
      <c r="S179" s="9">
        <f t="shared" si="141"/>
        <v>2.7877677734874334E-3</v>
      </c>
      <c r="T179" s="9">
        <f t="shared" si="142"/>
        <v>2.7877677734874334E-3</v>
      </c>
      <c r="U179" s="407">
        <f t="shared" si="143"/>
        <v>2.3765132191729248</v>
      </c>
      <c r="V179" s="409">
        <f t="shared" si="144"/>
        <v>1.1295630161807317E-2</v>
      </c>
      <c r="W179" s="407">
        <f t="shared" si="145"/>
        <v>1.1295630161807317E-2</v>
      </c>
      <c r="X179" s="407">
        <f t="shared" si="146"/>
        <v>2.3765132191729248</v>
      </c>
      <c r="Y179" s="407">
        <f t="shared" si="147"/>
        <v>3.3886890485421949E-2</v>
      </c>
      <c r="Z179" s="407">
        <f t="shared" si="124"/>
        <v>0.11597390757954719</v>
      </c>
      <c r="AA179" s="407">
        <f t="shared" si="125"/>
        <v>0.14400000000000002</v>
      </c>
      <c r="AB179" s="407">
        <f t="shared" si="126"/>
        <v>0</v>
      </c>
      <c r="AC179" s="407">
        <f t="shared" si="148"/>
        <v>0.29586599377082357</v>
      </c>
      <c r="AD179" s="407">
        <f t="shared" si="149"/>
        <v>4.5432325162207006</v>
      </c>
      <c r="AE179" s="407">
        <f t="shared" si="150"/>
        <v>0.12384577017867048</v>
      </c>
      <c r="AF179" s="407">
        <f t="shared" si="127"/>
        <v>8.2619999999999985E-2</v>
      </c>
      <c r="AG179" s="407">
        <f t="shared" si="151"/>
        <v>0.21170963883379434</v>
      </c>
      <c r="AH179" s="407">
        <f t="shared" si="152"/>
        <v>0</v>
      </c>
      <c r="AI179">
        <f t="shared" si="128"/>
        <v>0</v>
      </c>
      <c r="AJ179" s="408">
        <f t="shared" si="129"/>
        <v>0.45302165999999999</v>
      </c>
      <c r="AK179">
        <f t="shared" si="134"/>
        <v>4.8000000000000001E-2</v>
      </c>
      <c r="AL179" s="408">
        <f t="shared" si="130"/>
        <v>5.1750000000000004E-2</v>
      </c>
      <c r="AM179" s="408">
        <f t="shared" si="135"/>
        <v>0.13648893249607535</v>
      </c>
      <c r="AN179" s="408">
        <f t="shared" si="153"/>
        <v>9.9750000000000005E-2</v>
      </c>
      <c r="AO179" s="408">
        <f t="shared" si="154"/>
        <v>1.4072714629922281</v>
      </c>
      <c r="AP179">
        <f t="shared" si="131"/>
        <v>26.009999999999998</v>
      </c>
      <c r="AQ179" s="10">
        <f t="shared" si="155"/>
        <v>0.94867208194324659</v>
      </c>
      <c r="AR179" s="63">
        <f t="shared" si="156"/>
        <v>14.793299688541179</v>
      </c>
      <c r="AS179" s="63">
        <f t="shared" si="157"/>
        <v>10.585481941689718</v>
      </c>
      <c r="AT179" s="10"/>
      <c r="AU179">
        <f t="shared" si="158"/>
        <v>94.867208194324661</v>
      </c>
    </row>
    <row r="180" spans="7:47" x14ac:dyDescent="0.25">
      <c r="G180">
        <v>171</v>
      </c>
      <c r="H180">
        <f t="shared" si="120"/>
        <v>5.13</v>
      </c>
      <c r="I180" s="407">
        <f t="shared" si="136"/>
        <v>0.21485124999999997</v>
      </c>
      <c r="J180" s="408">
        <f t="shared" si="121"/>
        <v>1.8291390202702698</v>
      </c>
      <c r="K180" s="408">
        <f t="shared" si="132"/>
        <v>6.0445695101351351</v>
      </c>
      <c r="L180" s="408">
        <f t="shared" si="137"/>
        <v>4.2154304898648647</v>
      </c>
      <c r="M180" s="63">
        <f t="shared" si="122"/>
        <v>0</v>
      </c>
      <c r="N180" s="407">
        <f t="shared" si="138"/>
        <v>5.1571031076522287</v>
      </c>
      <c r="O180" s="407">
        <f t="shared" si="139"/>
        <v>0.13440843757815088</v>
      </c>
      <c r="P180">
        <f t="shared" si="123"/>
        <v>0.2</v>
      </c>
      <c r="Q180" s="407">
        <f t="shared" si="133"/>
        <v>0.33440843757815086</v>
      </c>
      <c r="R180" s="9">
        <f t="shared" si="140"/>
        <v>0.52802695286914436</v>
      </c>
      <c r="S180" s="9">
        <f t="shared" si="141"/>
        <v>2.788124629562736E-3</v>
      </c>
      <c r="T180" s="9">
        <f t="shared" si="142"/>
        <v>2.788124629562736E-3</v>
      </c>
      <c r="U180" s="407">
        <f t="shared" si="143"/>
        <v>2.3904229892022735</v>
      </c>
      <c r="V180" s="409">
        <f t="shared" si="144"/>
        <v>1.1428244134613465E-2</v>
      </c>
      <c r="W180" s="407">
        <f t="shared" si="145"/>
        <v>1.1428244134613465E-2</v>
      </c>
      <c r="X180" s="407">
        <f t="shared" si="146"/>
        <v>2.3904229892022735</v>
      </c>
      <c r="Y180" s="407">
        <f t="shared" si="147"/>
        <v>3.4284732403840397E-2</v>
      </c>
      <c r="Z180" s="407">
        <f t="shared" si="124"/>
        <v>0.11664065856951275</v>
      </c>
      <c r="AA180" s="407">
        <f t="shared" si="125"/>
        <v>0.14400000000000002</v>
      </c>
      <c r="AB180" s="407">
        <f t="shared" si="126"/>
        <v>0</v>
      </c>
      <c r="AC180" s="407">
        <f t="shared" si="148"/>
        <v>0.29696164105289391</v>
      </c>
      <c r="AD180" s="407">
        <f t="shared" si="149"/>
        <v>4.569637884520998</v>
      </c>
      <c r="AE180" s="407">
        <f t="shared" si="150"/>
        <v>0.12528954237389725</v>
      </c>
      <c r="AF180" s="407">
        <f t="shared" si="127"/>
        <v>8.3105999999999999E-2</v>
      </c>
      <c r="AG180" s="407">
        <f t="shared" si="151"/>
        <v>0.21375171324060768</v>
      </c>
      <c r="AH180" s="407">
        <f t="shared" si="152"/>
        <v>0</v>
      </c>
      <c r="AI180">
        <f t="shared" si="128"/>
        <v>0</v>
      </c>
      <c r="AJ180" s="408">
        <f t="shared" si="129"/>
        <v>0.45301825800000001</v>
      </c>
      <c r="AK180">
        <f t="shared" si="134"/>
        <v>4.8000000000000001E-2</v>
      </c>
      <c r="AL180" s="408">
        <f t="shared" si="130"/>
        <v>5.1750000000000004E-2</v>
      </c>
      <c r="AM180" s="408">
        <f t="shared" si="135"/>
        <v>0.13648893249607535</v>
      </c>
      <c r="AN180" s="408">
        <f t="shared" si="153"/>
        <v>9.9750000000000005E-2</v>
      </c>
      <c r="AO180" s="408">
        <f t="shared" si="154"/>
        <v>1.4121064186358288</v>
      </c>
      <c r="AP180">
        <f t="shared" si="131"/>
        <v>26.162999999999997</v>
      </c>
      <c r="AQ180" s="10">
        <f t="shared" si="155"/>
        <v>0.94879053602921004</v>
      </c>
      <c r="AR180" s="63">
        <f t="shared" si="156"/>
        <v>14.848082052644695</v>
      </c>
      <c r="AS180" s="63">
        <f t="shared" si="157"/>
        <v>10.687585662030385</v>
      </c>
      <c r="AT180" s="10"/>
      <c r="AU180">
        <f t="shared" si="158"/>
        <v>94.879053602921005</v>
      </c>
    </row>
    <row r="181" spans="7:47" x14ac:dyDescent="0.25">
      <c r="G181">
        <v>172</v>
      </c>
      <c r="H181">
        <f t="shared" si="120"/>
        <v>5.16</v>
      </c>
      <c r="I181" s="407">
        <f t="shared" si="136"/>
        <v>0.214865</v>
      </c>
      <c r="J181" s="408">
        <f t="shared" si="121"/>
        <v>1.8292560810810807</v>
      </c>
      <c r="K181" s="408">
        <f t="shared" si="132"/>
        <v>6.0746280405405404</v>
      </c>
      <c r="L181" s="408">
        <f t="shared" si="137"/>
        <v>4.2453719594594599</v>
      </c>
      <c r="M181" s="63">
        <f t="shared" si="122"/>
        <v>0</v>
      </c>
      <c r="N181" s="407">
        <f t="shared" si="138"/>
        <v>5.1869497925898296</v>
      </c>
      <c r="O181" s="407">
        <f t="shared" si="139"/>
        <v>0.13598568871879524</v>
      </c>
      <c r="P181">
        <f t="shared" si="123"/>
        <v>0.2</v>
      </c>
      <c r="Q181" s="407">
        <f t="shared" si="133"/>
        <v>0.33598568871879525</v>
      </c>
      <c r="R181" s="9">
        <f t="shared" si="140"/>
        <v>0.52806074541446091</v>
      </c>
      <c r="S181" s="9">
        <f t="shared" si="141"/>
        <v>2.7884815084767613E-3</v>
      </c>
      <c r="T181" s="9">
        <f t="shared" si="142"/>
        <v>2.7884815084767613E-3</v>
      </c>
      <c r="U181" s="407">
        <f t="shared" si="143"/>
        <v>2.4043344717264041</v>
      </c>
      <c r="V181" s="409">
        <f t="shared" si="144"/>
        <v>1.1561648503863774E-2</v>
      </c>
      <c r="W181" s="407">
        <f t="shared" si="145"/>
        <v>1.1561648503863774E-2</v>
      </c>
      <c r="X181" s="407">
        <f t="shared" si="146"/>
        <v>2.4043344717264041</v>
      </c>
      <c r="Y181" s="407">
        <f t="shared" si="147"/>
        <v>3.468494551159132E-2</v>
      </c>
      <c r="Z181" s="407">
        <f t="shared" si="124"/>
        <v>0.11730740955947824</v>
      </c>
      <c r="AA181" s="407">
        <f t="shared" si="125"/>
        <v>0.14400000000000002</v>
      </c>
      <c r="AB181" s="407">
        <f t="shared" si="126"/>
        <v>0</v>
      </c>
      <c r="AC181" s="407">
        <f t="shared" si="148"/>
        <v>0.29805999400129357</v>
      </c>
      <c r="AD181" s="407">
        <f t="shared" si="149"/>
        <v>4.5960443752117746</v>
      </c>
      <c r="AE181" s="407">
        <f t="shared" si="150"/>
        <v>0.12674174339349475</v>
      </c>
      <c r="AF181" s="407">
        <f t="shared" si="127"/>
        <v>8.3592E-2</v>
      </c>
      <c r="AG181" s="407">
        <f t="shared" si="151"/>
        <v>0.21580401891111833</v>
      </c>
      <c r="AH181" s="407">
        <f t="shared" si="152"/>
        <v>0</v>
      </c>
      <c r="AI181">
        <f t="shared" si="128"/>
        <v>0</v>
      </c>
      <c r="AJ181" s="408">
        <f t="shared" si="129"/>
        <v>0.45301485600000002</v>
      </c>
      <c r="AK181">
        <f t="shared" si="134"/>
        <v>4.8000000000000001E-2</v>
      </c>
      <c r="AL181" s="408">
        <f t="shared" si="130"/>
        <v>5.1750000000000004E-2</v>
      </c>
      <c r="AM181" s="408">
        <f t="shared" si="135"/>
        <v>0.13648893249607535</v>
      </c>
      <c r="AN181" s="408">
        <f t="shared" si="153"/>
        <v>9.9750000000000005E-2</v>
      </c>
      <c r="AO181" s="408">
        <f t="shared" si="154"/>
        <v>1.4169646876435478</v>
      </c>
      <c r="AP181">
        <f t="shared" si="131"/>
        <v>26.315999999999999</v>
      </c>
      <c r="AQ181" s="10">
        <f t="shared" si="155"/>
        <v>0.9489068441256524</v>
      </c>
      <c r="AR181" s="63">
        <f t="shared" si="156"/>
        <v>14.902999700064679</v>
      </c>
      <c r="AS181" s="63">
        <f t="shared" si="157"/>
        <v>10.790200945555917</v>
      </c>
      <c r="AT181" s="10"/>
      <c r="AU181">
        <f t="shared" si="158"/>
        <v>94.890684412565236</v>
      </c>
    </row>
    <row r="182" spans="7:47" x14ac:dyDescent="0.25">
      <c r="G182">
        <v>173</v>
      </c>
      <c r="H182">
        <f t="shared" si="120"/>
        <v>5.1899999999999995</v>
      </c>
      <c r="I182" s="407">
        <f t="shared" si="136"/>
        <v>0.21487874999999998</v>
      </c>
      <c r="J182" s="408">
        <f t="shared" si="121"/>
        <v>1.8293731418918915</v>
      </c>
      <c r="K182" s="408">
        <f t="shared" si="132"/>
        <v>6.1046865709459457</v>
      </c>
      <c r="L182" s="408">
        <f t="shared" si="137"/>
        <v>4.2753134290540533</v>
      </c>
      <c r="M182" s="63">
        <f t="shared" si="122"/>
        <v>0</v>
      </c>
      <c r="N182" s="407">
        <f t="shared" si="138"/>
        <v>5.2167982365645447</v>
      </c>
      <c r="O182" s="407">
        <f t="shared" si="139"/>
        <v>0.13757253290915117</v>
      </c>
      <c r="P182">
        <f t="shared" si="123"/>
        <v>0.2</v>
      </c>
      <c r="Q182" s="407">
        <f t="shared" si="133"/>
        <v>0.33757253290915118</v>
      </c>
      <c r="R182" s="9">
        <f t="shared" si="140"/>
        <v>0.52809453795977757</v>
      </c>
      <c r="S182" s="9">
        <f t="shared" si="141"/>
        <v>2.7888384102295093E-3</v>
      </c>
      <c r="T182" s="9">
        <f t="shared" si="142"/>
        <v>2.7888384102295093E-3</v>
      </c>
      <c r="U182" s="407">
        <f t="shared" si="143"/>
        <v>2.4182476525428922</v>
      </c>
      <c r="V182" s="409">
        <f t="shared" si="144"/>
        <v>1.1695843418058419E-2</v>
      </c>
      <c r="W182" s="407">
        <f t="shared" si="145"/>
        <v>1.1695843418058419E-2</v>
      </c>
      <c r="X182" s="407">
        <f t="shared" si="146"/>
        <v>2.4182476525428922</v>
      </c>
      <c r="Y182" s="407">
        <f t="shared" si="147"/>
        <v>3.5087530254175256E-2</v>
      </c>
      <c r="Z182" s="407">
        <f t="shared" si="124"/>
        <v>0.11797416054944375</v>
      </c>
      <c r="AA182" s="407">
        <f t="shared" si="125"/>
        <v>0.14400000000000002</v>
      </c>
      <c r="AB182" s="407">
        <f t="shared" si="126"/>
        <v>0</v>
      </c>
      <c r="AC182" s="407">
        <f t="shared" si="148"/>
        <v>0.29916105531949783</v>
      </c>
      <c r="AD182" s="407">
        <f t="shared" si="149"/>
        <v>4.6224519610260675</v>
      </c>
      <c r="AE182" s="407">
        <f t="shared" si="150"/>
        <v>0.12820237279196242</v>
      </c>
      <c r="AF182" s="407">
        <f t="shared" si="127"/>
        <v>8.4077999999999986E-2</v>
      </c>
      <c r="AG182" s="407">
        <f t="shared" si="151"/>
        <v>0.21786657516972585</v>
      </c>
      <c r="AH182" s="407">
        <f t="shared" si="152"/>
        <v>0</v>
      </c>
      <c r="AI182">
        <f t="shared" si="128"/>
        <v>0</v>
      </c>
      <c r="AJ182" s="408">
        <f t="shared" si="129"/>
        <v>0.45301145399999998</v>
      </c>
      <c r="AK182">
        <f t="shared" si="134"/>
        <v>4.8000000000000001E-2</v>
      </c>
      <c r="AL182" s="408">
        <f t="shared" si="130"/>
        <v>5.1750000000000004E-2</v>
      </c>
      <c r="AM182" s="408">
        <f t="shared" si="135"/>
        <v>0.13648893249607535</v>
      </c>
      <c r="AN182" s="408">
        <f t="shared" si="153"/>
        <v>9.9750000000000005E-2</v>
      </c>
      <c r="AO182" s="408">
        <f t="shared" si="154"/>
        <v>1.4218462992266627</v>
      </c>
      <c r="AP182">
        <f t="shared" si="131"/>
        <v>26.468999999999994</v>
      </c>
      <c r="AQ182" s="10">
        <f t="shared" si="155"/>
        <v>0.94902104138496202</v>
      </c>
      <c r="AR182" s="63">
        <f t="shared" si="156"/>
        <v>14.958052765974891</v>
      </c>
      <c r="AS182" s="63">
        <f t="shared" si="157"/>
        <v>10.893328758486293</v>
      </c>
      <c r="AT182" s="10"/>
      <c r="AU182">
        <f t="shared" si="158"/>
        <v>94.902104138496199</v>
      </c>
    </row>
    <row r="183" spans="7:47" x14ac:dyDescent="0.25">
      <c r="G183">
        <v>174</v>
      </c>
      <c r="H183">
        <f t="shared" si="120"/>
        <v>5.22</v>
      </c>
      <c r="I183" s="407">
        <f t="shared" si="136"/>
        <v>0.21489249999999996</v>
      </c>
      <c r="J183" s="408">
        <f t="shared" si="121"/>
        <v>1.829490202702702</v>
      </c>
      <c r="K183" s="408">
        <f t="shared" si="132"/>
        <v>6.134745101351351</v>
      </c>
      <c r="L183" s="408">
        <f t="shared" si="137"/>
        <v>4.3052548986486485</v>
      </c>
      <c r="M183" s="63">
        <f t="shared" si="122"/>
        <v>0</v>
      </c>
      <c r="N183" s="407">
        <f t="shared" si="138"/>
        <v>5.2466484095546271</v>
      </c>
      <c r="O183" s="407">
        <f t="shared" si="139"/>
        <v>0.13916897722954877</v>
      </c>
      <c r="P183">
        <f t="shared" si="123"/>
        <v>0.2</v>
      </c>
      <c r="Q183" s="407">
        <f t="shared" si="133"/>
        <v>0.33916897722954875</v>
      </c>
      <c r="R183" s="9">
        <f t="shared" si="140"/>
        <v>0.528128330505094</v>
      </c>
      <c r="S183" s="9">
        <f t="shared" si="141"/>
        <v>2.7891953348209782E-3</v>
      </c>
      <c r="T183" s="9">
        <f t="shared" si="142"/>
        <v>2.7891953348209782E-3</v>
      </c>
      <c r="U183" s="407">
        <f t="shared" si="143"/>
        <v>2.4321625177707182</v>
      </c>
      <c r="V183" s="409">
        <f t="shared" si="144"/>
        <v>1.1830829025697598E-2</v>
      </c>
      <c r="W183" s="407">
        <f t="shared" si="145"/>
        <v>1.1830829025697598E-2</v>
      </c>
      <c r="X183" s="407">
        <f t="shared" si="146"/>
        <v>2.4321625177707182</v>
      </c>
      <c r="Y183" s="407">
        <f t="shared" si="147"/>
        <v>3.5492487077092794E-2</v>
      </c>
      <c r="Z183" s="407">
        <f t="shared" si="124"/>
        <v>0.11864091153940926</v>
      </c>
      <c r="AA183" s="407">
        <f t="shared" si="125"/>
        <v>0.14400000000000002</v>
      </c>
      <c r="AB183" s="407">
        <f t="shared" si="126"/>
        <v>0</v>
      </c>
      <c r="AC183" s="407">
        <f t="shared" si="148"/>
        <v>0.30026482772001367</v>
      </c>
      <c r="AD183" s="407">
        <f t="shared" si="149"/>
        <v>4.648860615315682</v>
      </c>
      <c r="AE183" s="407">
        <f t="shared" si="150"/>
        <v>0.12967143012379981</v>
      </c>
      <c r="AF183" s="407">
        <f t="shared" si="127"/>
        <v>8.4563999999999986E-2</v>
      </c>
      <c r="AG183" s="407">
        <f t="shared" si="151"/>
        <v>0.21993940146962765</v>
      </c>
      <c r="AH183" s="407">
        <f t="shared" si="152"/>
        <v>0</v>
      </c>
      <c r="AI183">
        <f t="shared" si="128"/>
        <v>0</v>
      </c>
      <c r="AJ183" s="408">
        <f t="shared" si="129"/>
        <v>0.45300805199999999</v>
      </c>
      <c r="AK183">
        <f t="shared" si="134"/>
        <v>4.8000000000000001E-2</v>
      </c>
      <c r="AL183" s="408">
        <f t="shared" si="130"/>
        <v>5.1750000000000004E-2</v>
      </c>
      <c r="AM183" s="408">
        <f t="shared" si="135"/>
        <v>0.13648893249607535</v>
      </c>
      <c r="AN183" s="408">
        <f t="shared" si="153"/>
        <v>9.9750000000000005E-2</v>
      </c>
      <c r="AO183" s="408">
        <f t="shared" si="154"/>
        <v>1.4267512827797086</v>
      </c>
      <c r="AP183">
        <f t="shared" si="131"/>
        <v>26.621999999999996</v>
      </c>
      <c r="AQ183" s="10">
        <f t="shared" si="155"/>
        <v>0.94913316217197696</v>
      </c>
      <c r="AR183" s="63">
        <f t="shared" si="156"/>
        <v>15.013241386000683</v>
      </c>
      <c r="AS183" s="63">
        <f t="shared" si="157"/>
        <v>10.996970073481382</v>
      </c>
      <c r="AT183" s="10"/>
      <c r="AU183">
        <f t="shared" si="158"/>
        <v>94.913316217197689</v>
      </c>
    </row>
    <row r="184" spans="7:47" x14ac:dyDescent="0.25">
      <c r="G184">
        <v>175</v>
      </c>
      <c r="H184">
        <f t="shared" si="120"/>
        <v>5.25</v>
      </c>
      <c r="I184" s="407">
        <f t="shared" si="136"/>
        <v>0.21490624999999999</v>
      </c>
      <c r="J184" s="408">
        <f t="shared" si="121"/>
        <v>1.829607263513513</v>
      </c>
      <c r="K184" s="408">
        <f t="shared" si="132"/>
        <v>6.1648036317567563</v>
      </c>
      <c r="L184" s="408">
        <f t="shared" si="137"/>
        <v>4.3351963682432437</v>
      </c>
      <c r="M184" s="63">
        <f t="shared" si="122"/>
        <v>0</v>
      </c>
      <c r="N184" s="407">
        <f t="shared" si="138"/>
        <v>5.2765002822159612</v>
      </c>
      <c r="O184" s="407">
        <f t="shared" si="139"/>
        <v>0.1407750288058254</v>
      </c>
      <c r="P184">
        <f t="shared" si="123"/>
        <v>0.2</v>
      </c>
      <c r="Q184" s="407">
        <f t="shared" si="133"/>
        <v>0.34077502880582544</v>
      </c>
      <c r="R184" s="9">
        <f t="shared" si="140"/>
        <v>0.52816212305041066</v>
      </c>
      <c r="S184" s="9">
        <f t="shared" si="141"/>
        <v>2.7895522822511715E-3</v>
      </c>
      <c r="T184" s="9">
        <f t="shared" si="142"/>
        <v>2.7895522822511715E-3</v>
      </c>
      <c r="U184" s="407">
        <f t="shared" si="143"/>
        <v>2.4460790538412192</v>
      </c>
      <c r="V184" s="409">
        <f t="shared" si="144"/>
        <v>1.1966605475281509E-2</v>
      </c>
      <c r="W184" s="407">
        <f t="shared" si="145"/>
        <v>1.1966605475281509E-2</v>
      </c>
      <c r="X184" s="407">
        <f t="shared" si="146"/>
        <v>2.4460790538412192</v>
      </c>
      <c r="Y184" s="407">
        <f t="shared" si="147"/>
        <v>3.5899816425844527E-2</v>
      </c>
      <c r="Z184" s="407">
        <f t="shared" si="124"/>
        <v>0.11930766252937479</v>
      </c>
      <c r="AA184" s="407">
        <f t="shared" si="125"/>
        <v>0.14400000000000002</v>
      </c>
      <c r="AB184" s="407">
        <f t="shared" si="126"/>
        <v>0</v>
      </c>
      <c r="AC184" s="407">
        <f t="shared" si="148"/>
        <v>0.3013713139243997</v>
      </c>
      <c r="AD184" s="407">
        <f t="shared" si="149"/>
        <v>4.6752703120337724</v>
      </c>
      <c r="AE184" s="407">
        <f t="shared" si="150"/>
        <v>0.1311489149435062</v>
      </c>
      <c r="AF184" s="407">
        <f t="shared" si="127"/>
        <v>8.5050000000000001E-2</v>
      </c>
      <c r="AG184" s="407">
        <f t="shared" si="151"/>
        <v>0.22202251739333861</v>
      </c>
      <c r="AH184" s="407">
        <f t="shared" si="152"/>
        <v>0</v>
      </c>
      <c r="AI184">
        <f t="shared" si="128"/>
        <v>0</v>
      </c>
      <c r="AJ184" s="408">
        <f t="shared" si="129"/>
        <v>0.45300464999999995</v>
      </c>
      <c r="AK184">
        <f t="shared" si="134"/>
        <v>4.8000000000000001E-2</v>
      </c>
      <c r="AL184" s="408">
        <f t="shared" si="130"/>
        <v>5.1750000000000004E-2</v>
      </c>
      <c r="AM184" s="408">
        <f t="shared" si="135"/>
        <v>0.13648893249607535</v>
      </c>
      <c r="AN184" s="408">
        <f t="shared" si="153"/>
        <v>9.9750000000000005E-2</v>
      </c>
      <c r="AO184" s="408">
        <f t="shared" si="154"/>
        <v>1.4316796678810964</v>
      </c>
      <c r="AP184">
        <f t="shared" si="131"/>
        <v>26.774999999999999</v>
      </c>
      <c r="AQ184" s="10">
        <f t="shared" si="155"/>
        <v>0.94924324008573946</v>
      </c>
      <c r="AR184" s="63">
        <f t="shared" si="156"/>
        <v>15.068565696219984</v>
      </c>
      <c r="AS184" s="63">
        <f t="shared" si="157"/>
        <v>11.10112586966693</v>
      </c>
      <c r="AT184" s="10"/>
      <c r="AU184">
        <f t="shared" si="158"/>
        <v>94.924324008573947</v>
      </c>
    </row>
    <row r="185" spans="7:47" x14ac:dyDescent="0.25">
      <c r="G185">
        <v>176</v>
      </c>
      <c r="H185">
        <f t="shared" si="120"/>
        <v>5.28</v>
      </c>
      <c r="I185" s="407">
        <f t="shared" si="136"/>
        <v>0.21491999999999997</v>
      </c>
      <c r="J185" s="408">
        <f t="shared" si="121"/>
        <v>1.829724324324324</v>
      </c>
      <c r="K185" s="408">
        <f t="shared" si="132"/>
        <v>6.1948621621621625</v>
      </c>
      <c r="L185" s="408">
        <f t="shared" si="137"/>
        <v>4.365137837837838</v>
      </c>
      <c r="M185" s="63">
        <f t="shared" si="122"/>
        <v>0</v>
      </c>
      <c r="N185" s="407">
        <f t="shared" si="138"/>
        <v>5.3063538258631056</v>
      </c>
      <c r="O185" s="407">
        <f t="shared" si="139"/>
        <v>0.14239069480940678</v>
      </c>
      <c r="P185">
        <f t="shared" si="123"/>
        <v>0.2</v>
      </c>
      <c r="Q185" s="407">
        <f t="shared" si="133"/>
        <v>0.34239069480940676</v>
      </c>
      <c r="R185" s="9">
        <f t="shared" si="140"/>
        <v>0.52819591559572732</v>
      </c>
      <c r="S185" s="9">
        <f t="shared" si="141"/>
        <v>2.789909252520087E-3</v>
      </c>
      <c r="T185" s="9">
        <f t="shared" si="142"/>
        <v>2.789909252520087E-3</v>
      </c>
      <c r="U185" s="407">
        <f t="shared" si="143"/>
        <v>2.4599972474893468</v>
      </c>
      <c r="V185" s="409">
        <f t="shared" si="144"/>
        <v>1.2103172915310325E-2</v>
      </c>
      <c r="W185" s="407">
        <f t="shared" si="145"/>
        <v>1.2103172915310325E-2</v>
      </c>
      <c r="X185" s="407">
        <f t="shared" si="146"/>
        <v>2.4599972474893468</v>
      </c>
      <c r="Y185" s="407">
        <f t="shared" si="147"/>
        <v>3.6309518745930976E-2</v>
      </c>
      <c r="Z185" s="407">
        <f t="shared" si="124"/>
        <v>0.11997441351934031</v>
      </c>
      <c r="AA185" s="407">
        <f t="shared" si="125"/>
        <v>0.14400000000000002</v>
      </c>
      <c r="AB185" s="407">
        <f t="shared" si="126"/>
        <v>0</v>
      </c>
      <c r="AC185" s="407">
        <f t="shared" si="148"/>
        <v>0.30248051666328418</v>
      </c>
      <c r="AD185" s="407">
        <f t="shared" si="149"/>
        <v>4.7016810257180204</v>
      </c>
      <c r="AE185" s="407">
        <f t="shared" si="150"/>
        <v>0.13263482680558114</v>
      </c>
      <c r="AF185" s="407">
        <f t="shared" si="127"/>
        <v>8.5536000000000001E-2</v>
      </c>
      <c r="AG185" s="407">
        <f t="shared" si="151"/>
        <v>0.22411594265321694</v>
      </c>
      <c r="AH185" s="407">
        <f t="shared" si="152"/>
        <v>0</v>
      </c>
      <c r="AI185">
        <f t="shared" si="128"/>
        <v>0</v>
      </c>
      <c r="AJ185" s="408">
        <f t="shared" si="129"/>
        <v>0.45300124799999997</v>
      </c>
      <c r="AK185">
        <f t="shared" si="134"/>
        <v>4.8000000000000001E-2</v>
      </c>
      <c r="AL185" s="408">
        <f t="shared" si="130"/>
        <v>5.1750000000000004E-2</v>
      </c>
      <c r="AM185" s="408">
        <f t="shared" si="135"/>
        <v>0.13648893249607535</v>
      </c>
      <c r="AN185" s="408">
        <f t="shared" si="153"/>
        <v>9.9750000000000005E-2</v>
      </c>
      <c r="AO185" s="408">
        <f t="shared" si="154"/>
        <v>1.4366314842937382</v>
      </c>
      <c r="AP185">
        <f t="shared" si="131"/>
        <v>26.928000000000001</v>
      </c>
      <c r="AQ185" s="10">
        <f t="shared" si="155"/>
        <v>0.94935130798053069</v>
      </c>
      <c r="AR185" s="63">
        <f t="shared" si="156"/>
        <v>15.124025833164209</v>
      </c>
      <c r="AS185" s="63">
        <f t="shared" si="157"/>
        <v>11.205797132660846</v>
      </c>
      <c r="AT185" s="10"/>
      <c r="AU185">
        <f t="shared" si="158"/>
        <v>94.935130798053066</v>
      </c>
    </row>
    <row r="186" spans="7:47" x14ac:dyDescent="0.25">
      <c r="G186">
        <v>177</v>
      </c>
      <c r="H186">
        <f t="shared" si="120"/>
        <v>5.3100000000000005</v>
      </c>
      <c r="I186" s="407">
        <f t="shared" si="136"/>
        <v>0.21493375000000001</v>
      </c>
      <c r="J186" s="408">
        <f t="shared" si="121"/>
        <v>1.8298413851351349</v>
      </c>
      <c r="K186" s="408">
        <f t="shared" si="132"/>
        <v>6.2249206925675677</v>
      </c>
      <c r="L186" s="408">
        <f t="shared" si="137"/>
        <v>4.3950793074324332</v>
      </c>
      <c r="M186" s="63">
        <f t="shared" si="122"/>
        <v>0</v>
      </c>
      <c r="N186" s="407">
        <f t="shared" si="138"/>
        <v>5.3362090124509534</v>
      </c>
      <c r="O186" s="407">
        <f t="shared" si="139"/>
        <v>0.14401598245738786</v>
      </c>
      <c r="P186">
        <f t="shared" si="123"/>
        <v>0.2</v>
      </c>
      <c r="Q186" s="407">
        <f t="shared" si="133"/>
        <v>0.34401598245738785</v>
      </c>
      <c r="R186" s="9">
        <f t="shared" si="140"/>
        <v>0.52822970814104397</v>
      </c>
      <c r="S186" s="9">
        <f t="shared" si="141"/>
        <v>2.7902662456277252E-3</v>
      </c>
      <c r="T186" s="9">
        <f t="shared" si="142"/>
        <v>2.7902662456277252E-3</v>
      </c>
      <c r="U186" s="407">
        <f t="shared" si="143"/>
        <v>2.4739170857452195</v>
      </c>
      <c r="V186" s="409">
        <f t="shared" si="144"/>
        <v>1.2240531494284239E-2</v>
      </c>
      <c r="W186" s="407">
        <f t="shared" si="145"/>
        <v>1.2240531494284239E-2</v>
      </c>
      <c r="X186" s="407">
        <f t="shared" si="146"/>
        <v>2.4739170857452195</v>
      </c>
      <c r="Y186" s="407">
        <f t="shared" si="147"/>
        <v>3.6721594482852719E-2</v>
      </c>
      <c r="Z186" s="407">
        <f t="shared" si="124"/>
        <v>0.12064116450930581</v>
      </c>
      <c r="AA186" s="407">
        <f t="shared" si="125"/>
        <v>0.14400000000000002</v>
      </c>
      <c r="AB186" s="407">
        <f t="shared" si="126"/>
        <v>0</v>
      </c>
      <c r="AC186" s="407">
        <f t="shared" si="148"/>
        <v>0.30359243867638547</v>
      </c>
      <c r="AD186" s="407">
        <f t="shared" si="149"/>
        <v>4.7280927314743586</v>
      </c>
      <c r="AE186" s="407">
        <f t="shared" si="150"/>
        <v>0.13412916526452398</v>
      </c>
      <c r="AF186" s="407">
        <f t="shared" si="127"/>
        <v>8.6022000000000001E-2</v>
      </c>
      <c r="AG186" s="407">
        <f t="shared" si="151"/>
        <v>0.22621969709199247</v>
      </c>
      <c r="AH186" s="407">
        <f t="shared" si="152"/>
        <v>0</v>
      </c>
      <c r="AI186">
        <f t="shared" si="128"/>
        <v>0</v>
      </c>
      <c r="AJ186" s="408">
        <f t="shared" si="129"/>
        <v>0.45299784599999998</v>
      </c>
      <c r="AK186">
        <f t="shared" si="134"/>
        <v>4.8000000000000001E-2</v>
      </c>
      <c r="AL186" s="408">
        <f t="shared" si="130"/>
        <v>5.1750000000000004E-2</v>
      </c>
      <c r="AM186" s="408">
        <f t="shared" si="135"/>
        <v>0.13648893249607535</v>
      </c>
      <c r="AN186" s="408">
        <f t="shared" si="153"/>
        <v>9.9750000000000005E-2</v>
      </c>
      <c r="AO186" s="408">
        <f t="shared" si="154"/>
        <v>1.4416067619656778</v>
      </c>
      <c r="AP186">
        <f t="shared" si="131"/>
        <v>27.081</v>
      </c>
      <c r="AQ186" s="10">
        <f t="shared" si="155"/>
        <v>0.94945739798621664</v>
      </c>
      <c r="AR186" s="63">
        <f t="shared" si="156"/>
        <v>15.179621933819273</v>
      </c>
      <c r="AS186" s="63">
        <f t="shared" si="157"/>
        <v>11.310984854599623</v>
      </c>
      <c r="AT186" s="10"/>
      <c r="AU186">
        <f t="shared" si="158"/>
        <v>94.945739798621659</v>
      </c>
    </row>
    <row r="187" spans="7:47" x14ac:dyDescent="0.25">
      <c r="G187">
        <v>178</v>
      </c>
      <c r="H187">
        <f t="shared" si="120"/>
        <v>5.34</v>
      </c>
      <c r="I187" s="407">
        <f t="shared" si="136"/>
        <v>0.21494749999999999</v>
      </c>
      <c r="J187" s="408">
        <f t="shared" si="121"/>
        <v>1.8299584459459455</v>
      </c>
      <c r="K187" s="408">
        <f t="shared" si="132"/>
        <v>6.2549792229729722</v>
      </c>
      <c r="L187" s="408">
        <f t="shared" si="137"/>
        <v>4.4250207770270276</v>
      </c>
      <c r="M187" s="63">
        <f t="shared" si="122"/>
        <v>0</v>
      </c>
      <c r="N187" s="407">
        <f t="shared" si="138"/>
        <v>5.3660658145570119</v>
      </c>
      <c r="O187" s="407">
        <f t="shared" si="139"/>
        <v>0.14565089901261485</v>
      </c>
      <c r="P187">
        <f t="shared" si="123"/>
        <v>0.2</v>
      </c>
      <c r="Q187" s="407">
        <f t="shared" si="133"/>
        <v>0.34565089901261487</v>
      </c>
      <c r="R187" s="9">
        <f t="shared" si="140"/>
        <v>0.52826350068636041</v>
      </c>
      <c r="S187" s="9">
        <f t="shared" si="141"/>
        <v>2.790623261574083E-3</v>
      </c>
      <c r="T187" s="9">
        <f t="shared" si="142"/>
        <v>2.790623261574083E-3</v>
      </c>
      <c r="U187" s="407">
        <f t="shared" si="143"/>
        <v>2.4878385559259506</v>
      </c>
      <c r="V187" s="409">
        <f t="shared" si="144"/>
        <v>1.2378681360703438E-2</v>
      </c>
      <c r="W187" s="407">
        <f t="shared" si="145"/>
        <v>1.2378681360703438E-2</v>
      </c>
      <c r="X187" s="407">
        <f t="shared" si="146"/>
        <v>2.4878385559259506</v>
      </c>
      <c r="Y187" s="407">
        <f t="shared" si="147"/>
        <v>3.7136044082110319E-2</v>
      </c>
      <c r="Z187" s="407">
        <f t="shared" si="124"/>
        <v>0.12130791549927132</v>
      </c>
      <c r="AA187" s="407">
        <f t="shared" si="125"/>
        <v>0.14400000000000002</v>
      </c>
      <c r="AB187" s="407">
        <f t="shared" si="126"/>
        <v>0</v>
      </c>
      <c r="AC187" s="407">
        <f t="shared" si="148"/>
        <v>0.30470708271253044</v>
      </c>
      <c r="AD187" s="407">
        <f t="shared" si="149"/>
        <v>4.7545054049612441</v>
      </c>
      <c r="AE187" s="407">
        <f t="shared" si="150"/>
        <v>0.13563192987483411</v>
      </c>
      <c r="AF187" s="407">
        <f t="shared" si="127"/>
        <v>8.6507999999999988E-2</v>
      </c>
      <c r="AG187" s="407">
        <f t="shared" si="151"/>
        <v>0.22833380068330048</v>
      </c>
      <c r="AH187" s="407">
        <f t="shared" si="152"/>
        <v>0</v>
      </c>
      <c r="AI187">
        <f t="shared" si="128"/>
        <v>0</v>
      </c>
      <c r="AJ187" s="408">
        <f t="shared" si="129"/>
        <v>0.45299444400000005</v>
      </c>
      <c r="AK187">
        <f t="shared" si="134"/>
        <v>4.8000000000000001E-2</v>
      </c>
      <c r="AL187" s="408">
        <f t="shared" si="130"/>
        <v>5.1750000000000004E-2</v>
      </c>
      <c r="AM187" s="408">
        <f t="shared" si="135"/>
        <v>0.13648893249607535</v>
      </c>
      <c r="AN187" s="408">
        <f t="shared" si="153"/>
        <v>9.9750000000000005E-2</v>
      </c>
      <c r="AO187" s="408">
        <f t="shared" si="154"/>
        <v>1.4466055310307233</v>
      </c>
      <c r="AP187">
        <f t="shared" si="131"/>
        <v>27.233999999999998</v>
      </c>
      <c r="AQ187" s="10">
        <f t="shared" si="155"/>
        <v>0.94956154152792971</v>
      </c>
      <c r="AR187" s="63">
        <f t="shared" si="156"/>
        <v>15.235354135626523</v>
      </c>
      <c r="AS187" s="63">
        <f t="shared" si="157"/>
        <v>11.416690034165024</v>
      </c>
      <c r="AT187" s="10"/>
      <c r="AU187">
        <f t="shared" si="158"/>
        <v>94.956154152792976</v>
      </c>
    </row>
    <row r="188" spans="7:47" x14ac:dyDescent="0.25">
      <c r="G188">
        <v>179</v>
      </c>
      <c r="H188">
        <f t="shared" si="120"/>
        <v>5.37</v>
      </c>
      <c r="I188" s="407">
        <f t="shared" si="136"/>
        <v>0.21496124999999996</v>
      </c>
      <c r="J188" s="408">
        <f t="shared" si="121"/>
        <v>1.8300755067567562</v>
      </c>
      <c r="K188" s="408">
        <f t="shared" si="132"/>
        <v>6.2850377533783783</v>
      </c>
      <c r="L188" s="408">
        <f t="shared" si="137"/>
        <v>4.4549622466216219</v>
      </c>
      <c r="M188" s="63">
        <f t="shared" si="122"/>
        <v>0</v>
      </c>
      <c r="N188" s="407">
        <f t="shared" si="138"/>
        <v>5.3959242053642598</v>
      </c>
      <c r="O188" s="407">
        <f t="shared" si="139"/>
        <v>0.14729545178376735</v>
      </c>
      <c r="P188">
        <f t="shared" si="123"/>
        <v>0.2</v>
      </c>
      <c r="Q188" s="407">
        <f t="shared" si="133"/>
        <v>0.34729545178376736</v>
      </c>
      <c r="R188" s="9">
        <f t="shared" si="140"/>
        <v>0.52829729323167707</v>
      </c>
      <c r="S188" s="9">
        <f t="shared" si="141"/>
        <v>2.7909803003591661E-3</v>
      </c>
      <c r="T188" s="9">
        <f t="shared" si="142"/>
        <v>2.7909803003591661E-3</v>
      </c>
      <c r="U188" s="407">
        <f t="shared" si="143"/>
        <v>2.5017616456277483</v>
      </c>
      <c r="V188" s="409">
        <f t="shared" si="144"/>
        <v>1.2517622663068119E-2</v>
      </c>
      <c r="W188" s="407">
        <f t="shared" si="145"/>
        <v>1.2517622663068119E-2</v>
      </c>
      <c r="X188" s="407">
        <f t="shared" si="146"/>
        <v>2.5017616456277483</v>
      </c>
      <c r="Y188" s="407">
        <f t="shared" si="147"/>
        <v>3.7552867989204354E-2</v>
      </c>
      <c r="Z188" s="407">
        <f t="shared" si="124"/>
        <v>0.12197466648923681</v>
      </c>
      <c r="AA188" s="407">
        <f t="shared" si="125"/>
        <v>0.14400000000000002</v>
      </c>
      <c r="AB188" s="407">
        <f t="shared" si="126"/>
        <v>0</v>
      </c>
      <c r="AC188" s="407">
        <f t="shared" si="148"/>
        <v>0.30582445152967419</v>
      </c>
      <c r="AD188" s="407">
        <f t="shared" si="149"/>
        <v>4.7809190223744498</v>
      </c>
      <c r="AE188" s="407">
        <f t="shared" si="150"/>
        <v>0.13714312019101119</v>
      </c>
      <c r="AF188" s="407">
        <f t="shared" si="127"/>
        <v>8.6994000000000002E-2</v>
      </c>
      <c r="AG188" s="407">
        <f t="shared" si="151"/>
        <v>0.23045827353221959</v>
      </c>
      <c r="AH188" s="407">
        <f t="shared" si="152"/>
        <v>0</v>
      </c>
      <c r="AI188">
        <f t="shared" si="128"/>
        <v>0</v>
      </c>
      <c r="AJ188" s="408">
        <f t="shared" si="129"/>
        <v>0.45299104200000001</v>
      </c>
      <c r="AK188">
        <f t="shared" si="134"/>
        <v>4.8000000000000001E-2</v>
      </c>
      <c r="AL188" s="408">
        <f t="shared" si="130"/>
        <v>5.1750000000000004E-2</v>
      </c>
      <c r="AM188" s="408">
        <f t="shared" si="135"/>
        <v>0.13648893249607535</v>
      </c>
      <c r="AN188" s="408">
        <f t="shared" si="153"/>
        <v>9.9750000000000005E-2</v>
      </c>
      <c r="AO188" s="408">
        <f t="shared" si="154"/>
        <v>1.4516278218090886</v>
      </c>
      <c r="AP188">
        <f t="shared" si="131"/>
        <v>27.386999999999997</v>
      </c>
      <c r="AQ188" s="10">
        <f t="shared" si="155"/>
        <v>0.94966376934511076</v>
      </c>
      <c r="AR188" s="63">
        <f t="shared" si="156"/>
        <v>15.29122257648371</v>
      </c>
      <c r="AS188" s="63">
        <f t="shared" si="157"/>
        <v>11.52291367661098</v>
      </c>
      <c r="AT188" s="10"/>
      <c r="AU188">
        <f t="shared" si="158"/>
        <v>94.966376934511075</v>
      </c>
    </row>
    <row r="189" spans="7:47" x14ac:dyDescent="0.25">
      <c r="G189">
        <v>180</v>
      </c>
      <c r="H189">
        <f t="shared" si="120"/>
        <v>5.4</v>
      </c>
      <c r="I189" s="407">
        <f t="shared" si="136"/>
        <v>0.214975</v>
      </c>
      <c r="J189" s="408">
        <f t="shared" si="121"/>
        <v>1.8301925675675672</v>
      </c>
      <c r="K189" s="408">
        <f t="shared" si="132"/>
        <v>6.3150962837837836</v>
      </c>
      <c r="L189" s="408">
        <f t="shared" si="137"/>
        <v>4.4849037162162171</v>
      </c>
      <c r="M189" s="63">
        <f t="shared" si="122"/>
        <v>0</v>
      </c>
      <c r="N189" s="407">
        <f t="shared" si="138"/>
        <v>5.4257841586445643</v>
      </c>
      <c r="O189" s="407">
        <f t="shared" si="139"/>
        <v>0.14894964812544134</v>
      </c>
      <c r="P189">
        <f t="shared" si="123"/>
        <v>0.2</v>
      </c>
      <c r="Q189" s="407">
        <f t="shared" si="133"/>
        <v>0.34894964812544138</v>
      </c>
      <c r="R189" s="9">
        <f t="shared" si="140"/>
        <v>0.52833108577699361</v>
      </c>
      <c r="S189" s="9">
        <f t="shared" si="141"/>
        <v>2.7913373619829701E-3</v>
      </c>
      <c r="T189" s="9">
        <f t="shared" si="142"/>
        <v>2.7913373619829701E-3</v>
      </c>
      <c r="U189" s="407">
        <f t="shared" si="143"/>
        <v>2.5156863427182712</v>
      </c>
      <c r="V189" s="409">
        <f t="shared" si="144"/>
        <v>1.2657355549878463E-2</v>
      </c>
      <c r="W189" s="407">
        <f t="shared" si="145"/>
        <v>1.2657355549878463E-2</v>
      </c>
      <c r="X189" s="407">
        <f t="shared" si="146"/>
        <v>2.5156863427182712</v>
      </c>
      <c r="Y189" s="407">
        <f t="shared" si="147"/>
        <v>3.7972066649635386E-2</v>
      </c>
      <c r="Z189" s="407">
        <f t="shared" si="124"/>
        <v>0.12264141747920236</v>
      </c>
      <c r="AA189" s="407">
        <f t="shared" si="125"/>
        <v>0.14400000000000002</v>
      </c>
      <c r="AB189" s="407">
        <f t="shared" si="126"/>
        <v>0</v>
      </c>
      <c r="AC189" s="407">
        <f t="shared" si="148"/>
        <v>0.30694454789491937</v>
      </c>
      <c r="AD189" s="407">
        <f t="shared" si="149"/>
        <v>4.8073335604323395</v>
      </c>
      <c r="AE189" s="407">
        <f t="shared" si="150"/>
        <v>0.13866273576755445</v>
      </c>
      <c r="AF189" s="407">
        <f t="shared" si="127"/>
        <v>8.7480000000000002E-2</v>
      </c>
      <c r="AG189" s="407">
        <f t="shared" si="151"/>
        <v>0.23259313587581343</v>
      </c>
      <c r="AH189" s="407">
        <f t="shared" si="152"/>
        <v>0</v>
      </c>
      <c r="AI189">
        <f t="shared" si="128"/>
        <v>0</v>
      </c>
      <c r="AJ189" s="408">
        <f t="shared" si="129"/>
        <v>0.45298764000000002</v>
      </c>
      <c r="AK189">
        <f t="shared" si="134"/>
        <v>4.8000000000000001E-2</v>
      </c>
      <c r="AL189" s="408">
        <f t="shared" si="130"/>
        <v>5.1750000000000004E-2</v>
      </c>
      <c r="AM189" s="408">
        <f t="shared" si="135"/>
        <v>0.13648893249607535</v>
      </c>
      <c r="AN189" s="408">
        <f t="shared" si="153"/>
        <v>9.9750000000000005E-2</v>
      </c>
      <c r="AO189" s="408">
        <f t="shared" si="154"/>
        <v>1.4566736648080354</v>
      </c>
      <c r="AP189">
        <f t="shared" si="131"/>
        <v>27.54</v>
      </c>
      <c r="AQ189" s="10">
        <f t="shared" si="155"/>
        <v>0.94976411150993723</v>
      </c>
      <c r="AR189" s="63">
        <f t="shared" si="156"/>
        <v>15.347227394745969</v>
      </c>
      <c r="AS189" s="63">
        <f t="shared" si="157"/>
        <v>11.629656793790671</v>
      </c>
      <c r="AT189" s="10"/>
      <c r="AU189">
        <f t="shared" si="158"/>
        <v>94.976411150993727</v>
      </c>
    </row>
    <row r="190" spans="7:47" x14ac:dyDescent="0.25">
      <c r="G190">
        <v>181</v>
      </c>
      <c r="H190">
        <f t="shared" si="120"/>
        <v>5.43</v>
      </c>
      <c r="I190" s="407">
        <f t="shared" si="136"/>
        <v>0.21498874999999998</v>
      </c>
      <c r="J190" s="408">
        <f t="shared" si="121"/>
        <v>1.8303096283783777</v>
      </c>
      <c r="K190" s="408">
        <f t="shared" si="132"/>
        <v>6.3451548141891889</v>
      </c>
      <c r="L190" s="408">
        <f t="shared" si="137"/>
        <v>4.5148451858108105</v>
      </c>
      <c r="M190" s="63">
        <f t="shared" si="122"/>
        <v>0</v>
      </c>
      <c r="N190" s="407">
        <f t="shared" si="138"/>
        <v>5.4556456487426441</v>
      </c>
      <c r="O190" s="407">
        <f t="shared" si="139"/>
        <v>0.15061349543823244</v>
      </c>
      <c r="P190">
        <f t="shared" si="123"/>
        <v>0.2</v>
      </c>
      <c r="Q190" s="407">
        <f t="shared" si="133"/>
        <v>0.35061349543823245</v>
      </c>
      <c r="R190" s="9">
        <f t="shared" si="140"/>
        <v>0.52836487832231016</v>
      </c>
      <c r="S190" s="9">
        <f t="shared" si="141"/>
        <v>2.7916944464454964E-3</v>
      </c>
      <c r="T190" s="9">
        <f t="shared" si="142"/>
        <v>2.7916944464454964E-3</v>
      </c>
      <c r="U190" s="407">
        <f t="shared" si="143"/>
        <v>2.5296126353292365</v>
      </c>
      <c r="V190" s="409">
        <f t="shared" si="144"/>
        <v>1.2797880169634651E-2</v>
      </c>
      <c r="W190" s="407">
        <f t="shared" si="145"/>
        <v>1.2797880169634651E-2</v>
      </c>
      <c r="X190" s="407">
        <f t="shared" si="146"/>
        <v>2.5296126353292365</v>
      </c>
      <c r="Y190" s="407">
        <f t="shared" si="147"/>
        <v>3.8393640508903953E-2</v>
      </c>
      <c r="Z190" s="407">
        <f t="shared" si="124"/>
        <v>0.12330816846916787</v>
      </c>
      <c r="AA190" s="407">
        <f t="shared" si="125"/>
        <v>0.14400000000000002</v>
      </c>
      <c r="AB190" s="407">
        <f t="shared" si="126"/>
        <v>0</v>
      </c>
      <c r="AC190" s="407">
        <f t="shared" si="148"/>
        <v>0.30806737458453598</v>
      </c>
      <c r="AD190" s="407">
        <f t="shared" si="149"/>
        <v>4.8337489963616465</v>
      </c>
      <c r="AE190" s="407">
        <f t="shared" si="150"/>
        <v>0.14019077615896336</v>
      </c>
      <c r="AF190" s="407">
        <f t="shared" si="127"/>
        <v>8.7965999999999989E-2</v>
      </c>
      <c r="AG190" s="407">
        <f t="shared" si="151"/>
        <v>0.23473840808367738</v>
      </c>
      <c r="AH190" s="407">
        <f t="shared" si="152"/>
        <v>0</v>
      </c>
      <c r="AI190">
        <f t="shared" si="128"/>
        <v>0</v>
      </c>
      <c r="AJ190" s="408">
        <f t="shared" si="129"/>
        <v>0.45298423800000004</v>
      </c>
      <c r="AK190">
        <f t="shared" si="134"/>
        <v>4.8000000000000001E-2</v>
      </c>
      <c r="AL190" s="408">
        <f t="shared" si="130"/>
        <v>5.1750000000000004E-2</v>
      </c>
      <c r="AM190" s="408">
        <f t="shared" si="135"/>
        <v>0.13648893249607535</v>
      </c>
      <c r="AN190" s="408">
        <f t="shared" si="153"/>
        <v>9.9750000000000005E-2</v>
      </c>
      <c r="AO190" s="408">
        <f t="shared" si="154"/>
        <v>1.461743090722526</v>
      </c>
      <c r="AP190">
        <f t="shared" si="131"/>
        <v>27.692999999999998</v>
      </c>
      <c r="AQ190" s="10">
        <f t="shared" si="155"/>
        <v>0.949862597445159</v>
      </c>
      <c r="AR190" s="63">
        <f t="shared" si="156"/>
        <v>15.403368729226798</v>
      </c>
      <c r="AS190" s="63">
        <f t="shared" si="157"/>
        <v>11.736920404183868</v>
      </c>
      <c r="AT190" s="10"/>
      <c r="AU190">
        <f t="shared" si="158"/>
        <v>94.986259744515905</v>
      </c>
    </row>
    <row r="191" spans="7:47" x14ac:dyDescent="0.25">
      <c r="G191">
        <v>182</v>
      </c>
      <c r="H191">
        <f t="shared" si="120"/>
        <v>5.46</v>
      </c>
      <c r="I191" s="407">
        <f t="shared" si="136"/>
        <v>0.21500249999999999</v>
      </c>
      <c r="J191" s="408">
        <f t="shared" si="121"/>
        <v>1.8304266891891887</v>
      </c>
      <c r="K191" s="408">
        <f t="shared" si="132"/>
        <v>6.3752133445945942</v>
      </c>
      <c r="L191" s="408">
        <f t="shared" si="137"/>
        <v>4.5447866554054057</v>
      </c>
      <c r="M191" s="63">
        <f t="shared" si="122"/>
        <v>0</v>
      </c>
      <c r="N191" s="407">
        <f t="shared" si="138"/>
        <v>5.4855086505605541</v>
      </c>
      <c r="O191" s="407">
        <f t="shared" si="139"/>
        <v>0.15228700116882027</v>
      </c>
      <c r="P191">
        <f t="shared" si="123"/>
        <v>0.2</v>
      </c>
      <c r="Q191" s="407">
        <f t="shared" si="133"/>
        <v>0.35228700116882028</v>
      </c>
      <c r="R191" s="9">
        <f t="shared" si="140"/>
        <v>0.52839867086762682</v>
      </c>
      <c r="S191" s="9">
        <f t="shared" si="141"/>
        <v>2.7920515537467462E-3</v>
      </c>
      <c r="T191" s="9">
        <f t="shared" si="142"/>
        <v>2.7920515537467462E-3</v>
      </c>
      <c r="U191" s="407">
        <f t="shared" si="143"/>
        <v>2.5435405118492693</v>
      </c>
      <c r="V191" s="409">
        <f t="shared" si="144"/>
        <v>1.2939196670836886E-2</v>
      </c>
      <c r="W191" s="407">
        <f t="shared" si="145"/>
        <v>1.2939196670836886E-2</v>
      </c>
      <c r="X191" s="407">
        <f t="shared" si="146"/>
        <v>2.5435405118492693</v>
      </c>
      <c r="Y191" s="407">
        <f t="shared" si="147"/>
        <v>3.8817590012510658E-2</v>
      </c>
      <c r="Z191" s="407">
        <f t="shared" si="124"/>
        <v>0.12397491945913336</v>
      </c>
      <c r="AA191" s="407">
        <f t="shared" si="125"/>
        <v>0.14400000000000002</v>
      </c>
      <c r="AB191" s="407">
        <f t="shared" si="126"/>
        <v>0</v>
      </c>
      <c r="AC191" s="407">
        <f t="shared" si="148"/>
        <v>0.30919293438398054</v>
      </c>
      <c r="AD191" s="407">
        <f t="shared" si="149"/>
        <v>4.8601653078836966</v>
      </c>
      <c r="AE191" s="407">
        <f t="shared" si="150"/>
        <v>0.14172724091973737</v>
      </c>
      <c r="AF191" s="407">
        <f t="shared" si="127"/>
        <v>8.8451999999999989E-2</v>
      </c>
      <c r="AG191" s="407">
        <f t="shared" si="151"/>
        <v>0.23689411065848989</v>
      </c>
      <c r="AH191" s="407">
        <f t="shared" si="152"/>
        <v>0</v>
      </c>
      <c r="AI191">
        <f t="shared" si="128"/>
        <v>0</v>
      </c>
      <c r="AJ191" s="408">
        <f t="shared" si="129"/>
        <v>0.452980836</v>
      </c>
      <c r="AK191">
        <f t="shared" si="134"/>
        <v>4.8000000000000001E-2</v>
      </c>
      <c r="AL191" s="408">
        <f t="shared" si="130"/>
        <v>5.1750000000000004E-2</v>
      </c>
      <c r="AM191" s="408">
        <f t="shared" si="135"/>
        <v>0.13648893249607535</v>
      </c>
      <c r="AN191" s="408">
        <f t="shared" si="153"/>
        <v>9.9750000000000005E-2</v>
      </c>
      <c r="AO191" s="408">
        <f t="shared" si="154"/>
        <v>1.4668361304358744</v>
      </c>
      <c r="AP191">
        <f t="shared" si="131"/>
        <v>27.845999999999997</v>
      </c>
      <c r="AQ191" s="10">
        <f t="shared" si="155"/>
        <v>0.94995925594136421</v>
      </c>
      <c r="AR191" s="63">
        <f t="shared" si="156"/>
        <v>15.459646719199027</v>
      </c>
      <c r="AS191" s="63">
        <f t="shared" si="157"/>
        <v>11.844705532924495</v>
      </c>
      <c r="AT191" s="10"/>
      <c r="AU191">
        <f t="shared" si="158"/>
        <v>94.995925594136423</v>
      </c>
    </row>
    <row r="192" spans="7:47" x14ac:dyDescent="0.25">
      <c r="G192">
        <v>183</v>
      </c>
      <c r="H192">
        <f t="shared" si="120"/>
        <v>5.49</v>
      </c>
      <c r="I192" s="407">
        <f t="shared" si="136"/>
        <v>0.21501624999999999</v>
      </c>
      <c r="J192" s="408">
        <f t="shared" si="121"/>
        <v>1.8305437499999995</v>
      </c>
      <c r="K192" s="408">
        <f t="shared" si="132"/>
        <v>6.4052718750000004</v>
      </c>
      <c r="L192" s="408">
        <f t="shared" si="137"/>
        <v>4.574728125</v>
      </c>
      <c r="M192" s="63">
        <f t="shared" si="122"/>
        <v>0</v>
      </c>
      <c r="N192" s="407">
        <f t="shared" si="138"/>
        <v>5.5153731395426613</v>
      </c>
      <c r="O192" s="407">
        <f t="shared" si="139"/>
        <v>0.15397017281005285</v>
      </c>
      <c r="P192">
        <f t="shared" si="123"/>
        <v>0.2</v>
      </c>
      <c r="Q192" s="407">
        <f t="shared" si="133"/>
        <v>0.35397017281005283</v>
      </c>
      <c r="R192" s="9">
        <f t="shared" si="140"/>
        <v>0.52843246341294337</v>
      </c>
      <c r="S192" s="9">
        <f t="shared" si="141"/>
        <v>2.7924086838867174E-3</v>
      </c>
      <c r="T192" s="9">
        <f t="shared" si="142"/>
        <v>2.7924086838867174E-3</v>
      </c>
      <c r="U192" s="407">
        <f t="shared" si="143"/>
        <v>2.5574699609169755</v>
      </c>
      <c r="V192" s="409">
        <f t="shared" si="144"/>
        <v>1.3081305201985353E-2</v>
      </c>
      <c r="W192" s="407">
        <f t="shared" si="145"/>
        <v>1.3081305201985353E-2</v>
      </c>
      <c r="X192" s="407">
        <f t="shared" si="146"/>
        <v>2.5574699609169755</v>
      </c>
      <c r="Y192" s="407">
        <f t="shared" si="147"/>
        <v>3.924391560595606E-2</v>
      </c>
      <c r="Z192" s="407">
        <f t="shared" si="124"/>
        <v>0.12464167044909889</v>
      </c>
      <c r="AA192" s="407">
        <f t="shared" si="125"/>
        <v>0.14400000000000002</v>
      </c>
      <c r="AB192" s="407">
        <f t="shared" si="126"/>
        <v>0</v>
      </c>
      <c r="AC192" s="407">
        <f t="shared" si="148"/>
        <v>0.31032123008791634</v>
      </c>
      <c r="AD192" s="407">
        <f t="shared" si="149"/>
        <v>4.8865824732010807</v>
      </c>
      <c r="AE192" s="407">
        <f t="shared" si="150"/>
        <v>0.14327212960437594</v>
      </c>
      <c r="AF192" s="407">
        <f t="shared" si="127"/>
        <v>8.8938000000000003E-2</v>
      </c>
      <c r="AG192" s="407">
        <f t="shared" si="151"/>
        <v>0.23906026423656751</v>
      </c>
      <c r="AH192" s="407">
        <f t="shared" si="152"/>
        <v>0</v>
      </c>
      <c r="AI192">
        <f t="shared" si="128"/>
        <v>0</v>
      </c>
      <c r="AJ192" s="408">
        <f t="shared" si="129"/>
        <v>0.45297743400000001</v>
      </c>
      <c r="AK192">
        <f t="shared" si="134"/>
        <v>4.8000000000000001E-2</v>
      </c>
      <c r="AL192" s="408">
        <f t="shared" si="130"/>
        <v>5.1750000000000004E-2</v>
      </c>
      <c r="AM192" s="408">
        <f t="shared" si="135"/>
        <v>0.13648893249607535</v>
      </c>
      <c r="AN192" s="408">
        <f t="shared" si="153"/>
        <v>9.9750000000000005E-2</v>
      </c>
      <c r="AO192" s="408">
        <f t="shared" si="154"/>
        <v>1.4719528150204086</v>
      </c>
      <c r="AP192">
        <f t="shared" si="131"/>
        <v>27.998999999999999</v>
      </c>
      <c r="AQ192" s="10">
        <f t="shared" si="155"/>
        <v>0.95005411517369742</v>
      </c>
      <c r="AR192" s="63">
        <f t="shared" si="156"/>
        <v>15.516061504395818</v>
      </c>
      <c r="AS192" s="63">
        <f t="shared" si="157"/>
        <v>11.953013211828376</v>
      </c>
      <c r="AT192" s="10"/>
      <c r="AU192">
        <f t="shared" si="158"/>
        <v>95.005411517369737</v>
      </c>
    </row>
    <row r="193" spans="7:47" x14ac:dyDescent="0.25">
      <c r="G193">
        <v>184</v>
      </c>
      <c r="H193">
        <f t="shared" si="120"/>
        <v>5.5200000000000005</v>
      </c>
      <c r="I193" s="407">
        <f t="shared" si="136"/>
        <v>0.21502999999999997</v>
      </c>
      <c r="J193" s="408">
        <f t="shared" si="121"/>
        <v>1.83066081081081</v>
      </c>
      <c r="K193" s="408">
        <f t="shared" si="132"/>
        <v>6.4353304054054057</v>
      </c>
      <c r="L193" s="408">
        <f t="shared" si="137"/>
        <v>4.6046695945945952</v>
      </c>
      <c r="M193" s="63">
        <f t="shared" si="122"/>
        <v>0</v>
      </c>
      <c r="N193" s="407">
        <f t="shared" si="138"/>
        <v>5.5452390916611112</v>
      </c>
      <c r="O193" s="407">
        <f t="shared" si="139"/>
        <v>0.15566301790103165</v>
      </c>
      <c r="P193">
        <f t="shared" si="123"/>
        <v>0.2</v>
      </c>
      <c r="Q193" s="407">
        <f t="shared" si="133"/>
        <v>0.35566301790103166</v>
      </c>
      <c r="R193" s="9">
        <f t="shared" si="140"/>
        <v>0.52846625595825991</v>
      </c>
      <c r="S193" s="9">
        <f t="shared" si="141"/>
        <v>2.7927658368654107E-3</v>
      </c>
      <c r="T193" s="9">
        <f t="shared" si="142"/>
        <v>2.7927658368654107E-3</v>
      </c>
      <c r="U193" s="407">
        <f t="shared" si="143"/>
        <v>2.5714009714142438</v>
      </c>
      <c r="V193" s="409">
        <f t="shared" si="144"/>
        <v>1.3224205911580234E-2</v>
      </c>
      <c r="W193" s="407">
        <f t="shared" si="145"/>
        <v>1.3224205911580234E-2</v>
      </c>
      <c r="X193" s="407">
        <f t="shared" si="146"/>
        <v>2.5714009714142438</v>
      </c>
      <c r="Y193" s="407">
        <f t="shared" si="147"/>
        <v>3.9672617734740699E-2</v>
      </c>
      <c r="Z193" s="407">
        <f t="shared" si="124"/>
        <v>0.1253084214390644</v>
      </c>
      <c r="AA193" s="407">
        <f t="shared" si="125"/>
        <v>0.14400000000000002</v>
      </c>
      <c r="AB193" s="407">
        <f t="shared" si="126"/>
        <v>0</v>
      </c>
      <c r="AC193" s="407">
        <f t="shared" si="148"/>
        <v>0.3114522645002325</v>
      </c>
      <c r="AD193" s="407">
        <f t="shared" si="149"/>
        <v>4.9130004709847555</v>
      </c>
      <c r="AE193" s="407">
        <f t="shared" si="150"/>
        <v>0.14482544176737858</v>
      </c>
      <c r="AF193" s="407">
        <f t="shared" si="127"/>
        <v>8.9424000000000003E-2</v>
      </c>
      <c r="AG193" s="407">
        <f t="shared" si="151"/>
        <v>0.24123688958842496</v>
      </c>
      <c r="AH193" s="407">
        <f t="shared" si="152"/>
        <v>0</v>
      </c>
      <c r="AI193">
        <f t="shared" si="128"/>
        <v>0</v>
      </c>
      <c r="AJ193" s="408">
        <f t="shared" si="129"/>
        <v>0.45297403199999997</v>
      </c>
      <c r="AK193">
        <f t="shared" si="134"/>
        <v>4.8000000000000001E-2</v>
      </c>
      <c r="AL193" s="408">
        <f t="shared" si="130"/>
        <v>5.1750000000000004E-2</v>
      </c>
      <c r="AM193" s="408">
        <f t="shared" si="135"/>
        <v>0.13648893249607535</v>
      </c>
      <c r="AN193" s="408">
        <f t="shared" si="153"/>
        <v>9.9750000000000005E-2</v>
      </c>
      <c r="AO193" s="408">
        <f t="shared" si="154"/>
        <v>1.4770931757381347</v>
      </c>
      <c r="AP193">
        <f t="shared" si="131"/>
        <v>28.152000000000001</v>
      </c>
      <c r="AQ193" s="10">
        <f t="shared" si="155"/>
        <v>0.9501472027180482</v>
      </c>
      <c r="AR193" s="63">
        <f t="shared" si="156"/>
        <v>15.572613225011626</v>
      </c>
      <c r="AS193" s="63">
        <f t="shared" si="157"/>
        <v>12.061844479421248</v>
      </c>
      <c r="AT193" s="10"/>
      <c r="AU193">
        <f t="shared" si="158"/>
        <v>95.014720271804819</v>
      </c>
    </row>
    <row r="194" spans="7:47" x14ac:dyDescent="0.25">
      <c r="G194">
        <v>185</v>
      </c>
      <c r="H194">
        <f t="shared" si="120"/>
        <v>5.5500000000000007</v>
      </c>
      <c r="I194" s="407">
        <f t="shared" si="136"/>
        <v>0.21504374999999998</v>
      </c>
      <c r="J194" s="408">
        <f t="shared" si="121"/>
        <v>1.830777871621621</v>
      </c>
      <c r="K194" s="408">
        <f t="shared" si="132"/>
        <v>6.465388935810811</v>
      </c>
      <c r="L194" s="408">
        <f t="shared" si="137"/>
        <v>4.6346110641891904</v>
      </c>
      <c r="M194" s="63">
        <f t="shared" si="122"/>
        <v>0</v>
      </c>
      <c r="N194" s="407">
        <f t="shared" si="138"/>
        <v>5.5751064834017559</v>
      </c>
      <c r="O194" s="407">
        <f t="shared" si="139"/>
        <v>0.15736554402719757</v>
      </c>
      <c r="P194">
        <f t="shared" si="123"/>
        <v>0.2</v>
      </c>
      <c r="Q194" s="407">
        <f t="shared" si="133"/>
        <v>0.35736554402719756</v>
      </c>
      <c r="R194" s="9">
        <f t="shared" si="140"/>
        <v>0.52850004850357657</v>
      </c>
      <c r="S194" s="9">
        <f t="shared" si="141"/>
        <v>2.7931230126828277E-3</v>
      </c>
      <c r="T194" s="9">
        <f t="shared" si="142"/>
        <v>2.7931230126828277E-3</v>
      </c>
      <c r="U194" s="407">
        <f t="shared" si="143"/>
        <v>2.5853335324597602</v>
      </c>
      <c r="V194" s="409">
        <f t="shared" si="144"/>
        <v>1.3367898948121723E-2</v>
      </c>
      <c r="W194" s="407">
        <f t="shared" si="145"/>
        <v>1.3367898948121723E-2</v>
      </c>
      <c r="X194" s="407">
        <f t="shared" si="146"/>
        <v>2.5853335324597602</v>
      </c>
      <c r="Y194" s="407">
        <f t="shared" si="147"/>
        <v>4.0103696844365169E-2</v>
      </c>
      <c r="Z194" s="407">
        <f t="shared" si="124"/>
        <v>0.12597517242902995</v>
      </c>
      <c r="AA194" s="407">
        <f t="shared" si="125"/>
        <v>0.14400000000000002</v>
      </c>
      <c r="AB194" s="407">
        <f t="shared" si="126"/>
        <v>0</v>
      </c>
      <c r="AC194" s="407">
        <f t="shared" si="148"/>
        <v>0.31258604043406474</v>
      </c>
      <c r="AD194" s="407">
        <f t="shared" si="149"/>
        <v>4.9394192803615518</v>
      </c>
      <c r="AE194" s="407">
        <f t="shared" si="150"/>
        <v>0.14638717696324458</v>
      </c>
      <c r="AF194" s="407">
        <f t="shared" si="127"/>
        <v>8.9910000000000004E-2</v>
      </c>
      <c r="AG194" s="407">
        <f t="shared" si="151"/>
        <v>0.24342400761933949</v>
      </c>
      <c r="AH194" s="407">
        <f t="shared" si="152"/>
        <v>0</v>
      </c>
      <c r="AI194">
        <f t="shared" si="128"/>
        <v>0</v>
      </c>
      <c r="AJ194" s="408">
        <f t="shared" si="129"/>
        <v>0.45297062999999999</v>
      </c>
      <c r="AK194">
        <f t="shared" si="134"/>
        <v>4.8000000000000001E-2</v>
      </c>
      <c r="AL194" s="408">
        <f t="shared" si="130"/>
        <v>5.1750000000000004E-2</v>
      </c>
      <c r="AM194" s="408">
        <f t="shared" si="135"/>
        <v>0.13648893249607535</v>
      </c>
      <c r="AN194" s="408">
        <f t="shared" si="153"/>
        <v>9.9750000000000005E-2</v>
      </c>
      <c r="AO194" s="408">
        <f t="shared" si="154"/>
        <v>1.4822572440414064</v>
      </c>
      <c r="AP194">
        <f t="shared" si="131"/>
        <v>28.305000000000003</v>
      </c>
      <c r="AQ194" s="10">
        <f t="shared" si="155"/>
        <v>0.95023854556673171</v>
      </c>
      <c r="AR194" s="63">
        <f t="shared" si="156"/>
        <v>15.629302021703237</v>
      </c>
      <c r="AS194" s="63">
        <f t="shared" si="157"/>
        <v>12.171200380966974</v>
      </c>
      <c r="AT194" s="10"/>
      <c r="AU194">
        <f t="shared" si="158"/>
        <v>95.023854556673172</v>
      </c>
    </row>
    <row r="195" spans="7:47" x14ac:dyDescent="0.25">
      <c r="G195">
        <v>186</v>
      </c>
      <c r="H195">
        <f t="shared" si="120"/>
        <v>5.58</v>
      </c>
      <c r="I195" s="407">
        <f t="shared" si="136"/>
        <v>0.21505749999999998</v>
      </c>
      <c r="J195" s="408">
        <f t="shared" si="121"/>
        <v>1.830894932432432</v>
      </c>
      <c r="K195" s="408">
        <f t="shared" si="132"/>
        <v>6.4954474662162163</v>
      </c>
      <c r="L195" s="408">
        <f t="shared" si="137"/>
        <v>4.6645525337837839</v>
      </c>
      <c r="M195" s="63">
        <f t="shared" si="122"/>
        <v>0</v>
      </c>
      <c r="N195" s="407">
        <f t="shared" si="138"/>
        <v>5.6049752917505264</v>
      </c>
      <c r="O195" s="407">
        <f t="shared" si="139"/>
        <v>0.15907775882041705</v>
      </c>
      <c r="P195">
        <f t="shared" si="123"/>
        <v>0.2</v>
      </c>
      <c r="Q195" s="407">
        <f t="shared" si="133"/>
        <v>0.35907775882041704</v>
      </c>
      <c r="R195" s="9">
        <f t="shared" si="140"/>
        <v>0.52853384104889312</v>
      </c>
      <c r="S195" s="9">
        <f t="shared" si="141"/>
        <v>2.7934802113389664E-3</v>
      </c>
      <c r="T195" s="9">
        <f t="shared" si="142"/>
        <v>2.7934802113389664E-3</v>
      </c>
      <c r="U195" s="407">
        <f t="shared" si="143"/>
        <v>2.5992676334027252</v>
      </c>
      <c r="V195" s="409">
        <f t="shared" si="144"/>
        <v>1.3512384460110008E-2</v>
      </c>
      <c r="W195" s="407">
        <f t="shared" si="145"/>
        <v>1.3512384460110008E-2</v>
      </c>
      <c r="X195" s="407">
        <f t="shared" si="146"/>
        <v>2.5992676334027252</v>
      </c>
      <c r="Y195" s="407">
        <f t="shared" si="147"/>
        <v>4.0537153380330024E-2</v>
      </c>
      <c r="Z195" s="407">
        <f t="shared" si="124"/>
        <v>0.12664192341899544</v>
      </c>
      <c r="AA195" s="407">
        <f t="shared" si="125"/>
        <v>0.14400000000000002</v>
      </c>
      <c r="AB195" s="407">
        <f t="shared" si="126"/>
        <v>0</v>
      </c>
      <c r="AC195" s="407">
        <f t="shared" si="148"/>
        <v>0.31372256071181442</v>
      </c>
      <c r="AD195" s="407">
        <f t="shared" si="149"/>
        <v>4.965838880902087</v>
      </c>
      <c r="AE195" s="407">
        <f t="shared" si="150"/>
        <v>0.14795733474647335</v>
      </c>
      <c r="AF195" s="407">
        <f t="shared" si="127"/>
        <v>9.039599999999999E-2</v>
      </c>
      <c r="AG195" s="407">
        <f t="shared" si="151"/>
        <v>0.24562163936991993</v>
      </c>
      <c r="AH195" s="407">
        <f t="shared" si="152"/>
        <v>0</v>
      </c>
      <c r="AI195">
        <f t="shared" si="128"/>
        <v>0</v>
      </c>
      <c r="AJ195" s="408">
        <f t="shared" si="129"/>
        <v>0.452967228</v>
      </c>
      <c r="AK195">
        <f t="shared" si="134"/>
        <v>4.8000000000000001E-2</v>
      </c>
      <c r="AL195" s="408">
        <f t="shared" si="130"/>
        <v>5.1750000000000004E-2</v>
      </c>
      <c r="AM195" s="408">
        <f t="shared" si="135"/>
        <v>0.13648893249607535</v>
      </c>
      <c r="AN195" s="408">
        <f t="shared" si="153"/>
        <v>9.9750000000000005E-2</v>
      </c>
      <c r="AO195" s="408">
        <f t="shared" si="154"/>
        <v>1.4874450515736004</v>
      </c>
      <c r="AP195">
        <f t="shared" si="131"/>
        <v>28.457999999999998</v>
      </c>
      <c r="AQ195" s="10">
        <f t="shared" si="155"/>
        <v>0.9503281701436781</v>
      </c>
      <c r="AR195" s="63">
        <f t="shared" si="156"/>
        <v>15.686128035590722</v>
      </c>
      <c r="AS195" s="63">
        <f t="shared" si="157"/>
        <v>12.281081968495997</v>
      </c>
      <c r="AT195" s="10"/>
      <c r="AU195">
        <f t="shared" si="158"/>
        <v>95.032817014367808</v>
      </c>
    </row>
    <row r="196" spans="7:47" x14ac:dyDescent="0.25">
      <c r="G196">
        <v>187</v>
      </c>
      <c r="H196">
        <f t="shared" si="120"/>
        <v>5.61</v>
      </c>
      <c r="I196" s="407">
        <f t="shared" si="136"/>
        <v>0.21507125000000002</v>
      </c>
      <c r="J196" s="408">
        <f t="shared" si="121"/>
        <v>1.8310119932432432</v>
      </c>
      <c r="K196" s="408">
        <f t="shared" si="132"/>
        <v>6.5255059966216216</v>
      </c>
      <c r="L196" s="408">
        <f t="shared" si="137"/>
        <v>4.6944940033783791</v>
      </c>
      <c r="M196" s="63">
        <f t="shared" si="122"/>
        <v>0</v>
      </c>
      <c r="N196" s="407">
        <f t="shared" si="138"/>
        <v>5.6348454941802428</v>
      </c>
      <c r="O196" s="407">
        <f t="shared" si="139"/>
        <v>0.16079966995906919</v>
      </c>
      <c r="P196">
        <f t="shared" si="123"/>
        <v>0.2</v>
      </c>
      <c r="Q196" s="407">
        <f t="shared" si="133"/>
        <v>0.3607996699590692</v>
      </c>
      <c r="R196" s="9">
        <f t="shared" si="140"/>
        <v>0.52856763359420988</v>
      </c>
      <c r="S196" s="9">
        <f t="shared" si="141"/>
        <v>2.7938374328338291E-3</v>
      </c>
      <c r="T196" s="9">
        <f t="shared" si="142"/>
        <v>2.7938374328338291E-3</v>
      </c>
      <c r="U196" s="407">
        <f t="shared" si="143"/>
        <v>2.6132032638167737</v>
      </c>
      <c r="V196" s="409">
        <f t="shared" si="144"/>
        <v>1.3657662596045278E-2</v>
      </c>
      <c r="W196" s="407">
        <f t="shared" si="145"/>
        <v>1.3657662596045278E-2</v>
      </c>
      <c r="X196" s="407">
        <f t="shared" si="146"/>
        <v>2.6132032638167737</v>
      </c>
      <c r="Y196" s="407">
        <f t="shared" si="147"/>
        <v>4.097298778813583E-2</v>
      </c>
      <c r="Z196" s="407">
        <f t="shared" si="124"/>
        <v>0.12730867440896096</v>
      </c>
      <c r="AA196" s="407">
        <f t="shared" si="125"/>
        <v>0.14400000000000002</v>
      </c>
      <c r="AB196" s="407">
        <f t="shared" si="126"/>
        <v>0</v>
      </c>
      <c r="AC196" s="407">
        <f t="shared" si="148"/>
        <v>0.31486182816516917</v>
      </c>
      <c r="AD196" s="407">
        <f t="shared" si="149"/>
        <v>4.9922592526090579</v>
      </c>
      <c r="AE196" s="407">
        <f t="shared" si="150"/>
        <v>0.14953591467156449</v>
      </c>
      <c r="AF196" s="407">
        <f t="shared" si="127"/>
        <v>9.0882000000000004E-2</v>
      </c>
      <c r="AG196" s="407">
        <f t="shared" si="151"/>
        <v>0.24782980601668064</v>
      </c>
      <c r="AH196" s="407">
        <f t="shared" si="152"/>
        <v>0</v>
      </c>
      <c r="AI196">
        <f t="shared" si="128"/>
        <v>0</v>
      </c>
      <c r="AJ196" s="408">
        <f t="shared" si="129"/>
        <v>0.45296382599999996</v>
      </c>
      <c r="AK196">
        <f t="shared" si="134"/>
        <v>4.8000000000000001E-2</v>
      </c>
      <c r="AL196" s="408">
        <f t="shared" si="130"/>
        <v>5.1750000000000004E-2</v>
      </c>
      <c r="AM196" s="408">
        <f t="shared" si="135"/>
        <v>0.13648893249607535</v>
      </c>
      <c r="AN196" s="408">
        <f t="shared" si="153"/>
        <v>9.9750000000000005E-2</v>
      </c>
      <c r="AO196" s="408">
        <f t="shared" si="154"/>
        <v>1.4926566301697981</v>
      </c>
      <c r="AP196">
        <f t="shared" si="131"/>
        <v>28.611000000000001</v>
      </c>
      <c r="AQ196" s="10">
        <f t="shared" si="155"/>
        <v>0.95041610231914941</v>
      </c>
      <c r="AR196" s="63">
        <f t="shared" si="156"/>
        <v>15.743091408258458</v>
      </c>
      <c r="AS196" s="63">
        <f t="shared" si="157"/>
        <v>12.391490300834032</v>
      </c>
      <c r="AT196" s="10"/>
      <c r="AU196">
        <f t="shared" si="158"/>
        <v>95.041610231914945</v>
      </c>
    </row>
    <row r="197" spans="7:47" x14ac:dyDescent="0.25">
      <c r="G197">
        <v>188</v>
      </c>
      <c r="H197">
        <f t="shared" si="120"/>
        <v>5.64</v>
      </c>
      <c r="I197" s="407">
        <f t="shared" si="136"/>
        <v>0.21508499999999997</v>
      </c>
      <c r="J197" s="408">
        <f t="shared" si="121"/>
        <v>1.8311290540540535</v>
      </c>
      <c r="K197" s="408">
        <f t="shared" si="132"/>
        <v>6.5555645270270269</v>
      </c>
      <c r="L197" s="408">
        <f t="shared" si="137"/>
        <v>4.7244354729729725</v>
      </c>
      <c r="M197" s="63">
        <f t="shared" si="122"/>
        <v>0</v>
      </c>
      <c r="N197" s="407">
        <f t="shared" si="138"/>
        <v>5.6647170686378274</v>
      </c>
      <c r="O197" s="407">
        <f t="shared" si="139"/>
        <v>0.16253128516813301</v>
      </c>
      <c r="P197">
        <f t="shared" si="123"/>
        <v>0.2</v>
      </c>
      <c r="Q197" s="407">
        <f t="shared" si="133"/>
        <v>0.36253128516813304</v>
      </c>
      <c r="R197" s="9">
        <f t="shared" si="140"/>
        <v>0.52860142613952632</v>
      </c>
      <c r="S197" s="9">
        <f t="shared" si="141"/>
        <v>2.794194677167411E-3</v>
      </c>
      <c r="T197" s="9">
        <f t="shared" si="142"/>
        <v>2.794194677167411E-3</v>
      </c>
      <c r="U197" s="407">
        <f t="shared" si="143"/>
        <v>2.6271404134940819</v>
      </c>
      <c r="V197" s="409">
        <f t="shared" si="144"/>
        <v>1.3803733504427712E-2</v>
      </c>
      <c r="W197" s="407">
        <f t="shared" si="145"/>
        <v>1.3803733504427712E-2</v>
      </c>
      <c r="X197" s="407">
        <f t="shared" si="146"/>
        <v>2.6271404134940819</v>
      </c>
      <c r="Y197" s="407">
        <f t="shared" si="147"/>
        <v>4.1411200513283133E-2</v>
      </c>
      <c r="Z197" s="407">
        <f t="shared" si="124"/>
        <v>0.12797542539892645</v>
      </c>
      <c r="AA197" s="407">
        <f t="shared" si="125"/>
        <v>0.14400000000000002</v>
      </c>
      <c r="AB197" s="407">
        <f t="shared" si="126"/>
        <v>0</v>
      </c>
      <c r="AC197" s="407">
        <f t="shared" si="148"/>
        <v>0.31600384563512257</v>
      </c>
      <c r="AD197" s="407">
        <f t="shared" si="149"/>
        <v>5.0186803759058902</v>
      </c>
      <c r="AE197" s="407">
        <f t="shared" si="150"/>
        <v>0.15112291629301733</v>
      </c>
      <c r="AF197" s="407">
        <f t="shared" si="127"/>
        <v>9.1367999999999991E-2</v>
      </c>
      <c r="AG197" s="407">
        <f t="shared" si="151"/>
        <v>0.25004852887261914</v>
      </c>
      <c r="AH197" s="407">
        <f t="shared" si="152"/>
        <v>0</v>
      </c>
      <c r="AI197">
        <f t="shared" si="128"/>
        <v>0</v>
      </c>
      <c r="AJ197" s="408">
        <f t="shared" si="129"/>
        <v>0.45296042399999997</v>
      </c>
      <c r="AK197">
        <f t="shared" si="134"/>
        <v>4.8000000000000001E-2</v>
      </c>
      <c r="AL197" s="408">
        <f t="shared" si="130"/>
        <v>5.1750000000000004E-2</v>
      </c>
      <c r="AM197" s="408">
        <f t="shared" si="135"/>
        <v>0.13648893249607535</v>
      </c>
      <c r="AN197" s="408">
        <f t="shared" si="153"/>
        <v>9.9750000000000005E-2</v>
      </c>
      <c r="AO197" s="408">
        <f t="shared" si="154"/>
        <v>1.4978920118574699</v>
      </c>
      <c r="AP197">
        <f t="shared" si="131"/>
        <v>28.763999999999996</v>
      </c>
      <c r="AQ197" s="10">
        <f t="shared" si="155"/>
        <v>0.95050236742400129</v>
      </c>
      <c r="AR197" s="63">
        <f t="shared" si="156"/>
        <v>15.800192281756129</v>
      </c>
      <c r="AS197" s="63">
        <f t="shared" si="157"/>
        <v>12.502426443630958</v>
      </c>
      <c r="AT197" s="10"/>
      <c r="AU197">
        <f t="shared" si="158"/>
        <v>95.050236742400131</v>
      </c>
    </row>
    <row r="198" spans="7:47" x14ac:dyDescent="0.25">
      <c r="G198">
        <v>189</v>
      </c>
      <c r="H198">
        <f t="shared" si="120"/>
        <v>5.67</v>
      </c>
      <c r="I198" s="407">
        <f t="shared" si="136"/>
        <v>0.21509874999999998</v>
      </c>
      <c r="J198" s="408">
        <f t="shared" si="121"/>
        <v>1.8312461148648642</v>
      </c>
      <c r="K198" s="408">
        <f t="shared" si="132"/>
        <v>6.5856230574324321</v>
      </c>
      <c r="L198" s="408">
        <f t="shared" si="137"/>
        <v>4.7543769425675677</v>
      </c>
      <c r="M198" s="63">
        <f t="shared" si="122"/>
        <v>0</v>
      </c>
      <c r="N198" s="407">
        <f t="shared" si="138"/>
        <v>5.6945899935319284</v>
      </c>
      <c r="O198" s="407">
        <f t="shared" si="139"/>
        <v>0.16427261221927553</v>
      </c>
      <c r="P198">
        <f t="shared" si="123"/>
        <v>0.2</v>
      </c>
      <c r="Q198" s="407">
        <f t="shared" si="133"/>
        <v>0.36427261221927554</v>
      </c>
      <c r="R198" s="9">
        <f t="shared" si="140"/>
        <v>0.52863521868484287</v>
      </c>
      <c r="S198" s="9">
        <f t="shared" si="141"/>
        <v>2.7945519443397164E-3</v>
      </c>
      <c r="T198" s="9">
        <f t="shared" si="142"/>
        <v>2.7945519443397164E-3</v>
      </c>
      <c r="U198" s="407">
        <f t="shared" si="143"/>
        <v>2.6410790724396636</v>
      </c>
      <c r="V198" s="409">
        <f t="shared" si="144"/>
        <v>1.3950597333757508E-2</v>
      </c>
      <c r="W198" s="407">
        <f t="shared" si="145"/>
        <v>1.3950597333757508E-2</v>
      </c>
      <c r="X198" s="407">
        <f t="shared" si="146"/>
        <v>2.6410790724396636</v>
      </c>
      <c r="Y198" s="407">
        <f t="shared" si="147"/>
        <v>4.1851792001272523E-2</v>
      </c>
      <c r="Z198" s="407">
        <f t="shared" si="124"/>
        <v>0.12864217638889197</v>
      </c>
      <c r="AA198" s="407">
        <f t="shared" si="125"/>
        <v>0.14400000000000002</v>
      </c>
      <c r="AB198" s="407">
        <f t="shared" si="126"/>
        <v>0</v>
      </c>
      <c r="AC198" s="407">
        <f t="shared" si="148"/>
        <v>0.31714861597199479</v>
      </c>
      <c r="AD198" s="407">
        <f t="shared" si="149"/>
        <v>5.0451022316257585</v>
      </c>
      <c r="AE198" s="407">
        <f t="shared" si="150"/>
        <v>0.15271833916533126</v>
      </c>
      <c r="AF198" s="407">
        <f t="shared" si="127"/>
        <v>9.1853999999999991E-2</v>
      </c>
      <c r="AG198" s="407">
        <f t="shared" si="151"/>
        <v>0.25227782938779914</v>
      </c>
      <c r="AH198" s="407">
        <f t="shared" si="152"/>
        <v>0</v>
      </c>
      <c r="AI198">
        <f t="shared" si="128"/>
        <v>0</v>
      </c>
      <c r="AJ198" s="408">
        <f t="shared" si="129"/>
        <v>0.45295702199999999</v>
      </c>
      <c r="AK198">
        <f t="shared" si="134"/>
        <v>4.8000000000000001E-2</v>
      </c>
      <c r="AL198" s="408">
        <f t="shared" si="130"/>
        <v>5.1750000000000004E-2</v>
      </c>
      <c r="AM198" s="408">
        <f t="shared" si="135"/>
        <v>0.13648893249607535</v>
      </c>
      <c r="AN198" s="408">
        <f t="shared" si="153"/>
        <v>9.9750000000000005E-2</v>
      </c>
      <c r="AO198" s="408">
        <f t="shared" si="154"/>
        <v>1.5031512288571667</v>
      </c>
      <c r="AP198">
        <f t="shared" si="131"/>
        <v>28.916999999999998</v>
      </c>
      <c r="AQ198" s="10">
        <f t="shared" si="155"/>
        <v>0.95058699026350513</v>
      </c>
      <c r="AR198" s="63">
        <f t="shared" si="156"/>
        <v>15.85743079859974</v>
      </c>
      <c r="AS198" s="63">
        <f t="shared" si="157"/>
        <v>12.613891469389957</v>
      </c>
      <c r="AT198" s="10"/>
      <c r="AU198">
        <f t="shared" si="158"/>
        <v>95.05869902635051</v>
      </c>
    </row>
    <row r="199" spans="7:47" x14ac:dyDescent="0.25">
      <c r="G199">
        <v>190</v>
      </c>
      <c r="H199">
        <f t="shared" si="120"/>
        <v>5.6999999999999993</v>
      </c>
      <c r="I199" s="407">
        <f t="shared" si="136"/>
        <v>0.21511250000000001</v>
      </c>
      <c r="J199" s="408">
        <f t="shared" si="121"/>
        <v>1.8313631756756756</v>
      </c>
      <c r="K199" s="408">
        <f t="shared" si="132"/>
        <v>6.6156815878378374</v>
      </c>
      <c r="L199" s="408">
        <f t="shared" si="137"/>
        <v>4.7843184121621611</v>
      </c>
      <c r="M199" s="63">
        <f t="shared" si="122"/>
        <v>0</v>
      </c>
      <c r="N199" s="407">
        <f t="shared" si="138"/>
        <v>5.7244642477209231</v>
      </c>
      <c r="O199" s="407">
        <f t="shared" si="139"/>
        <v>0.16602365893094054</v>
      </c>
      <c r="P199">
        <f t="shared" si="123"/>
        <v>0.2</v>
      </c>
      <c r="Q199" s="407">
        <f t="shared" si="133"/>
        <v>0.36602365893094058</v>
      </c>
      <c r="R199" s="9">
        <f t="shared" si="140"/>
        <v>0.52866901123015964</v>
      </c>
      <c r="S199" s="9">
        <f t="shared" si="141"/>
        <v>2.7949092343507466E-3</v>
      </c>
      <c r="T199" s="9">
        <f t="shared" si="142"/>
        <v>2.7949092343507466E-3</v>
      </c>
      <c r="U199" s="407">
        <f t="shared" si="143"/>
        <v>2.6550192308658387</v>
      </c>
      <c r="V199" s="409">
        <f t="shared" si="144"/>
        <v>1.409825423253486E-2</v>
      </c>
      <c r="W199" s="407">
        <f t="shared" si="145"/>
        <v>1.409825423253486E-2</v>
      </c>
      <c r="X199" s="407">
        <f t="shared" si="146"/>
        <v>2.6550192308658387</v>
      </c>
      <c r="Y199" s="407">
        <f t="shared" si="147"/>
        <v>4.2294762697604578E-2</v>
      </c>
      <c r="Z199" s="407">
        <f t="shared" si="124"/>
        <v>0.12930892737885749</v>
      </c>
      <c r="AA199" s="407">
        <f t="shared" si="125"/>
        <v>0.14400000000000002</v>
      </c>
      <c r="AB199" s="407">
        <f t="shared" si="126"/>
        <v>0</v>
      </c>
      <c r="AC199" s="407">
        <f t="shared" si="148"/>
        <v>0.31829614203545253</v>
      </c>
      <c r="AD199" s="407">
        <f t="shared" si="149"/>
        <v>5.0715248010009422</v>
      </c>
      <c r="AE199" s="407">
        <f t="shared" si="150"/>
        <v>0.15432218284300589</v>
      </c>
      <c r="AF199" s="407">
        <f t="shared" si="127"/>
        <v>9.2339999999999978E-2</v>
      </c>
      <c r="AG199" s="407">
        <f t="shared" si="151"/>
        <v>0.25451772914993853</v>
      </c>
      <c r="AH199" s="407">
        <f t="shared" si="152"/>
        <v>0</v>
      </c>
      <c r="AI199">
        <f t="shared" si="128"/>
        <v>0</v>
      </c>
      <c r="AJ199" s="408">
        <f t="shared" si="129"/>
        <v>0.45295362000000006</v>
      </c>
      <c r="AK199">
        <f t="shared" si="134"/>
        <v>4.8000000000000001E-2</v>
      </c>
      <c r="AL199" s="408">
        <f t="shared" si="130"/>
        <v>5.1750000000000004E-2</v>
      </c>
      <c r="AM199" s="408">
        <f t="shared" si="135"/>
        <v>0.13648893249607535</v>
      </c>
      <c r="AN199" s="408">
        <f t="shared" si="153"/>
        <v>9.9750000000000005E-2</v>
      </c>
      <c r="AO199" s="408">
        <f t="shared" si="154"/>
        <v>1.5084343135832172</v>
      </c>
      <c r="AP199">
        <f t="shared" si="131"/>
        <v>29.069999999999993</v>
      </c>
      <c r="AQ199" s="10">
        <f t="shared" si="155"/>
        <v>0.95066999513074624</v>
      </c>
      <c r="AR199" s="63">
        <f t="shared" si="156"/>
        <v>15.914807101772627</v>
      </c>
      <c r="AS199" s="63">
        <f t="shared" si="157"/>
        <v>12.725886457496927</v>
      </c>
      <c r="AT199" s="10"/>
      <c r="AU199">
        <f t="shared" si="158"/>
        <v>95.06699951307462</v>
      </c>
    </row>
    <row r="200" spans="7:47" x14ac:dyDescent="0.25">
      <c r="G200">
        <v>191</v>
      </c>
      <c r="H200">
        <f t="shared" si="120"/>
        <v>5.7299999999999995</v>
      </c>
      <c r="I200" s="407">
        <f t="shared" si="136"/>
        <v>0.21512624999999996</v>
      </c>
      <c r="J200" s="408">
        <f t="shared" si="121"/>
        <v>1.8314802364864857</v>
      </c>
      <c r="K200" s="408">
        <f t="shared" si="132"/>
        <v>6.6457401182432427</v>
      </c>
      <c r="L200" s="408">
        <f t="shared" si="137"/>
        <v>4.8142598817567563</v>
      </c>
      <c r="M200" s="63">
        <f t="shared" si="122"/>
        <v>0</v>
      </c>
      <c r="N200" s="407">
        <f t="shared" si="138"/>
        <v>5.7543398105012917</v>
      </c>
      <c r="O200" s="407">
        <f t="shared" si="139"/>
        <v>0.16778443316843766</v>
      </c>
      <c r="P200">
        <f t="shared" si="123"/>
        <v>0.2</v>
      </c>
      <c r="Q200" s="407">
        <f t="shared" si="133"/>
        <v>0.36778443316843767</v>
      </c>
      <c r="R200" s="9">
        <f t="shared" si="140"/>
        <v>0.52870280377547607</v>
      </c>
      <c r="S200" s="9">
        <f t="shared" si="141"/>
        <v>2.7952665472004957E-3</v>
      </c>
      <c r="T200" s="9">
        <f t="shared" si="142"/>
        <v>2.7952665472004957E-3</v>
      </c>
      <c r="U200" s="407">
        <f t="shared" si="143"/>
        <v>2.6689608791868729</v>
      </c>
      <c r="V200" s="409">
        <f t="shared" si="144"/>
        <v>1.4246704349259931E-2</v>
      </c>
      <c r="W200" s="407">
        <f t="shared" si="145"/>
        <v>1.4246704349259931E-2</v>
      </c>
      <c r="X200" s="407">
        <f t="shared" si="146"/>
        <v>2.6689608791868729</v>
      </c>
      <c r="Y200" s="407">
        <f t="shared" si="147"/>
        <v>4.274011304777979E-2</v>
      </c>
      <c r="Z200" s="407">
        <f t="shared" si="124"/>
        <v>0.12997567836882298</v>
      </c>
      <c r="AA200" s="407">
        <f t="shared" si="125"/>
        <v>0.14400000000000002</v>
      </c>
      <c r="AB200" s="407">
        <f t="shared" si="126"/>
        <v>0</v>
      </c>
      <c r="AC200" s="407">
        <f t="shared" si="148"/>
        <v>0.3194464266945295</v>
      </c>
      <c r="AD200" s="407">
        <f t="shared" si="149"/>
        <v>5.0979480656525009</v>
      </c>
      <c r="AE200" s="407">
        <f t="shared" si="150"/>
        <v>0.15593444688054045</v>
      </c>
      <c r="AF200" s="407">
        <f t="shared" si="127"/>
        <v>9.2825999999999992E-2</v>
      </c>
      <c r="AG200" s="407">
        <f t="shared" si="151"/>
        <v>0.25676824988500085</v>
      </c>
      <c r="AH200" s="407">
        <f t="shared" si="152"/>
        <v>0</v>
      </c>
      <c r="AI200">
        <f t="shared" si="128"/>
        <v>0</v>
      </c>
      <c r="AJ200" s="408">
        <f t="shared" si="129"/>
        <v>0.45295021800000002</v>
      </c>
      <c r="AK200">
        <f t="shared" si="134"/>
        <v>4.8000000000000001E-2</v>
      </c>
      <c r="AL200" s="408">
        <f t="shared" si="130"/>
        <v>5.1750000000000004E-2</v>
      </c>
      <c r="AM200" s="408">
        <f t="shared" si="135"/>
        <v>0.13648893249607535</v>
      </c>
      <c r="AN200" s="408">
        <f t="shared" si="153"/>
        <v>9.9750000000000005E-2</v>
      </c>
      <c r="AO200" s="408">
        <f t="shared" si="154"/>
        <v>1.5137412986444285</v>
      </c>
      <c r="AP200">
        <f t="shared" si="131"/>
        <v>29.222999999999995</v>
      </c>
      <c r="AQ200" s="10">
        <f t="shared" si="155"/>
        <v>0.9507514058196147</v>
      </c>
      <c r="AR200" s="63">
        <f t="shared" si="156"/>
        <v>15.972321334726475</v>
      </c>
      <c r="AS200" s="63">
        <f t="shared" si="157"/>
        <v>12.838412494250043</v>
      </c>
      <c r="AT200" s="10"/>
      <c r="AU200">
        <f t="shared" si="158"/>
        <v>95.075140581961477</v>
      </c>
    </row>
    <row r="201" spans="7:47" x14ac:dyDescent="0.25">
      <c r="G201">
        <v>192</v>
      </c>
      <c r="H201">
        <f t="shared" ref="H201:H209" si="159">Iout*(G201/200)</f>
        <v>5.76</v>
      </c>
      <c r="I201" s="407">
        <f t="shared" si="136"/>
        <v>0.21514</v>
      </c>
      <c r="J201" s="408">
        <f t="shared" ref="J201:J209" si="160">(Vin-Vout)*I201/(Fsw*Lout2)</f>
        <v>1.8315972972972971</v>
      </c>
      <c r="K201" s="408">
        <f t="shared" si="132"/>
        <v>6.675798648648648</v>
      </c>
      <c r="L201" s="408">
        <f t="shared" si="137"/>
        <v>4.8442013513513515</v>
      </c>
      <c r="M201" s="63">
        <f t="shared" ref="M201:M209" si="161">IF(MIN(Vin, -L201/(CossTop+CossBot)*0.00000002)&lt;0, 0, MIN(Vin, -L201/(CossTop+CossBot)*0.00000002))</f>
        <v>0</v>
      </c>
      <c r="N201" s="407">
        <f t="shared" si="138"/>
        <v>5.7842166615963562</v>
      </c>
      <c r="O201" s="407">
        <f t="shared" si="139"/>
        <v>0.16955494284403239</v>
      </c>
      <c r="P201">
        <f t="shared" ref="P201:P209" si="162">Core_Loss</f>
        <v>0.2</v>
      </c>
      <c r="Q201" s="407">
        <f t="shared" si="133"/>
        <v>0.3695549428440324</v>
      </c>
      <c r="R201" s="9">
        <f t="shared" si="140"/>
        <v>0.52873659632079284</v>
      </c>
      <c r="S201" s="9">
        <f t="shared" si="141"/>
        <v>2.7956238828889708E-3</v>
      </c>
      <c r="T201" s="9">
        <f t="shared" si="142"/>
        <v>2.7956238828889708E-3</v>
      </c>
      <c r="U201" s="407">
        <f t="shared" si="143"/>
        <v>2.6829040080137925</v>
      </c>
      <c r="V201" s="409">
        <f t="shared" si="144"/>
        <v>1.4395947832432943E-2</v>
      </c>
      <c r="W201" s="407">
        <f t="shared" si="145"/>
        <v>1.4395947832432943E-2</v>
      </c>
      <c r="X201" s="407">
        <f t="shared" si="146"/>
        <v>2.6829040080137925</v>
      </c>
      <c r="Y201" s="407">
        <f t="shared" si="147"/>
        <v>4.3187843497298831E-2</v>
      </c>
      <c r="Z201" s="407">
        <f t="shared" ref="Z201:Z209" si="163">IF(L201&lt;0, (Vin*K201*Tf/2)*Fsw, (Vin*L201*Tr/2+Vin*K201*Tf/2)*Fsw)</f>
        <v>0.1306424293587885</v>
      </c>
      <c r="AA201" s="407">
        <f t="shared" ref="AA201:AA209" si="164">(0.5*CossTop*(Vin-M201)^2-0.5*CossBot*(Vin-M201)^2+(QossBot*(Vin-M201)/Vin)*Vin)*Fsw</f>
        <v>0.14400000000000002</v>
      </c>
      <c r="AB201" s="407">
        <f t="shared" ref="AB201:AB209" si="165">IF(L201&gt;0,0,-L201*VsdTop*Deadtime*Fsw)</f>
        <v>0</v>
      </c>
      <c r="AC201" s="407">
        <f t="shared" si="148"/>
        <v>0.32059947282764673</v>
      </c>
      <c r="AD201" s="407">
        <f t="shared" si="149"/>
        <v>5.1243720075802877</v>
      </c>
      <c r="AE201" s="407">
        <f t="shared" si="150"/>
        <v>0.15755513083243458</v>
      </c>
      <c r="AF201" s="407">
        <f t="shared" ref="AF201:AF209" si="166">IF(L201&lt;0, Deadtime*Fsw*IF(VfdSky&gt;0,0,VsdBot)*K201, Deadtime*Fsw*IF(VfdSky&gt;0,0,VsdBot)*(K201+L201))</f>
        <v>9.3311999999999992E-2</v>
      </c>
      <c r="AG201" s="407">
        <f t="shared" si="151"/>
        <v>0.25902941345779285</v>
      </c>
      <c r="AH201" s="407">
        <f t="shared" si="152"/>
        <v>0</v>
      </c>
      <c r="AI201">
        <f t="shared" ref="AI201:AI209" si="167">2*Deadtime*Fsw*IF(VfdSky&gt;0,VfdSky,0)*H201</f>
        <v>0</v>
      </c>
      <c r="AJ201" s="408">
        <f t="shared" ref="AJ201:AJ209" si="168">IF(QrrSky&gt;0,QrrSky,QrrBot)*Fsw*(Vin-H201*RdsonTop)</f>
        <v>0.45294681600000003</v>
      </c>
      <c r="AK201">
        <f t="shared" si="134"/>
        <v>4.8000000000000001E-2</v>
      </c>
      <c r="AL201" s="408">
        <f t="shared" ref="AL201:AL209" si="169">IF(Ext_VCC=1, Vdd*(QgTop+QgBot)*Fsw, Vin*(QgTop+QgBot)*Fsw)</f>
        <v>5.1750000000000004E-2</v>
      </c>
      <c r="AM201" s="408">
        <f t="shared" si="135"/>
        <v>0.13648893249607535</v>
      </c>
      <c r="AN201" s="408">
        <f t="shared" si="153"/>
        <v>9.9750000000000005E-2</v>
      </c>
      <c r="AO201" s="408">
        <f t="shared" si="154"/>
        <v>1.5190722168447939</v>
      </c>
      <c r="AP201">
        <f t="shared" ref="AP201:AP209" si="170">Vout*H201</f>
        <v>29.375999999999998</v>
      </c>
      <c r="AQ201" s="10">
        <f t="shared" si="155"/>
        <v>0.95083124563740118</v>
      </c>
      <c r="AR201" s="63">
        <f t="shared" si="156"/>
        <v>16.029973641382337</v>
      </c>
      <c r="AS201" s="63">
        <f t="shared" si="157"/>
        <v>12.951470672889641</v>
      </c>
      <c r="AT201" s="10"/>
      <c r="AU201">
        <f t="shared" si="158"/>
        <v>95.083124563740114</v>
      </c>
    </row>
    <row r="202" spans="7:47" x14ac:dyDescent="0.25">
      <c r="G202">
        <v>193</v>
      </c>
      <c r="H202">
        <f t="shared" si="159"/>
        <v>5.79</v>
      </c>
      <c r="I202" s="407">
        <f t="shared" si="136"/>
        <v>0.21515375</v>
      </c>
      <c r="J202" s="408">
        <f t="shared" si="160"/>
        <v>1.8317143581081079</v>
      </c>
      <c r="K202" s="408">
        <f t="shared" ref="K202:K209" si="171">H202+J202/2</f>
        <v>6.7058571790540542</v>
      </c>
      <c r="L202" s="408">
        <f t="shared" si="137"/>
        <v>4.8741428209459459</v>
      </c>
      <c r="M202" s="63">
        <f t="shared" si="161"/>
        <v>0</v>
      </c>
      <c r="N202" s="407">
        <f t="shared" si="138"/>
        <v>5.8140947811453518</v>
      </c>
      <c r="O202" s="407">
        <f t="shared" si="139"/>
        <v>0.17133519591703614</v>
      </c>
      <c r="P202">
        <f t="shared" si="162"/>
        <v>0.2</v>
      </c>
      <c r="Q202" s="407">
        <f t="shared" ref="Q202:Q209" si="172">O202+P202</f>
        <v>0.37133519591703612</v>
      </c>
      <c r="R202" s="9">
        <f t="shared" si="140"/>
        <v>0.52877038886610939</v>
      </c>
      <c r="S202" s="9">
        <f t="shared" si="141"/>
        <v>2.7959812414161656E-3</v>
      </c>
      <c r="T202" s="9">
        <f t="shared" si="142"/>
        <v>2.7959812414161656E-3</v>
      </c>
      <c r="U202" s="407">
        <f t="shared" si="143"/>
        <v>2.6968486081493404</v>
      </c>
      <c r="V202" s="409">
        <f t="shared" si="144"/>
        <v>1.454598483055407E-2</v>
      </c>
      <c r="W202" s="407">
        <f t="shared" si="145"/>
        <v>1.454598483055407E-2</v>
      </c>
      <c r="X202" s="407">
        <f t="shared" si="146"/>
        <v>2.6968486081493404</v>
      </c>
      <c r="Y202" s="407">
        <f t="shared" si="147"/>
        <v>4.3637954491662211E-2</v>
      </c>
      <c r="Z202" s="407">
        <f t="shared" si="163"/>
        <v>0.13130918034875405</v>
      </c>
      <c r="AA202" s="407">
        <f t="shared" si="164"/>
        <v>0.14400000000000002</v>
      </c>
      <c r="AB202" s="407">
        <f t="shared" si="165"/>
        <v>0</v>
      </c>
      <c r="AC202" s="407">
        <f t="shared" si="148"/>
        <v>0.32175528332263326</v>
      </c>
      <c r="AD202" s="407">
        <f t="shared" si="149"/>
        <v>5.1507966091532467</v>
      </c>
      <c r="AE202" s="407">
        <f t="shared" si="150"/>
        <v>0.15918423425318751</v>
      </c>
      <c r="AF202" s="407">
        <f t="shared" si="166"/>
        <v>9.3797999999999992E-2</v>
      </c>
      <c r="AG202" s="407">
        <f t="shared" si="151"/>
        <v>0.26130124187256576</v>
      </c>
      <c r="AH202" s="407">
        <f t="shared" si="152"/>
        <v>0</v>
      </c>
      <c r="AI202">
        <f t="shared" si="167"/>
        <v>0</v>
      </c>
      <c r="AJ202" s="408">
        <f t="shared" si="168"/>
        <v>0.45294341399999999</v>
      </c>
      <c r="AK202">
        <f t="shared" ref="AK202:AK209" si="173">Iq*Vin</f>
        <v>4.8000000000000001E-2</v>
      </c>
      <c r="AL202" s="408">
        <f t="shared" si="169"/>
        <v>5.1750000000000004E-2</v>
      </c>
      <c r="AM202" s="408">
        <f t="shared" ref="AM202:AM209" si="174">(Vin-Vdd)*Fsw*(QgTop+QgBot)+(RdsonDRT+RdsonDRT2)*Fsw*QgTop*Vdd/(RdsonDRT+2*RGateTop+RdsonDRT2)+(RdsonDRB+RdsonDRB2)*Fsw*QgBot*Vdd/(RdsonDRB+2*RGateBot+RdsonDRB2)</f>
        <v>0.13648893249607535</v>
      </c>
      <c r="AN202" s="408">
        <f t="shared" si="153"/>
        <v>9.9750000000000005E-2</v>
      </c>
      <c r="AO202" s="408">
        <f t="shared" si="154"/>
        <v>1.5244271011842054</v>
      </c>
      <c r="AP202">
        <f t="shared" si="170"/>
        <v>29.528999999999996</v>
      </c>
      <c r="AQ202" s="10">
        <f t="shared" si="155"/>
        <v>0.95090953741701278</v>
      </c>
      <c r="AR202" s="63">
        <f t="shared" si="156"/>
        <v>16.087764166131663</v>
      </c>
      <c r="AS202" s="63">
        <f t="shared" si="157"/>
        <v>13.065062093628288</v>
      </c>
      <c r="AT202" s="10"/>
      <c r="AU202">
        <f t="shared" si="158"/>
        <v>95.090953741701284</v>
      </c>
    </row>
    <row r="203" spans="7:47" x14ac:dyDescent="0.25">
      <c r="G203">
        <v>194</v>
      </c>
      <c r="H203">
        <f t="shared" si="159"/>
        <v>5.82</v>
      </c>
      <c r="I203" s="407">
        <f t="shared" si="136"/>
        <v>0.21516749999999996</v>
      </c>
      <c r="J203" s="408">
        <f t="shared" si="160"/>
        <v>1.831831418918918</v>
      </c>
      <c r="K203" s="408">
        <f t="shared" si="171"/>
        <v>6.7359157094594595</v>
      </c>
      <c r="L203" s="408">
        <f t="shared" si="137"/>
        <v>4.9040842905405411</v>
      </c>
      <c r="M203" s="63">
        <f t="shared" si="161"/>
        <v>0</v>
      </c>
      <c r="N203" s="407">
        <f t="shared" si="138"/>
        <v>5.8439741496928459</v>
      </c>
      <c r="O203" s="407">
        <f t="shared" si="139"/>
        <v>0.17312520039389756</v>
      </c>
      <c r="P203">
        <f t="shared" si="162"/>
        <v>0.2</v>
      </c>
      <c r="Q203" s="407">
        <f t="shared" si="172"/>
        <v>0.37312520039389757</v>
      </c>
      <c r="R203" s="9">
        <f t="shared" si="140"/>
        <v>0.52880418141142571</v>
      </c>
      <c r="S203" s="9">
        <f t="shared" si="141"/>
        <v>2.7963386227820805E-3</v>
      </c>
      <c r="T203" s="9">
        <f t="shared" si="142"/>
        <v>2.7963386227820805E-3</v>
      </c>
      <c r="U203" s="407">
        <f t="shared" si="143"/>
        <v>2.7107946705831019</v>
      </c>
      <c r="V203" s="409">
        <f t="shared" si="144"/>
        <v>1.4696815492123495E-2</v>
      </c>
      <c r="W203" s="407">
        <f t="shared" si="145"/>
        <v>1.4696815492123495E-2</v>
      </c>
      <c r="X203" s="407">
        <f t="shared" si="146"/>
        <v>2.7107946705831019</v>
      </c>
      <c r="Y203" s="407">
        <f t="shared" si="147"/>
        <v>4.4090446476370483E-2</v>
      </c>
      <c r="Z203" s="407">
        <f t="shared" si="163"/>
        <v>0.13197593133871957</v>
      </c>
      <c r="AA203" s="407">
        <f t="shared" si="164"/>
        <v>0.14400000000000002</v>
      </c>
      <c r="AB203" s="407">
        <f t="shared" si="165"/>
        <v>0</v>
      </c>
      <c r="AC203" s="407">
        <f t="shared" si="148"/>
        <v>0.32291386107674652</v>
      </c>
      <c r="AD203" s="407">
        <f t="shared" si="149"/>
        <v>5.1772218531000265</v>
      </c>
      <c r="AE203" s="407">
        <f t="shared" si="150"/>
        <v>0.16082175669729884</v>
      </c>
      <c r="AF203" s="407">
        <f t="shared" si="166"/>
        <v>9.4283999999999993E-2</v>
      </c>
      <c r="AG203" s="407">
        <f t="shared" si="151"/>
        <v>0.26358375727362254</v>
      </c>
      <c r="AH203" s="407">
        <f t="shared" si="152"/>
        <v>0</v>
      </c>
      <c r="AI203">
        <f t="shared" si="167"/>
        <v>0</v>
      </c>
      <c r="AJ203" s="408">
        <f t="shared" si="168"/>
        <v>0.452940012</v>
      </c>
      <c r="AK203">
        <f t="shared" si="173"/>
        <v>4.8000000000000001E-2</v>
      </c>
      <c r="AL203" s="408">
        <f t="shared" si="169"/>
        <v>5.1750000000000004E-2</v>
      </c>
      <c r="AM203" s="408">
        <f t="shared" si="174"/>
        <v>0.13648893249607535</v>
      </c>
      <c r="AN203" s="408">
        <f t="shared" si="153"/>
        <v>9.9750000000000005E-2</v>
      </c>
      <c r="AO203" s="408">
        <f t="shared" si="154"/>
        <v>1.5298059848591723</v>
      </c>
      <c r="AP203">
        <f t="shared" si="170"/>
        <v>29.681999999999999</v>
      </c>
      <c r="AQ203" s="10">
        <f t="shared" si="155"/>
        <v>0.9509863035288223</v>
      </c>
      <c r="AR203" s="63">
        <f t="shared" si="156"/>
        <v>16.145693053837327</v>
      </c>
      <c r="AS203" s="63">
        <f t="shared" si="157"/>
        <v>13.179187863681127</v>
      </c>
      <c r="AT203" s="10"/>
      <c r="AU203">
        <f t="shared" si="158"/>
        <v>95.098630352882225</v>
      </c>
    </row>
    <row r="204" spans="7:47" x14ac:dyDescent="0.25">
      <c r="G204">
        <v>195</v>
      </c>
      <c r="H204">
        <f t="shared" si="159"/>
        <v>5.85</v>
      </c>
      <c r="I204" s="407">
        <f t="shared" si="136"/>
        <v>0.21518124999999999</v>
      </c>
      <c r="J204" s="408">
        <f t="shared" si="160"/>
        <v>1.8319484797297294</v>
      </c>
      <c r="K204" s="408">
        <f t="shared" si="171"/>
        <v>6.7659742398648639</v>
      </c>
      <c r="L204" s="408">
        <f t="shared" si="137"/>
        <v>4.9340257601351354</v>
      </c>
      <c r="M204" s="63">
        <f t="shared" si="161"/>
        <v>0</v>
      </c>
      <c r="N204" s="407">
        <f t="shared" si="138"/>
        <v>5.8738547481784629</v>
      </c>
      <c r="O204" s="407">
        <f t="shared" si="139"/>
        <v>0.17492496432829369</v>
      </c>
      <c r="P204">
        <f t="shared" si="162"/>
        <v>0.2</v>
      </c>
      <c r="Q204" s="407">
        <f t="shared" si="172"/>
        <v>0.3749249643282937</v>
      </c>
      <c r="R204" s="9">
        <f t="shared" si="140"/>
        <v>0.52883797395674248</v>
      </c>
      <c r="S204" s="9">
        <f t="shared" si="141"/>
        <v>2.7966960269867227E-3</v>
      </c>
      <c r="T204" s="9">
        <f t="shared" si="142"/>
        <v>2.7966960269867227E-3</v>
      </c>
      <c r="U204" s="407">
        <f t="shared" si="143"/>
        <v>2.72474218648677</v>
      </c>
      <c r="V204" s="409">
        <f t="shared" si="144"/>
        <v>1.4848439965641409E-2</v>
      </c>
      <c r="W204" s="407">
        <f t="shared" si="145"/>
        <v>1.4848439965641409E-2</v>
      </c>
      <c r="X204" s="407">
        <f t="shared" si="146"/>
        <v>2.72474218648677</v>
      </c>
      <c r="Y204" s="407">
        <f t="shared" si="147"/>
        <v>4.4545319896924222E-2</v>
      </c>
      <c r="Z204" s="407">
        <f t="shared" si="163"/>
        <v>0.13264268232868506</v>
      </c>
      <c r="AA204" s="407">
        <f t="shared" si="164"/>
        <v>0.14400000000000002</v>
      </c>
      <c r="AB204" s="407">
        <f t="shared" si="165"/>
        <v>0</v>
      </c>
      <c r="AC204" s="407">
        <f t="shared" si="148"/>
        <v>0.32407520899669334</v>
      </c>
      <c r="AD204" s="407">
        <f t="shared" si="149"/>
        <v>5.2036477224998592</v>
      </c>
      <c r="AE204" s="407">
        <f t="shared" si="150"/>
        <v>0.16246769771926783</v>
      </c>
      <c r="AF204" s="407">
        <f t="shared" si="166"/>
        <v>9.4769999999999993E-2</v>
      </c>
      <c r="AG204" s="407">
        <f t="shared" si="151"/>
        <v>0.26587698194592835</v>
      </c>
      <c r="AH204" s="407">
        <f t="shared" si="152"/>
        <v>0</v>
      </c>
      <c r="AI204">
        <f t="shared" si="167"/>
        <v>0</v>
      </c>
      <c r="AJ204" s="408">
        <f t="shared" si="168"/>
        <v>0.45293661000000002</v>
      </c>
      <c r="AK204">
        <f t="shared" si="173"/>
        <v>4.8000000000000001E-2</v>
      </c>
      <c r="AL204" s="408">
        <f t="shared" si="169"/>
        <v>5.1750000000000004E-2</v>
      </c>
      <c r="AM204" s="408">
        <f t="shared" si="174"/>
        <v>0.13648893249607535</v>
      </c>
      <c r="AN204" s="408">
        <f t="shared" si="153"/>
        <v>9.9750000000000005E-2</v>
      </c>
      <c r="AO204" s="408">
        <f t="shared" si="154"/>
        <v>1.5352089012635435</v>
      </c>
      <c r="AP204">
        <f t="shared" si="170"/>
        <v>29.834999999999997</v>
      </c>
      <c r="AQ204" s="10">
        <f t="shared" si="155"/>
        <v>0.95106156589216373</v>
      </c>
      <c r="AR204" s="63">
        <f t="shared" si="156"/>
        <v>16.203760449834668</v>
      </c>
      <c r="AS204" s="63">
        <f t="shared" si="157"/>
        <v>13.293849097296418</v>
      </c>
      <c r="AT204" s="10"/>
      <c r="AU204">
        <f t="shared" si="158"/>
        <v>95.106156589216369</v>
      </c>
    </row>
    <row r="205" spans="7:47" x14ac:dyDescent="0.25">
      <c r="G205">
        <v>196</v>
      </c>
      <c r="H205">
        <f t="shared" si="159"/>
        <v>5.88</v>
      </c>
      <c r="I205" s="407">
        <f t="shared" si="136"/>
        <v>0.215195</v>
      </c>
      <c r="J205" s="408">
        <f t="shared" si="160"/>
        <v>1.8320655405405404</v>
      </c>
      <c r="K205" s="408">
        <f t="shared" si="171"/>
        <v>6.7960327702702701</v>
      </c>
      <c r="L205" s="408">
        <f t="shared" si="137"/>
        <v>4.9639672297297297</v>
      </c>
      <c r="M205" s="63">
        <f t="shared" si="161"/>
        <v>0</v>
      </c>
      <c r="N205" s="407">
        <f t="shared" si="138"/>
        <v>5.9037365579269379</v>
      </c>
      <c r="O205" s="407">
        <f t="shared" si="139"/>
        <v>0.17673449582122286</v>
      </c>
      <c r="P205">
        <f t="shared" si="162"/>
        <v>0.2</v>
      </c>
      <c r="Q205" s="407">
        <f t="shared" si="172"/>
        <v>0.37673449582122287</v>
      </c>
      <c r="R205" s="9">
        <f t="shared" si="140"/>
        <v>0.52887176650205914</v>
      </c>
      <c r="S205" s="9">
        <f t="shared" si="141"/>
        <v>2.7970534540300855E-3</v>
      </c>
      <c r="T205" s="9">
        <f t="shared" si="142"/>
        <v>2.7970534540300855E-3</v>
      </c>
      <c r="U205" s="407">
        <f t="shared" si="143"/>
        <v>2.7386911472095572</v>
      </c>
      <c r="V205" s="409">
        <f t="shared" si="144"/>
        <v>1.5000858399608002E-2</v>
      </c>
      <c r="W205" s="407">
        <f t="shared" si="145"/>
        <v>1.5000858399608002E-2</v>
      </c>
      <c r="X205" s="407">
        <f t="shared" si="146"/>
        <v>2.7386911472095572</v>
      </c>
      <c r="Y205" s="407">
        <f t="shared" si="147"/>
        <v>4.5002575198824002E-2</v>
      </c>
      <c r="Z205" s="407">
        <f t="shared" si="163"/>
        <v>0.13330943331865058</v>
      </c>
      <c r="AA205" s="407">
        <f t="shared" si="164"/>
        <v>0.14400000000000002</v>
      </c>
      <c r="AB205" s="407">
        <f t="shared" si="165"/>
        <v>0</v>
      </c>
      <c r="AC205" s="407">
        <f t="shared" si="148"/>
        <v>0.32523932999865052</v>
      </c>
      <c r="AD205" s="407">
        <f t="shared" si="149"/>
        <v>5.2300742007737329</v>
      </c>
      <c r="AE205" s="407">
        <f t="shared" si="150"/>
        <v>0.16412205687359399</v>
      </c>
      <c r="AF205" s="407">
        <f t="shared" si="166"/>
        <v>9.5255999999999993E-2</v>
      </c>
      <c r="AG205" s="407">
        <f t="shared" si="151"/>
        <v>0.26818093831572754</v>
      </c>
      <c r="AH205" s="407">
        <f t="shared" si="152"/>
        <v>0</v>
      </c>
      <c r="AI205">
        <f t="shared" si="167"/>
        <v>0</v>
      </c>
      <c r="AJ205" s="408">
        <f t="shared" si="168"/>
        <v>0.45293320799999998</v>
      </c>
      <c r="AK205">
        <f t="shared" si="173"/>
        <v>4.8000000000000001E-2</v>
      </c>
      <c r="AL205" s="408">
        <f t="shared" si="169"/>
        <v>5.1750000000000004E-2</v>
      </c>
      <c r="AM205" s="408">
        <f t="shared" si="174"/>
        <v>0.13648893249607535</v>
      </c>
      <c r="AN205" s="408">
        <f t="shared" si="153"/>
        <v>9.9750000000000005E-2</v>
      </c>
      <c r="AO205" s="408">
        <f t="shared" si="154"/>
        <v>1.5406358839892389</v>
      </c>
      <c r="AP205">
        <f t="shared" si="170"/>
        <v>29.987999999999996</v>
      </c>
      <c r="AQ205" s="10">
        <f t="shared" si="155"/>
        <v>0.95113534598648464</v>
      </c>
      <c r="AR205" s="63">
        <f t="shared" si="156"/>
        <v>16.261966499932527</v>
      </c>
      <c r="AS205" s="63">
        <f t="shared" si="157"/>
        <v>13.409046915786377</v>
      </c>
      <c r="AT205" s="10"/>
      <c r="AU205">
        <f t="shared" si="158"/>
        <v>95.113534598648471</v>
      </c>
    </row>
    <row r="206" spans="7:47" x14ac:dyDescent="0.25">
      <c r="G206">
        <v>197</v>
      </c>
      <c r="H206">
        <f t="shared" si="159"/>
        <v>5.91</v>
      </c>
      <c r="I206" s="407">
        <f t="shared" si="136"/>
        <v>0.21520874999999998</v>
      </c>
      <c r="J206" s="408">
        <f t="shared" si="160"/>
        <v>1.8321826013513509</v>
      </c>
      <c r="K206" s="408">
        <f t="shared" si="171"/>
        <v>6.8260913006756754</v>
      </c>
      <c r="L206" s="408">
        <f t="shared" si="137"/>
        <v>4.9939086993243249</v>
      </c>
      <c r="M206" s="63">
        <f t="shared" si="161"/>
        <v>0</v>
      </c>
      <c r="N206" s="407">
        <f t="shared" si="138"/>
        <v>5.9336195606384488</v>
      </c>
      <c r="O206" s="407">
        <f t="shared" si="139"/>
        <v>0.17855380302109683</v>
      </c>
      <c r="P206">
        <f t="shared" si="162"/>
        <v>0.2</v>
      </c>
      <c r="Q206" s="407">
        <f t="shared" si="172"/>
        <v>0.37855380302109687</v>
      </c>
      <c r="R206" s="9">
        <f t="shared" si="140"/>
        <v>0.52890555904737568</v>
      </c>
      <c r="S206" s="9">
        <f t="shared" si="141"/>
        <v>2.7974109039121705E-3</v>
      </c>
      <c r="T206" s="9">
        <f t="shared" si="142"/>
        <v>2.7974109039121705E-3</v>
      </c>
      <c r="U206" s="407">
        <f t="shared" si="143"/>
        <v>2.7526415442737417</v>
      </c>
      <c r="V206" s="409">
        <f t="shared" si="144"/>
        <v>1.5154070942523459E-2</v>
      </c>
      <c r="W206" s="407">
        <f t="shared" si="145"/>
        <v>1.5154070942523459E-2</v>
      </c>
      <c r="X206" s="407">
        <f t="shared" si="146"/>
        <v>2.7526415442737417</v>
      </c>
      <c r="Y206" s="407">
        <f t="shared" si="147"/>
        <v>4.5462212827570375E-2</v>
      </c>
      <c r="Z206" s="407">
        <f t="shared" si="163"/>
        <v>0.13397618430861608</v>
      </c>
      <c r="AA206" s="407">
        <f t="shared" si="164"/>
        <v>0.14400000000000002</v>
      </c>
      <c r="AB206" s="407">
        <f t="shared" si="165"/>
        <v>0</v>
      </c>
      <c r="AC206" s="407">
        <f t="shared" si="148"/>
        <v>0.32640622700828548</v>
      </c>
      <c r="AD206" s="407">
        <f t="shared" si="149"/>
        <v>5.256501271675817</v>
      </c>
      <c r="AE206" s="407">
        <f t="shared" si="150"/>
        <v>0.1657848337147769</v>
      </c>
      <c r="AF206" s="407">
        <f t="shared" si="166"/>
        <v>9.5741999999999994E-2</v>
      </c>
      <c r="AG206" s="407">
        <f t="shared" si="151"/>
        <v>0.27049564895116485</v>
      </c>
      <c r="AH206" s="407">
        <f t="shared" si="152"/>
        <v>0</v>
      </c>
      <c r="AI206">
        <f t="shared" si="167"/>
        <v>0</v>
      </c>
      <c r="AJ206" s="408">
        <f t="shared" si="168"/>
        <v>0.45292980599999999</v>
      </c>
      <c r="AK206">
        <f t="shared" si="173"/>
        <v>4.8000000000000001E-2</v>
      </c>
      <c r="AL206" s="408">
        <f t="shared" si="169"/>
        <v>5.1750000000000004E-2</v>
      </c>
      <c r="AM206" s="408">
        <f t="shared" si="174"/>
        <v>0.13648893249607535</v>
      </c>
      <c r="AN206" s="408">
        <f t="shared" si="153"/>
        <v>9.9750000000000005E-2</v>
      </c>
      <c r="AO206" s="408">
        <f t="shared" si="154"/>
        <v>1.546086966826983</v>
      </c>
      <c r="AP206">
        <f t="shared" si="170"/>
        <v>30.140999999999998</v>
      </c>
      <c r="AQ206" s="10">
        <f t="shared" si="155"/>
        <v>0.95120766486217012</v>
      </c>
      <c r="AR206" s="63">
        <f t="shared" si="156"/>
        <v>16.320311350414272</v>
      </c>
      <c r="AS206" s="63">
        <f t="shared" si="157"/>
        <v>13.524782447558243</v>
      </c>
      <c r="AT206" s="10"/>
      <c r="AU206">
        <f t="shared" si="158"/>
        <v>95.120766486217008</v>
      </c>
    </row>
    <row r="207" spans="7:47" x14ac:dyDescent="0.25">
      <c r="G207">
        <v>198</v>
      </c>
      <c r="H207">
        <f t="shared" si="159"/>
        <v>5.9399999999999995</v>
      </c>
      <c r="I207" s="407">
        <f t="shared" si="136"/>
        <v>0.21522249999999998</v>
      </c>
      <c r="J207" s="408">
        <f t="shared" si="160"/>
        <v>1.8322996621621617</v>
      </c>
      <c r="K207" s="408">
        <f t="shared" si="171"/>
        <v>6.8561498310810807</v>
      </c>
      <c r="L207" s="408">
        <f t="shared" si="137"/>
        <v>5.0238501689189183</v>
      </c>
      <c r="M207" s="63">
        <f t="shared" si="161"/>
        <v>0</v>
      </c>
      <c r="N207" s="407">
        <f t="shared" si="138"/>
        <v>5.9635037383792504</v>
      </c>
      <c r="O207" s="407">
        <f t="shared" si="139"/>
        <v>0.18038289412383421</v>
      </c>
      <c r="P207">
        <f t="shared" si="162"/>
        <v>0.2</v>
      </c>
      <c r="Q207" s="407">
        <f t="shared" si="172"/>
        <v>0.38038289412383419</v>
      </c>
      <c r="R207" s="9">
        <f t="shared" si="140"/>
        <v>0.52893935159269223</v>
      </c>
      <c r="S207" s="9">
        <f t="shared" si="141"/>
        <v>2.7977683766329769E-3</v>
      </c>
      <c r="T207" s="9">
        <f t="shared" si="142"/>
        <v>2.7977683766329769E-3</v>
      </c>
      <c r="U207" s="407">
        <f t="shared" si="143"/>
        <v>2.7665933693703506</v>
      </c>
      <c r="V207" s="409">
        <f t="shared" si="144"/>
        <v>1.5308077742887978E-2</v>
      </c>
      <c r="W207" s="407">
        <f t="shared" si="145"/>
        <v>1.5308077742887978E-2</v>
      </c>
      <c r="X207" s="407">
        <f t="shared" si="146"/>
        <v>2.7665933693703506</v>
      </c>
      <c r="Y207" s="407">
        <f t="shared" si="147"/>
        <v>4.5924233228663937E-2</v>
      </c>
      <c r="Z207" s="407">
        <f t="shared" si="163"/>
        <v>0.1346429352985816</v>
      </c>
      <c r="AA207" s="407">
        <f t="shared" si="164"/>
        <v>0.14400000000000002</v>
      </c>
      <c r="AB207" s="407">
        <f t="shared" si="165"/>
        <v>0</v>
      </c>
      <c r="AC207" s="407">
        <f t="shared" si="148"/>
        <v>0.32757590296077782</v>
      </c>
      <c r="AD207" s="407">
        <f t="shared" si="149"/>
        <v>5.282928919285145</v>
      </c>
      <c r="AE207" s="407">
        <f t="shared" si="150"/>
        <v>0.16745602779731586</v>
      </c>
      <c r="AF207" s="407">
        <f t="shared" si="166"/>
        <v>9.622799999999998E-2</v>
      </c>
      <c r="AG207" s="407">
        <f t="shared" si="151"/>
        <v>0.27282113656291063</v>
      </c>
      <c r="AH207" s="407">
        <f t="shared" si="152"/>
        <v>0</v>
      </c>
      <c r="AI207">
        <f t="shared" si="167"/>
        <v>0</v>
      </c>
      <c r="AJ207" s="408">
        <f t="shared" si="168"/>
        <v>0.452926404</v>
      </c>
      <c r="AK207">
        <f t="shared" si="173"/>
        <v>4.8000000000000001E-2</v>
      </c>
      <c r="AL207" s="408">
        <f t="shared" si="169"/>
        <v>5.1750000000000004E-2</v>
      </c>
      <c r="AM207" s="408">
        <f t="shared" si="174"/>
        <v>0.13648893249607535</v>
      </c>
      <c r="AN207" s="408">
        <f t="shared" si="153"/>
        <v>9.9750000000000005E-2</v>
      </c>
      <c r="AO207" s="408">
        <f t="shared" si="154"/>
        <v>1.5515621837670437</v>
      </c>
      <c r="AP207">
        <f t="shared" si="170"/>
        <v>30.293999999999997</v>
      </c>
      <c r="AQ207" s="10">
        <f t="shared" si="155"/>
        <v>0.95127854315104743</v>
      </c>
      <c r="AR207" s="63">
        <f t="shared" si="156"/>
        <v>16.37879514803889</v>
      </c>
      <c r="AS207" s="63">
        <f t="shared" si="157"/>
        <v>13.641056828145532</v>
      </c>
      <c r="AT207" s="10"/>
      <c r="AU207">
        <f t="shared" si="158"/>
        <v>95.127854315104742</v>
      </c>
    </row>
    <row r="208" spans="7:47" x14ac:dyDescent="0.25">
      <c r="G208">
        <v>199</v>
      </c>
      <c r="H208">
        <f t="shared" si="159"/>
        <v>5.97</v>
      </c>
      <c r="I208" s="407">
        <f t="shared" si="136"/>
        <v>0.21523624999999999</v>
      </c>
      <c r="J208" s="408">
        <f t="shared" si="160"/>
        <v>1.8324167229729726</v>
      </c>
      <c r="K208" s="408">
        <f t="shared" si="171"/>
        <v>6.886208361486486</v>
      </c>
      <c r="L208" s="408">
        <f t="shared" si="137"/>
        <v>5.0537916385135135</v>
      </c>
      <c r="M208" s="63">
        <f t="shared" si="161"/>
        <v>0</v>
      </c>
      <c r="N208" s="407">
        <f t="shared" si="138"/>
        <v>5.9933890735725841</v>
      </c>
      <c r="O208" s="407">
        <f t="shared" si="139"/>
        <v>0.18222177737295464</v>
      </c>
      <c r="P208">
        <f t="shared" si="162"/>
        <v>0.2</v>
      </c>
      <c r="Q208" s="407">
        <f t="shared" si="172"/>
        <v>0.38222177737295465</v>
      </c>
      <c r="R208" s="9">
        <f t="shared" si="140"/>
        <v>0.52897314413800889</v>
      </c>
      <c r="S208" s="9">
        <f t="shared" si="141"/>
        <v>2.7981258721925073E-3</v>
      </c>
      <c r="T208" s="9">
        <f t="shared" si="142"/>
        <v>2.7981258721925073E-3</v>
      </c>
      <c r="U208" s="407">
        <f t="shared" si="143"/>
        <v>2.7805466143549666</v>
      </c>
      <c r="V208" s="409">
        <f t="shared" si="144"/>
        <v>1.5462878949201736E-2</v>
      </c>
      <c r="W208" s="407">
        <f t="shared" si="145"/>
        <v>1.5462878949201736E-2</v>
      </c>
      <c r="X208" s="407">
        <f t="shared" si="146"/>
        <v>2.7805466143549666</v>
      </c>
      <c r="Y208" s="407">
        <f t="shared" si="147"/>
        <v>4.6388636847605205E-2</v>
      </c>
      <c r="Z208" s="407">
        <f t="shared" si="163"/>
        <v>0.13530968628854712</v>
      </c>
      <c r="AA208" s="407">
        <f t="shared" si="164"/>
        <v>0.14400000000000002</v>
      </c>
      <c r="AB208" s="407">
        <f t="shared" si="165"/>
        <v>0</v>
      </c>
      <c r="AC208" s="407">
        <f t="shared" si="148"/>
        <v>0.32874836080083947</v>
      </c>
      <c r="AD208" s="407">
        <f t="shared" si="149"/>
        <v>5.309357127997548</v>
      </c>
      <c r="AE208" s="407">
        <f t="shared" si="150"/>
        <v>0.16913563867571021</v>
      </c>
      <c r="AF208" s="407">
        <f t="shared" si="166"/>
        <v>9.6713999999999994E-2</v>
      </c>
      <c r="AG208" s="407">
        <f t="shared" si="151"/>
        <v>0.27515742400479298</v>
      </c>
      <c r="AH208" s="407">
        <f t="shared" si="152"/>
        <v>0</v>
      </c>
      <c r="AI208">
        <f t="shared" si="167"/>
        <v>0</v>
      </c>
      <c r="AJ208" s="408">
        <f t="shared" si="168"/>
        <v>0.45292300199999996</v>
      </c>
      <c r="AK208">
        <f t="shared" si="173"/>
        <v>4.8000000000000001E-2</v>
      </c>
      <c r="AL208" s="408">
        <f t="shared" si="169"/>
        <v>5.1750000000000004E-2</v>
      </c>
      <c r="AM208" s="408">
        <f t="shared" si="174"/>
        <v>0.13648893249607535</v>
      </c>
      <c r="AN208" s="408">
        <f t="shared" si="153"/>
        <v>9.9750000000000005E-2</v>
      </c>
      <c r="AO208" s="408">
        <f t="shared" si="154"/>
        <v>1.5570615689999812</v>
      </c>
      <c r="AP208">
        <f t="shared" si="170"/>
        <v>30.446999999999996</v>
      </c>
      <c r="AQ208" s="10">
        <f t="shared" si="155"/>
        <v>0.95134800107658224</v>
      </c>
      <c r="AR208" s="63">
        <f t="shared" si="156"/>
        <v>16.437418040041972</v>
      </c>
      <c r="AS208" s="63">
        <f t="shared" si="157"/>
        <v>13.757871200239649</v>
      </c>
      <c r="AT208" s="10"/>
      <c r="AU208">
        <f t="shared" si="158"/>
        <v>95.134800107658222</v>
      </c>
    </row>
    <row r="209" spans="7:47" x14ac:dyDescent="0.25">
      <c r="G209">
        <v>200</v>
      </c>
      <c r="H209">
        <f t="shared" si="159"/>
        <v>6</v>
      </c>
      <c r="I209" s="407">
        <f t="shared" si="136"/>
        <v>0.21524999999999997</v>
      </c>
      <c r="J209" s="408">
        <f t="shared" si="160"/>
        <v>1.8325337837837832</v>
      </c>
      <c r="K209" s="408">
        <f t="shared" si="171"/>
        <v>6.9162668918918913</v>
      </c>
      <c r="L209" s="408">
        <f t="shared" si="137"/>
        <v>5.0837331081081087</v>
      </c>
      <c r="M209" s="63">
        <f t="shared" si="161"/>
        <v>0</v>
      </c>
      <c r="N209" s="407">
        <f t="shared" si="138"/>
        <v>6.023275548989858</v>
      </c>
      <c r="O209" s="407">
        <f t="shared" si="139"/>
        <v>0.18407046105967362</v>
      </c>
      <c r="P209">
        <f t="shared" si="162"/>
        <v>0.2</v>
      </c>
      <c r="Q209" s="407">
        <f t="shared" si="172"/>
        <v>0.38407046105967363</v>
      </c>
      <c r="R209" s="9">
        <f t="shared" si="140"/>
        <v>0.52900693668332532</v>
      </c>
      <c r="S209" s="9">
        <f t="shared" si="141"/>
        <v>2.7984833905907577E-3</v>
      </c>
      <c r="T209" s="9">
        <f t="shared" si="142"/>
        <v>2.7984833905907577E-3</v>
      </c>
      <c r="U209" s="407">
        <f t="shared" si="143"/>
        <v>2.7945012712436661</v>
      </c>
      <c r="V209" s="409">
        <f t="shared" si="144"/>
        <v>1.5618474709964933E-2</v>
      </c>
      <c r="W209" s="407">
        <f t="shared" si="145"/>
        <v>1.5618474709964933E-2</v>
      </c>
      <c r="X209" s="407">
        <f t="shared" si="146"/>
        <v>2.7945012712436661</v>
      </c>
      <c r="Y209" s="407">
        <f t="shared" si="147"/>
        <v>4.6855424129894796E-2</v>
      </c>
      <c r="Z209" s="407">
        <f t="shared" si="163"/>
        <v>0.13597643727851261</v>
      </c>
      <c r="AA209" s="407">
        <f t="shared" si="164"/>
        <v>0.14400000000000002</v>
      </c>
      <c r="AB209" s="407">
        <f t="shared" si="165"/>
        <v>0</v>
      </c>
      <c r="AC209" s="407">
        <f t="shared" si="148"/>
        <v>0.3299236034827368</v>
      </c>
      <c r="AD209" s="407">
        <f t="shared" si="149"/>
        <v>5.3357858825178335</v>
      </c>
      <c r="AE209" s="407">
        <f t="shared" si="150"/>
        <v>0.17082366590445969</v>
      </c>
      <c r="AF209" s="407">
        <f t="shared" si="166"/>
        <v>9.7199999999999995E-2</v>
      </c>
      <c r="AG209" s="407">
        <f t="shared" si="151"/>
        <v>0.27750453427443339</v>
      </c>
      <c r="AH209" s="407">
        <f t="shared" si="152"/>
        <v>0</v>
      </c>
      <c r="AI209">
        <f t="shared" si="167"/>
        <v>0</v>
      </c>
      <c r="AJ209" s="408">
        <f t="shared" si="168"/>
        <v>0.45291959999999998</v>
      </c>
      <c r="AK209">
        <f t="shared" si="173"/>
        <v>4.8000000000000001E-2</v>
      </c>
      <c r="AL209" s="408">
        <f t="shared" si="169"/>
        <v>5.1750000000000004E-2</v>
      </c>
      <c r="AM209" s="408">
        <f t="shared" si="174"/>
        <v>0.13648893249607535</v>
      </c>
      <c r="AN209" s="408">
        <f t="shared" si="153"/>
        <v>9.9750000000000005E-2</v>
      </c>
      <c r="AO209" s="408">
        <f t="shared" si="154"/>
        <v>1.5625851569173994</v>
      </c>
      <c r="AP209">
        <f t="shared" si="170"/>
        <v>30.599999999999998</v>
      </c>
      <c r="AQ209" s="10">
        <f t="shared" si="155"/>
        <v>0.95141605846377919</v>
      </c>
      <c r="AR209" s="63">
        <f t="shared" si="156"/>
        <v>16.496180174136839</v>
      </c>
      <c r="AS209" s="63">
        <f t="shared" si="157"/>
        <v>13.87522671372167</v>
      </c>
      <c r="AT209" s="10"/>
      <c r="AU209">
        <f t="shared" si="158"/>
        <v>95.141605846377914</v>
      </c>
    </row>
  </sheetData>
  <sheetProtection selectLockedCells="1"/>
  <mergeCells count="2">
    <mergeCell ref="A1:D4"/>
    <mergeCell ref="A6:D7"/>
  </mergeCells>
  <phoneticPr fontId="5" type="noConversion"/>
  <pageMargins left="0.75" right="0.75" top="1" bottom="1" header="0.5" footer="0.5"/>
  <pageSetup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7"/>
  <sheetViews>
    <sheetView workbookViewId="0">
      <selection activeCell="M42" sqref="M42"/>
    </sheetView>
  </sheetViews>
  <sheetFormatPr defaultRowHeight="13.2" x14ac:dyDescent="0.25"/>
  <cols>
    <col min="1" max="1" width="18.5546875" customWidth="1"/>
    <col min="2" max="2" width="9.33203125" customWidth="1"/>
    <col min="4" max="4" width="11.109375" customWidth="1"/>
  </cols>
  <sheetData>
    <row r="1" spans="1:5" x14ac:dyDescent="0.25">
      <c r="C1" t="s">
        <v>350</v>
      </c>
      <c r="D1" t="s">
        <v>349</v>
      </c>
    </row>
    <row r="2" spans="1:5" x14ac:dyDescent="0.25">
      <c r="A2" t="s">
        <v>347</v>
      </c>
      <c r="B2" s="62">
        <v>85</v>
      </c>
      <c r="C2" t="s">
        <v>348</v>
      </c>
      <c r="D2">
        <f>B2*1000000</f>
        <v>85000000</v>
      </c>
      <c r="E2" t="s">
        <v>10</v>
      </c>
    </row>
    <row r="3" spans="1:5" x14ac:dyDescent="0.25">
      <c r="A3" t="s">
        <v>351</v>
      </c>
      <c r="B3" s="62">
        <v>3000</v>
      </c>
      <c r="C3" t="s">
        <v>53</v>
      </c>
      <c r="D3">
        <f>B3*0.000000000001</f>
        <v>3E-9</v>
      </c>
      <c r="E3" t="s">
        <v>34</v>
      </c>
    </row>
    <row r="4" spans="1:5" x14ac:dyDescent="0.25">
      <c r="A4" t="s">
        <v>353</v>
      </c>
      <c r="B4" s="63">
        <f>1000000000*1/((D2*2*3.14159)^2*D3)</f>
        <v>1.1686430773614742</v>
      </c>
      <c r="C4" t="s">
        <v>354</v>
      </c>
      <c r="D4">
        <f>B4/1000000000</f>
        <v>1.1686430773614743E-9</v>
      </c>
      <c r="E4" t="s">
        <v>24</v>
      </c>
    </row>
    <row r="5" spans="1:5" x14ac:dyDescent="0.25">
      <c r="A5" t="s">
        <v>352</v>
      </c>
      <c r="B5">
        <f>4*B3</f>
        <v>12000</v>
      </c>
      <c r="C5" t="s">
        <v>53</v>
      </c>
      <c r="D5">
        <f>B5*0.000000000001</f>
        <v>1.2E-8</v>
      </c>
      <c r="E5" t="s">
        <v>34</v>
      </c>
    </row>
    <row r="6" spans="1:5" x14ac:dyDescent="0.25">
      <c r="A6" t="s">
        <v>355</v>
      </c>
      <c r="B6" s="4">
        <f>SQRT(D4/D3)</f>
        <v>0.62413755891936573</v>
      </c>
      <c r="C6" s="4" t="s">
        <v>274</v>
      </c>
      <c r="D6" s="4">
        <f>B6</f>
        <v>0.62413755891936573</v>
      </c>
      <c r="E6" t="s">
        <v>274</v>
      </c>
    </row>
    <row r="7" spans="1:5" x14ac:dyDescent="0.25">
      <c r="B7" s="4"/>
      <c r="C7" s="4"/>
      <c r="D7" s="4"/>
    </row>
  </sheetData>
  <phoneticPr fontId="5"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3:E16"/>
  <sheetViews>
    <sheetView workbookViewId="0">
      <selection activeCell="E30" sqref="E30"/>
    </sheetView>
  </sheetViews>
  <sheetFormatPr defaultRowHeight="13.2" x14ac:dyDescent="0.25"/>
  <sheetData>
    <row r="3" spans="1:5" x14ac:dyDescent="0.25">
      <c r="A3" t="s">
        <v>299</v>
      </c>
      <c r="B3">
        <f>Iripple1</f>
        <v>1.8325337837837832</v>
      </c>
    </row>
    <row r="4" spans="1:5" x14ac:dyDescent="0.25">
      <c r="A4" t="s">
        <v>7</v>
      </c>
      <c r="B4">
        <f>Fsw</f>
        <v>300000</v>
      </c>
    </row>
    <row r="6" spans="1:5" x14ac:dyDescent="0.25">
      <c r="A6" t="s">
        <v>279</v>
      </c>
      <c r="B6" s="52">
        <v>0.5</v>
      </c>
      <c r="C6" t="s">
        <v>134</v>
      </c>
      <c r="D6">
        <f>B6/1000</f>
        <v>5.0000000000000001E-4</v>
      </c>
      <c r="E6" t="s">
        <v>25</v>
      </c>
    </row>
    <row r="7" spans="1:5" x14ac:dyDescent="0.25">
      <c r="A7" t="s">
        <v>297</v>
      </c>
      <c r="B7" s="52">
        <v>20</v>
      </c>
      <c r="C7" t="s">
        <v>30</v>
      </c>
      <c r="D7">
        <f>B7/1000000</f>
        <v>2.0000000000000002E-5</v>
      </c>
      <c r="E7" t="s">
        <v>34</v>
      </c>
    </row>
    <row r="9" spans="1:5" x14ac:dyDescent="0.25">
      <c r="A9" t="s">
        <v>280</v>
      </c>
      <c r="B9" s="52">
        <v>20</v>
      </c>
      <c r="C9" t="s">
        <v>134</v>
      </c>
      <c r="D9">
        <f>B9/1000</f>
        <v>0.02</v>
      </c>
      <c r="E9" t="s">
        <v>25</v>
      </c>
    </row>
    <row r="10" spans="1:5" x14ac:dyDescent="0.25">
      <c r="A10" t="s">
        <v>298</v>
      </c>
      <c r="B10" s="52">
        <v>68</v>
      </c>
      <c r="C10" t="s">
        <v>30</v>
      </c>
      <c r="D10">
        <f>B10/1000000</f>
        <v>6.7999999999999999E-5</v>
      </c>
      <c r="E10" t="s">
        <v>34</v>
      </c>
    </row>
    <row r="12" spans="1:5" x14ac:dyDescent="0.25">
      <c r="A12" t="s">
        <v>301</v>
      </c>
      <c r="B12">
        <f>(D7/(D7+D10))*SQRT((D9*D10*B4)^2+1)/SQRT((((D6+D9)*D7*D10/(D10+D7))*B4)^2+1)</f>
        <v>0.2443600307654302</v>
      </c>
      <c r="C12" t="s">
        <v>300</v>
      </c>
    </row>
    <row r="13" spans="1:5" x14ac:dyDescent="0.25">
      <c r="A13" t="s">
        <v>302</v>
      </c>
      <c r="B13">
        <f>1-B12</f>
        <v>0.75563996923456977</v>
      </c>
      <c r="C13" t="s">
        <v>300</v>
      </c>
    </row>
    <row r="15" spans="1:5" x14ac:dyDescent="0.25">
      <c r="A15" t="s">
        <v>301</v>
      </c>
      <c r="B15">
        <f>B12*(Iripple1/(2*SQRT(3)))</f>
        <v>0.12926815132306335</v>
      </c>
      <c r="C15" t="s">
        <v>2</v>
      </c>
    </row>
    <row r="16" spans="1:5" x14ac:dyDescent="0.25">
      <c r="A16" t="s">
        <v>302</v>
      </c>
      <c r="B16">
        <f>B13*(Iripple1/(2*SQRT(3)))</f>
        <v>0.39973878536026197</v>
      </c>
      <c r="C16" t="s">
        <v>2</v>
      </c>
    </row>
  </sheetData>
  <phoneticPr fontId="5"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150</vt:i4>
      </vt:variant>
    </vt:vector>
  </HeadingPairs>
  <TitlesOfParts>
    <vt:vector size="160" baseType="lpstr">
      <vt:lpstr>Design Regulator</vt:lpstr>
      <vt:lpstr>Schematic &amp; BOM</vt:lpstr>
      <vt:lpstr>EVMs</vt:lpstr>
      <vt:lpstr>Variable Management</vt:lpstr>
      <vt:lpstr>Standard Value Calculator</vt:lpstr>
      <vt:lpstr>Bode Plots Calculations</vt:lpstr>
      <vt:lpstr>Schematic Management</vt:lpstr>
      <vt:lpstr>Power Calculations</vt:lpstr>
      <vt:lpstr>Snubber</vt:lpstr>
      <vt:lpstr>Parallel Output Caps</vt:lpstr>
      <vt:lpstr>_Don1</vt:lpstr>
      <vt:lpstr>_Don2</vt:lpstr>
      <vt:lpstr>_Ren1</vt:lpstr>
      <vt:lpstr>_Rfb1</vt:lpstr>
      <vt:lpstr>_Rfb2</vt:lpstr>
      <vt:lpstr>_Rs1</vt:lpstr>
      <vt:lpstr>_Rs2</vt:lpstr>
      <vt:lpstr>_Rs3</vt:lpstr>
      <vt:lpstr>Cb</vt:lpstr>
      <vt:lpstr>Cby</vt:lpstr>
      <vt:lpstr>Cc1ea</vt:lpstr>
      <vt:lpstr>Cc1ea_u</vt:lpstr>
      <vt:lpstr>Cc2ea</vt:lpstr>
      <vt:lpstr>Cc2ea_u</vt:lpstr>
      <vt:lpstr>Cc3ea</vt:lpstr>
      <vt:lpstr>Cc3ea_u</vt:lpstr>
      <vt:lpstr>Cdd</vt:lpstr>
      <vt:lpstr>Cilim</vt:lpstr>
      <vt:lpstr>Cilim_ideal</vt:lpstr>
      <vt:lpstr>Cin</vt:lpstr>
      <vt:lpstr>Cin_Voltage_Rating</vt:lpstr>
      <vt:lpstr>CinEsrMax</vt:lpstr>
      <vt:lpstr>Core_Loss</vt:lpstr>
      <vt:lpstr>CossBot</vt:lpstr>
      <vt:lpstr>CossTop</vt:lpstr>
      <vt:lpstr>Cout</vt:lpstr>
      <vt:lpstr>Cout_Voltage_Rating</vt:lpstr>
      <vt:lpstr>CoutEsr</vt:lpstr>
      <vt:lpstr>Coutmin</vt:lpstr>
      <vt:lpstr>Csb</vt:lpstr>
      <vt:lpstr>Csby</vt:lpstr>
      <vt:lpstr>Css</vt:lpstr>
      <vt:lpstr>Css_u</vt:lpstr>
      <vt:lpstr>DC_Current_Limit_Setpoint</vt:lpstr>
      <vt:lpstr>Deadtime</vt:lpstr>
      <vt:lpstr>Doff1</vt:lpstr>
      <vt:lpstr>Doff2</vt:lpstr>
      <vt:lpstr>Don_Vinmax</vt:lpstr>
      <vt:lpstr>Eadcg</vt:lpstr>
      <vt:lpstr>Ext_VCC</vt:lpstr>
      <vt:lpstr>Fcross</vt:lpstr>
      <vt:lpstr>Fesr</vt:lpstr>
      <vt:lpstr>Fo</vt:lpstr>
      <vt:lpstr>Fp1_u</vt:lpstr>
      <vt:lpstr>Fp2_u</vt:lpstr>
      <vt:lpstr>Fsw</vt:lpstr>
      <vt:lpstr>Fz1_u</vt:lpstr>
      <vt:lpstr>Fz2_u</vt:lpstr>
      <vt:lpstr>GBP</vt:lpstr>
      <vt:lpstr>GmTop</vt:lpstr>
      <vt:lpstr>Icinrms</vt:lpstr>
      <vt:lpstr>Icoutrms</vt:lpstr>
      <vt:lpstr>Ilim1</vt:lpstr>
      <vt:lpstr>Ilim2</vt:lpstr>
      <vt:lpstr>ILimit</vt:lpstr>
      <vt:lpstr>Ilsat</vt:lpstr>
      <vt:lpstr>Iout</vt:lpstr>
      <vt:lpstr>Ipp</vt:lpstr>
      <vt:lpstr>Iq</vt:lpstr>
      <vt:lpstr>Ireverse</vt:lpstr>
      <vt:lpstr>Iripple1</vt:lpstr>
      <vt:lpstr>Iss</vt:lpstr>
      <vt:lpstr>Iuvlo_hys</vt:lpstr>
      <vt:lpstr>Iuvlo1</vt:lpstr>
      <vt:lpstr>Iuvlo2</vt:lpstr>
      <vt:lpstr>Kmidband</vt:lpstr>
      <vt:lpstr>Lout1</vt:lpstr>
      <vt:lpstr>Lout2</vt:lpstr>
      <vt:lpstr>Ltc</vt:lpstr>
      <vt:lpstr>Pi</vt:lpstr>
      <vt:lpstr>'Design Regulator'!Print_Area</vt:lpstr>
      <vt:lpstr>'Schematic &amp; BOM'!Print_Area</vt:lpstr>
      <vt:lpstr>Q</vt:lpstr>
      <vt:lpstr>QgBot</vt:lpstr>
      <vt:lpstr>QgdTop</vt:lpstr>
      <vt:lpstr>QgsTop</vt:lpstr>
      <vt:lpstr>QgTop</vt:lpstr>
      <vt:lpstr>QossBot</vt:lpstr>
      <vt:lpstr>QrrBot</vt:lpstr>
      <vt:lpstr>QrrSky</vt:lpstr>
      <vt:lpstr>Rcea1</vt:lpstr>
      <vt:lpstr>Rcea1_u</vt:lpstr>
      <vt:lpstr>Rcea2</vt:lpstr>
      <vt:lpstr>Rcea2_u</vt:lpstr>
      <vt:lpstr>RCinEsr</vt:lpstr>
      <vt:lpstr>RCoutEsr</vt:lpstr>
      <vt:lpstr>Rdcr</vt:lpstr>
      <vt:lpstr>RDSON_sense</vt:lpstr>
      <vt:lpstr>RdsonBot</vt:lpstr>
      <vt:lpstr>RdsonBotTc</vt:lpstr>
      <vt:lpstr>RdsonDRB</vt:lpstr>
      <vt:lpstr>RdsonDRB2</vt:lpstr>
      <vt:lpstr>RdsonDRT</vt:lpstr>
      <vt:lpstr>RdsonDRT2</vt:lpstr>
      <vt:lpstr>RdsonTop</vt:lpstr>
      <vt:lpstr>RdsonTopTc</vt:lpstr>
      <vt:lpstr>Resrmax</vt:lpstr>
      <vt:lpstr>Rfadj</vt:lpstr>
      <vt:lpstr>Rfb2_u</vt:lpstr>
      <vt:lpstr>Rfets</vt:lpstr>
      <vt:lpstr>RGateBot</vt:lpstr>
      <vt:lpstr>RGateTop</vt:lpstr>
      <vt:lpstr>Rh</vt:lpstr>
      <vt:lpstr>Rilim_Rdson</vt:lpstr>
      <vt:lpstr>Rilim_Rdson_ideal</vt:lpstr>
      <vt:lpstr>Rilim_shunt</vt:lpstr>
      <vt:lpstr>Rilim_shunt_ideal</vt:lpstr>
      <vt:lpstr>Ro</vt:lpstr>
      <vt:lpstr>Rpg</vt:lpstr>
      <vt:lpstr>Rsb</vt:lpstr>
      <vt:lpstr>Rshunt</vt:lpstr>
      <vt:lpstr>Ruvlo1</vt:lpstr>
      <vt:lpstr>Ruvlo2</vt:lpstr>
      <vt:lpstr>SCH_RDSON</vt:lpstr>
      <vt:lpstr>SCH_SHUNT</vt:lpstr>
      <vt:lpstr>Ta</vt:lpstr>
      <vt:lpstr>Tf</vt:lpstr>
      <vt:lpstr>ThetaCa</vt:lpstr>
      <vt:lpstr>ThetaJaBot</vt:lpstr>
      <vt:lpstr>ThetaJaCtrl</vt:lpstr>
      <vt:lpstr>ThetaJaTop</vt:lpstr>
      <vt:lpstr>TL</vt:lpstr>
      <vt:lpstr>Tr</vt:lpstr>
      <vt:lpstr>TrrBot</vt:lpstr>
      <vt:lpstr>Tss</vt:lpstr>
      <vt:lpstr>VARIANT</vt:lpstr>
      <vt:lpstr>Vdd</vt:lpstr>
      <vt:lpstr>VfdSky</vt:lpstr>
      <vt:lpstr>Vin</vt:lpstr>
      <vt:lpstr>VIN_MAX_RATING</vt:lpstr>
      <vt:lpstr>VIN_MIN_RATING</vt:lpstr>
      <vt:lpstr>Vinmax</vt:lpstr>
      <vt:lpstr>Vinmin</vt:lpstr>
      <vt:lpstr>Vinripple1</vt:lpstr>
      <vt:lpstr>Vinripple2</vt:lpstr>
      <vt:lpstr>VINuvlo_off</vt:lpstr>
      <vt:lpstr>VINuvlo_on</vt:lpstr>
      <vt:lpstr>Vout</vt:lpstr>
      <vt:lpstr>VOUT_MAX_RATING</vt:lpstr>
      <vt:lpstr>Vramp</vt:lpstr>
      <vt:lpstr>Vref</vt:lpstr>
      <vt:lpstr>Vripple1</vt:lpstr>
      <vt:lpstr>Vripple2</vt:lpstr>
      <vt:lpstr>VsdBot</vt:lpstr>
      <vt:lpstr>VsdTop</vt:lpstr>
      <vt:lpstr>VspTop</vt:lpstr>
      <vt:lpstr>VthTop</vt:lpstr>
      <vt:lpstr>Vuvlo_hys</vt:lpstr>
      <vt:lpstr>Vuvlo_off</vt:lpstr>
      <vt:lpstr>Vuvlo_on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LM5146-Q1 Design Tool</dc:title>
  <dc:creator>Timothy Hegarty</dc:creator>
  <cp:keywords>LM5146-Q1, PWM controller, synchronous buck, wide Vin</cp:keywords>
  <cp:lastModifiedBy>慶紀 井川</cp:lastModifiedBy>
  <cp:lastPrinted>2017-06-16T22:24:31Z</cp:lastPrinted>
  <dcterms:created xsi:type="dcterms:W3CDTF">1996-10-14T23:33:28Z</dcterms:created>
  <dcterms:modified xsi:type="dcterms:W3CDTF">2025-04-15T13:11:42Z</dcterms:modified>
</cp:coreProperties>
</file>